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https://curtin-my.sharepoint.com/personal/259378f_curtin_edu_au/Documents/OUA Planners/"/>
    </mc:Choice>
  </mc:AlternateContent>
  <xr:revisionPtr revIDLastSave="0" documentId="13_ncr:1_{AC7DFD4C-81E7-4DFE-830C-BF14DA93561B}" xr6:coauthVersionLast="47" xr6:coauthVersionMax="47" xr10:uidLastSave="{00000000-0000-0000-0000-000000000000}"/>
  <workbookProtection workbookAlgorithmName="SHA-512" workbookHashValue="+/IY3IV691g2C4WJZnkQcxNSx5bqNhFjwx5TDUnqMNq1dW6di9ixQ3L+QUGHXtIAqofJuVMCXjlE291z2m1mLw==" workbookSaltValue="D3darjZvHioo+LooujchvQ==" workbookSpinCount="100000" lockStructure="1"/>
  <bookViews>
    <workbookView xWindow="-120" yWindow="-120" windowWidth="29040" windowHeight="17520" tabRatio="778" firstSheet="8" activeTab="8" xr2:uid="{00000000-000D-0000-FFFF-FFFF00000000}"/>
  </bookViews>
  <sheets>
    <sheet name="Planner OM-Teach (ECE)" sheetId="5" state="hidden" r:id="rId1"/>
    <sheet name="Planner OM-Teach (Prim)" sheetId="17" state="hidden" r:id="rId2"/>
    <sheet name="Planner OM-EDUC" sheetId="12" state="hidden" r:id="rId3"/>
    <sheet name="Planner OM-APLING" sheetId="13" state="hidden" r:id="rId4"/>
    <sheet name="Planner OC-TESOL" sheetId="14" state="hidden" r:id="rId5"/>
    <sheet name="Planner OC-EDUC" sheetId="23" state="hidden" r:id="rId6"/>
    <sheet name="Planner OC-EDHE" sheetId="18" state="hidden" r:id="rId7"/>
    <sheet name="Unitsets" sheetId="2" state="hidden" r:id="rId8"/>
    <sheet name="Planner M-Teach (Sec)" sheetId="10" r:id="rId9"/>
    <sheet name="Planner OG-EDUC (Prim)" sheetId="15" state="hidden" r:id="rId10"/>
    <sheet name="Planner OG-EDUC (Prim Accel)" sheetId="19" state="hidden" r:id="rId11"/>
    <sheet name="Planner OG-EDUC (Sec)" sheetId="16" state="hidden" r:id="rId12"/>
    <sheet name="Planner OG-EDUC (Sec Accel)" sheetId="20" state="hidden" r:id="rId13"/>
    <sheet name="Unitsets Secondary &amp; GD" sheetId="11" state="hidden" r:id="rId14"/>
    <sheet name="Handbook" sheetId="3" state="hidden" r:id="rId15"/>
    <sheet name="Structures" sheetId="8" state="hidden" r:id="rId16"/>
    <sheet name="Availabilities" sheetId="9" state="hidden" r:id="rId17"/>
  </sheets>
  <definedNames>
    <definedName name="_xlnm._FilterDatabase" localSheetId="14"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8">'Planner M-Teach (Sec)'!$A$1:$L$48</definedName>
    <definedName name="_xlnm.Print_Area" localSheetId="6">'Planner OC-EDHE'!$A$3:$L$17</definedName>
    <definedName name="_xlnm.Print_Area" localSheetId="5">'Planner OC-EDUC'!$A$3:$L$37</definedName>
    <definedName name="_xlnm.Print_Area" localSheetId="4">'Planner OC-TESOL'!$A$3:$L$23</definedName>
    <definedName name="_xlnm.Print_Area" localSheetId="10">'Planner OG-EDUC (Prim Accel)'!$A$3:$L$23</definedName>
    <definedName name="_xlnm.Print_Area" localSheetId="9">'Planner OG-EDUC (Prim)'!$A$3:$L$24</definedName>
    <definedName name="_xlnm.Print_Area" localSheetId="12">'Planner OG-EDUC (Sec Accel)'!$A$3:$L$30</definedName>
    <definedName name="_xlnm.Print_Area" localSheetId="11">'Planner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(Prim)'!$A$3:$L$36</definedName>
    <definedName name="RangeTeachingAreas">'Unitsets Secondary &amp; GD'!$I$22:$P$28</definedName>
    <definedName name="RangeUnitsetsECEPR">Unitsets!$L$4:$AA$22</definedName>
    <definedName name="RangeUnitsetsOCEDHE">Unitsets!$L$59:$S$63</definedName>
    <definedName name="RangeUnitsetsOCEDUC">Unitsets!$L$66:$S$85</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K16" i="23"/>
  <c r="J16" i="23"/>
  <c r="I16" i="23"/>
  <c r="H16" i="23"/>
  <c r="H15" i="23"/>
  <c r="G6" i="23"/>
  <c r="L5" i="23"/>
  <c r="A26" i="23" s="1"/>
  <c r="G5" i="23"/>
  <c r="A30" i="23" l="1"/>
  <c r="A13" i="23"/>
  <c r="A25" i="23"/>
  <c r="C25" i="23" s="1"/>
  <c r="A18" i="23"/>
  <c r="B18" i="23" s="1"/>
  <c r="A29" i="23"/>
  <c r="A9" i="23"/>
  <c r="A21" i="23"/>
  <c r="D21" i="23" s="1"/>
  <c r="A32" i="23"/>
  <c r="D32" i="23" s="1"/>
  <c r="A10" i="23"/>
  <c r="A22" i="23"/>
  <c r="A33" i="23"/>
  <c r="K33" i="23" s="1"/>
  <c r="A19" i="23"/>
  <c r="A20" i="23"/>
  <c r="G20" i="23" s="1"/>
  <c r="A31" i="23"/>
  <c r="G31" i="23" s="1"/>
  <c r="A12" i="23"/>
  <c r="A23" i="23"/>
  <c r="I23" i="23" s="1"/>
  <c r="A24" i="23"/>
  <c r="D24" i="23" s="1"/>
  <c r="A27" i="23"/>
  <c r="G27" i="23" s="1"/>
  <c r="A17" i="23"/>
  <c r="A28" i="23"/>
  <c r="D28" i="23" s="1"/>
  <c r="F26" i="23"/>
  <c r="B26" i="23"/>
  <c r="C26" i="23"/>
  <c r="D26" i="23"/>
  <c r="G26" i="23"/>
  <c r="G85" i="3"/>
  <c r="H85" i="3"/>
  <c r="I85" i="3"/>
  <c r="J85" i="3"/>
  <c r="B25" i="23" l="1"/>
  <c r="G25" i="23"/>
  <c r="G18" i="23"/>
  <c r="H33" i="23"/>
  <c r="F33" i="23"/>
  <c r="D25" i="23"/>
  <c r="D33" i="23"/>
  <c r="C33" i="23"/>
  <c r="D22" i="23"/>
  <c r="B33" i="23"/>
  <c r="F25" i="23"/>
  <c r="J33" i="23"/>
  <c r="I33" i="23"/>
  <c r="G33" i="23"/>
  <c r="F22" i="23"/>
  <c r="C20" i="23"/>
  <c r="B22" i="23"/>
  <c r="C22" i="23"/>
  <c r="G22" i="23"/>
  <c r="K27" i="23"/>
  <c r="F27" i="23"/>
  <c r="B27" i="23"/>
  <c r="B30" i="23"/>
  <c r="I27" i="23"/>
  <c r="J27" i="23"/>
  <c r="D31" i="23"/>
  <c r="B31" i="23"/>
  <c r="C31" i="23"/>
  <c r="I32" i="23"/>
  <c r="C30" i="23"/>
  <c r="D30" i="23"/>
  <c r="F24" i="23"/>
  <c r="C24" i="23"/>
  <c r="C18" i="23"/>
  <c r="G30" i="23"/>
  <c r="F30" i="23"/>
  <c r="F18" i="23"/>
  <c r="B21" i="23"/>
  <c r="D18" i="23"/>
  <c r="F31" i="23"/>
  <c r="B24" i="23"/>
  <c r="G21" i="23"/>
  <c r="F21" i="23"/>
  <c r="G24" i="23"/>
  <c r="H32" i="23"/>
  <c r="F32" i="23"/>
  <c r="K32" i="23"/>
  <c r="C21" i="23"/>
  <c r="K23" i="23"/>
  <c r="J23" i="23"/>
  <c r="D23" i="23"/>
  <c r="B23" i="23"/>
  <c r="H27" i="23"/>
  <c r="C27" i="23"/>
  <c r="G32" i="23"/>
  <c r="D27" i="23"/>
  <c r="G29" i="23"/>
  <c r="B20" i="23"/>
  <c r="C28" i="23"/>
  <c r="D29" i="23"/>
  <c r="F28" i="23"/>
  <c r="G23" i="23"/>
  <c r="B32" i="23"/>
  <c r="C29" i="23"/>
  <c r="D20" i="23"/>
  <c r="J32" i="23"/>
  <c r="D19" i="23"/>
  <c r="C19" i="23"/>
  <c r="G28" i="23"/>
  <c r="B19" i="23"/>
  <c r="F23" i="23"/>
  <c r="C32" i="23"/>
  <c r="F29" i="23"/>
  <c r="H23" i="23"/>
  <c r="B29" i="23"/>
  <c r="G19" i="23"/>
  <c r="F20" i="23"/>
  <c r="C23" i="23"/>
  <c r="B28" i="23"/>
  <c r="F19" i="23"/>
  <c r="B12" i="23"/>
  <c r="G12" i="23"/>
  <c r="F12" i="23"/>
  <c r="E12" i="23"/>
  <c r="E13" i="23" s="1"/>
  <c r="C12" i="23"/>
  <c r="D12" i="23"/>
  <c r="G17" i="23"/>
  <c r="F17" i="23"/>
  <c r="D17" i="23"/>
  <c r="C17" i="23"/>
  <c r="B17" i="23"/>
  <c r="G9" i="23"/>
  <c r="F9" i="23"/>
  <c r="E9" i="23"/>
  <c r="E10" i="23" s="1"/>
  <c r="D9" i="23"/>
  <c r="C9" i="23"/>
  <c r="B9" i="23"/>
  <c r="D10" i="23"/>
  <c r="C10" i="23"/>
  <c r="B10" i="23"/>
  <c r="F10" i="23"/>
  <c r="G10" i="23"/>
  <c r="G13" i="23"/>
  <c r="F13" i="23"/>
  <c r="D13" i="23"/>
  <c r="C13" i="23"/>
  <c r="B13"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4" i="23" s="1"/>
  <c r="J11" i="3"/>
  <c r="J12" i="3"/>
  <c r="K25" i="23" s="1"/>
  <c r="J13" i="3"/>
  <c r="K26"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7"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2"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4" i="23" s="1"/>
  <c r="I11" i="3"/>
  <c r="I12" i="3"/>
  <c r="J25" i="23" s="1"/>
  <c r="I13" i="3"/>
  <c r="J26"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7"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2"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4" i="23" s="1"/>
  <c r="H11" i="3"/>
  <c r="H12" i="3"/>
  <c r="I25" i="23" s="1"/>
  <c r="H13" i="3"/>
  <c r="I26"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7"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2"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4" i="23" s="1"/>
  <c r="G11" i="3"/>
  <c r="G12" i="3"/>
  <c r="H25" i="23" s="1"/>
  <c r="G13" i="3"/>
  <c r="H26"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7"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2"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2" i="23" l="1"/>
  <c r="H9" i="23"/>
  <c r="H10" i="23"/>
  <c r="H13" i="23"/>
  <c r="H16" i="17"/>
  <c r="H21" i="23"/>
  <c r="H28" i="17"/>
  <c r="H20" i="23"/>
  <c r="H13" i="17"/>
  <c r="H19" i="23"/>
  <c r="H10" i="17"/>
  <c r="H18" i="23"/>
  <c r="H20" i="17"/>
  <c r="H31" i="23"/>
  <c r="H22" i="17"/>
  <c r="H30" i="23"/>
  <c r="H26" i="17"/>
  <c r="H29" i="23"/>
  <c r="H19" i="17"/>
  <c r="H28" i="23"/>
  <c r="I12" i="23"/>
  <c r="I9" i="23"/>
  <c r="I10" i="23"/>
  <c r="I13" i="23"/>
  <c r="I16" i="17"/>
  <c r="I21" i="23"/>
  <c r="I28" i="17"/>
  <c r="I20" i="23"/>
  <c r="I13" i="17"/>
  <c r="I19" i="23"/>
  <c r="I10" i="17"/>
  <c r="I18" i="23"/>
  <c r="I20" i="17"/>
  <c r="I31" i="23"/>
  <c r="I22" i="17"/>
  <c r="I30" i="23"/>
  <c r="I26" i="17"/>
  <c r="I29" i="23"/>
  <c r="I19" i="17"/>
  <c r="I28" i="23"/>
  <c r="J12" i="23"/>
  <c r="J9" i="23"/>
  <c r="J10" i="23"/>
  <c r="J13" i="23"/>
  <c r="J16" i="17"/>
  <c r="J21" i="23"/>
  <c r="J28" i="17"/>
  <c r="J20" i="23"/>
  <c r="J13" i="17"/>
  <c r="J19" i="23"/>
  <c r="J10" i="17"/>
  <c r="J18" i="23"/>
  <c r="J20" i="17"/>
  <c r="J31" i="23"/>
  <c r="J22" i="17"/>
  <c r="J30" i="23"/>
  <c r="J26" i="17"/>
  <c r="J29" i="23"/>
  <c r="J19" i="17"/>
  <c r="J28" i="23"/>
  <c r="K12" i="23"/>
  <c r="K9" i="23"/>
  <c r="K10" i="23"/>
  <c r="K13" i="23"/>
  <c r="K16" i="17"/>
  <c r="K21" i="23"/>
  <c r="K28" i="17"/>
  <c r="K20" i="23"/>
  <c r="K13" i="17"/>
  <c r="K19" i="23"/>
  <c r="K10" i="17"/>
  <c r="K18" i="23"/>
  <c r="K20" i="17"/>
  <c r="K31" i="23"/>
  <c r="K22" i="17"/>
  <c r="K30" i="23"/>
  <c r="K26" i="17"/>
  <c r="K29" i="23"/>
  <c r="K19" i="17"/>
  <c r="K28"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<sst xmlns="http://schemas.openxmlformats.org/spreadsheetml/2006/main" count="3802" uniqueCount="628">
  <si>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</si>
  <si>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</si>
  <si>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</si>
  <si>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</si>
  <si>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</si>
  <si>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</si>
  <si>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</si>
  <si>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</si>
  <si>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</si>
  <si>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</si>
  <si>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</si>
  <si>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</si>
  <si>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</si>
  <si>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</si>
  <si>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</si>
  <si>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</si>
  <si>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</si>
  <si>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</si>
  <si>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</si>
  <si>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</si>
  <si>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</si>
  <si>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</si>
  <si>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</si>
  <si>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</si>
  <si>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</si>
  <si>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</si>
  <si>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</si>
  <si>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</si>
  <si>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</si>
  <si>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</si>
  <si>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</si>
  <si>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</si>
  <si>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</si>
  <si>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</si>
  <si>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</si>
  <si>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</si>
  <si>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</si>
  <si>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</si>
  <si>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</si>
  <si>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</si>
  <si>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</si>
  <si>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</si>
  <si>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</si>
  <si>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</si>
  <si>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</si>
  <si>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</si>
  <si>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</si>
  <si>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</si>
  <si>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</si>
  <si>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</si>
  <si>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</si>
  <si>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</si>
  <si>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</si>
  <si>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</si>
  <si>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</si>
  <si>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</si>
  <si>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</si>
  <si>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</si>
  <si>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</si>
  <si>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</si>
  <si>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</si>
  <si>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</si>
  <si>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</si>
  <si>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</si>
  <si>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</si>
  <si>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</si>
  <si>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</si>
  <si>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</si>
  <si>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</si>
  <si>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</si>
  <si>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</si>
  <si>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</si>
  <si>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</si>
  <si>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</si>
  <si>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</si>
  <si>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</si>
  <si>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</si>
  <si>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</si>
  <si>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</si>
  <si>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</si>
  <si>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</si>
  <si>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</si>
  <si>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</si>
  <si>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</si>
  <si>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</si>
  <si>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</si>
  <si>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</si>
  <si>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</si>
  <si>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</si>
  <si>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</si>
  <si>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</si>
  <si>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</si>
  <si>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</si>
  <si>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</si>
  <si>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</si>
  <si>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</si>
  <si>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</si>
  <si>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</si>
  <si>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</si>
  <si>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</si>
  <si>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</si>
  <si>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</si>
  <si>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</si>
  <si>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</si>
  <si>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</si>
  <si>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</si>
  <si>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</si>
  <si>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</si>
  <si>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</si>
  <si>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</si>
  <si>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</si>
  <si>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</si>
  <si>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</si>
  <si>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</si>
  <si>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</si>
  <si>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</si>
  <si>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</si>
  <si>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</si>
  <si>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</si>
  <si>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</si>
  <si>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</si>
  <si>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</si>
  <si>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</si>
  <si>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</si>
  <si>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</si>
  <si>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</si>
  <si>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</si>
  <si>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</si>
  <si>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</si>
  <si>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</si>
  <si>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</si>
  <si>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</si>
  <si>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</si>
  <si>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</si>
  <si>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</si>
  <si>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</si>
  <si>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</si>
  <si>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</si>
  <si>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</si>
  <si>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</si>
  <si>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</si>
  <si>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</si>
  <si>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</si>
  <si>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</si>
  <si>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</si>
  <si>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</si>
  <si>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</si>
  <si>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</si>
  <si>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</si>
  <si>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</si>
  <si>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</si>
  <si>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</si>
  <si>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</si>
  <si>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</si>
  <si>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</si>
  <si>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</si>
  <si>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</si>
  <si>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</si>
  <si>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</si>
  <si>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</si>
  <si>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</si>
  <si>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</si>
  <si>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</si>
  <si>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</si>
  <si>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</si>
  <si>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</si>
  <si>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</si>
  <si>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</si>
  <si>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</si>
  <si>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</si>
  <si>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</si>
  <si>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</si>
  <si>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</si>
  <si>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</si>
  <si>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</si>
  <si>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</si>
  <si>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</si>
  <si>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</si>
  <si>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</si>
  <si>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</si>
  <si>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</si>
  <si>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</si>
  <si>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</si>
  <si>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</si>
  <si>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</si>
  <si>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</si>
  <si>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</si>
  <si>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</si>
  <si>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</si>
  <si>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</si>
  <si>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</si>
  <si>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</si>
  <si>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</si>
  <si>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No Focus Area (customise your degree)</t>
  </si>
  <si>
    <t>FOC-None</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</si>
  <si>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</si>
  <si>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</si>
  <si>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</si>
  <si>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</si>
  <si>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</si>
  <si>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</si>
  <si>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</si>
  <si>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</si>
  <si>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</si>
  <si>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</si>
  <si>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</si>
  <si>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</si>
  <si>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</si>
  <si>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</si>
  <si>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</si>
  <si>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</si>
  <si>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</si>
  <si>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</si>
  <si>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</si>
  <si>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</si>
  <si>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</si>
  <si>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</si>
  <si>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</si>
  <si>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</si>
  <si>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</si>
  <si>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</si>
  <si>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</si>
  <si>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</si>
  <si>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</si>
  <si>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</si>
  <si>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</si>
  <si>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</si>
  <si>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</si>
  <si>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</si>
  <si>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</si>
  <si>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</si>
  <si>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</si>
  <si>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</si>
  <si>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</si>
  <si>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</si>
  <si>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</si>
  <si>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</si>
  <si>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</si>
  <si>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</si>
  <si>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</si>
  <si>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</si>
  <si>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</si>
  <si>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</si>
  <si>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</si>
  <si>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</si>
  <si>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</si>
  <si>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</si>
  <si>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</si>
  <si>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</si>
  <si>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</si>
  <si>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</si>
  <si>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</si>
  <si>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</si>
  <si>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</si>
  <si>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</si>
  <si>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</si>
  <si>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</si>
  <si>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OC-EDUCSP1</t>
  </si>
  <si>
    <t>OC-EDUCSP2</t>
  </si>
  <si>
    <t>OC-EDUCSP3</t>
  </si>
  <si>
    <t>OC-EDUCSP4</t>
  </si>
  <si>
    <t>Options</t>
  </si>
  <si>
    <t>EDSC5040</t>
  </si>
  <si>
    <t>EDUC5034</t>
  </si>
  <si>
    <t xml:space="preserve"> </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</si>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</sst>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293">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1" xfId="1" applyFont="1" applyFill="1" applyBorder="1" applyAlignment="1">
      <alignment horizontal="center" vertical="center" wrapText="1"/>
    </xf>
    <xf numFmtId="0" fontId="22" fillId="4" borderId="0" xfId="1" applyFont="1" applyFill="1" applyAlignment="1">
      <alignment horizontal="center" vertical="center" wrapText="1"/>
    </xf>
    <xf numFmtId="0" fontId="22" fillId="4" borderId="0" xfId="1" applyFont="1" applyFill="1" applyAlignment="1">
      <alignment vertical="center" wrapText="1"/>
    </xf>
    <xf numFmtId="0" fontId="25" fillId="4" borderId="0" xfId="1" applyFont="1" applyFill="1" applyAlignment="1">
      <alignment horizontal="left" vertical="center" wrapText="1"/>
    </xf>
    <xf numFmtId="0" fontId="22" fillId="4" borderId="15"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2" borderId="18" xfId="1" applyFont="1" applyFill="1" applyBorder="1" applyAlignment="1" applyProtection="1">
      <alignment horizontal="left" vertical="center" wrapText="1"/>
      <protection locked="0"/>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10" borderId="0" xfId="0" applyFont="1" applyFill="1" applyAlignment="1" applyProtection="1">
      <alignment horizontal="left"/>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6" fillId="9" borderId="0" xfId="1" applyFont="1" applyFill="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14" fontId="21" fillId="2" borderId="0" xfId="1" applyNumberFormat="1" applyFont="1" applyFill="1" applyAlignment="1">
      <alignment vertical="center"/>
    </xf>
    <xf numFmtId="0" fontId="21" fillId="0" borderId="0" xfId="1" applyFont="1" applyAlignment="1" applyProtection="1">
      <alignment vertical="top" wrapText="1"/>
      <protection locked="0"/>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4" borderId="34" xfId="1" applyFont="1" applyFill="1" applyBorder="1" applyAlignment="1">
      <alignment horizontal="center" vertical="center" wrapText="1"/>
    </xf>
    <xf numFmtId="0" fontId="44" fillId="4" borderId="35"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62" fillId="0" borderId="0" xfId="1" applyFont="1" applyAlignment="1">
      <alignment horizontal="right" vertical="center"/>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14" fontId="10" fillId="10" borderId="0" xfId="0" applyNumberFormat="1" applyFont="1" applyFill="1" applyAlignment="1" applyProtection="1">
      <alignment horizontal="center"/>
      <protection locked="0"/>
    </xf>
    <xf numFmtId="0" fontId="24" fillId="2" borderId="0" xfId="1" applyFont="1" applyFill="1" applyAlignment="1">
      <alignment horizontal="center" vertical="center"/>
    </xf>
    <xf numFmtId="0" fontId="35" fillId="5" borderId="16" xfId="1" applyFont="1" applyFill="1" applyBorder="1" applyAlignment="1">
      <alignment horizontal="center" vertical="center"/>
    </xf>
    <xf numFmtId="0" fontId="35" fillId="5" borderId="17" xfId="1" applyFont="1" applyFill="1" applyBorder="1" applyAlignment="1">
      <alignment horizontal="left" vertical="center"/>
    </xf>
    <xf numFmtId="0" fontId="35" fillId="5" borderId="17" xfId="1" applyFont="1" applyFill="1" applyBorder="1" applyAlignment="1">
      <alignment horizontal="center"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26" fillId="5" borderId="0" xfId="1" applyFont="1" applyFill="1" applyAlignment="1">
      <alignment horizontal="left" vertical="top" wrapText="1"/>
    </xf>
    <xf numFmtId="0" fontId="45" fillId="5" borderId="0" xfId="1" applyFont="1" applyFill="1" applyAlignment="1" applyProtection="1">
      <alignment vertical="center"/>
      <protection locked="0"/>
    </xf>
    <xf numFmtId="0" fontId="46" fillId="2" borderId="0" xfId="1" applyFont="1" applyFill="1" applyAlignment="1" applyProtection="1">
      <alignment vertical="center"/>
      <protection locked="0"/>
    </xf>
    <xf numFmtId="0" fontId="22" fillId="5" borderId="18" xfId="1" applyFont="1" applyFill="1" applyBorder="1" applyAlignment="1" applyProtection="1">
      <alignment horizontal="center" vertical="center" wrapText="1"/>
      <protection locked="0"/>
    </xf>
    <xf numFmtId="0" fontId="38" fillId="7" borderId="12" xfId="1" applyFont="1" applyFill="1" applyBorder="1" applyAlignment="1">
      <alignment horizontal="left" vertical="center" wrapText="1"/>
    </xf>
  </cellXfs>
  <cellStyles count="4">
    <cellStyle name="Good" xfId="3" builtinId="26"/>
    <cellStyle name="Hyperlink" xfId="2" builtinId="8"/>
    <cellStyle name="Normal" xfId="0" builtinId="0"/>
    <cellStyle name="Normal 2" xfId="1" xr:uid="{00000000-0005-0000-0000-000003000000}"/>
  </cellStyles>
  <dxfs count="3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rgbClr val="FF0000"/>
              </a:solidFill>
              <a:effectLst/>
              <a:latin typeface="+mn-lt"/>
              <a:ea typeface="+mn-ea"/>
              <a:cs typeface="+mn-cs"/>
            </a:rPr>
            <a:t>This planner shows the </a:t>
          </a:r>
          <a:r>
            <a:rPr lang="en-AU" sz="1100" b="1" u="sng">
              <a:solidFill>
                <a:srgbClr val="FF0000"/>
              </a:solidFill>
              <a:effectLst/>
              <a:latin typeface="+mn-lt"/>
              <a:ea typeface="+mn-ea"/>
              <a:cs typeface="+mn-cs"/>
            </a:rPr>
            <a:t>recommende</a:t>
          </a:r>
          <a:r>
            <a:rPr lang="en-AU" sz="1100" b="1" u="sng" baseline="0">
              <a:solidFill>
                <a:srgbClr val="FF0000"/>
              </a:solidFill>
              <a:effectLst/>
              <a:latin typeface="+mn-lt"/>
              <a:ea typeface="+mn-ea"/>
              <a:cs typeface="+mn-cs"/>
            </a:rPr>
            <a:t>d</a:t>
          </a:r>
          <a:r>
            <a:rPr lang="en-AU" sz="1100" b="0" baseline="0">
              <a:solidFill>
                <a:srgbClr val="FF0000"/>
              </a:solidFill>
              <a:effectLst/>
              <a:latin typeface="+mn-lt"/>
              <a:ea typeface="+mn-ea"/>
              <a:cs typeface="+mn-cs"/>
            </a:rPr>
            <a:t> sequence of </a:t>
          </a:r>
          <a:r>
            <a:rPr lang="en-AU" sz="1100" b="1" i="1" baseline="0">
              <a:solidFill>
                <a:srgbClr val="FF0000"/>
              </a:solidFill>
              <a:effectLst/>
              <a:latin typeface="+mn-lt"/>
              <a:ea typeface="+mn-ea"/>
              <a:cs typeface="+mn-cs"/>
            </a:rPr>
            <a:t>full-time study </a:t>
          </a:r>
          <a:r>
            <a:rPr lang="en-AU" sz="1100" b="0" baseline="0">
              <a:solidFill>
                <a:srgbClr val="FF0000"/>
              </a:solidFill>
              <a:effectLst/>
              <a:latin typeface="+mn-lt"/>
              <a:ea typeface="+mn-ea"/>
              <a:cs typeface="+mn-cs"/>
            </a:rPr>
            <a:t>based on your study period of commencement. The standard full-time study load is </a:t>
          </a:r>
          <a:r>
            <a:rPr lang="en-AU" sz="1100" b="1" i="1" baseline="0">
              <a:solidFill>
                <a:srgbClr val="FF0000"/>
              </a:solidFill>
              <a:effectLst/>
              <a:latin typeface="+mn-lt"/>
              <a:ea typeface="+mn-ea"/>
              <a:cs typeface="+mn-cs"/>
            </a:rPr>
            <a:t>50 credit points </a:t>
          </a:r>
          <a:r>
            <a:rPr lang="en-AU" sz="1100" b="0" baseline="0">
              <a:solidFill>
                <a:srgbClr val="FF0000"/>
              </a:solidFill>
              <a:effectLst/>
              <a:latin typeface="+mn-lt"/>
              <a:ea typeface="+mn-ea"/>
              <a:cs typeface="+mn-cs"/>
            </a:rPr>
            <a:t>per study period. </a:t>
          </a:r>
          <a:endParaRPr lang="en-AU">
            <a:solidFill>
              <a:srgbClr val="FF0000"/>
            </a:solidFill>
            <a:effectLst/>
          </a:endParaRPr>
        </a:p>
        <a:p>
          <a:r>
            <a:rPr lang="en-AU" sz="1100" b="0" baseline="0">
              <a:solidFill>
                <a:srgbClr val="FF0000"/>
              </a:solidFill>
              <a:effectLst/>
              <a:latin typeface="+mn-lt"/>
              <a:ea typeface="+mn-ea"/>
              <a:cs typeface="+mn-cs"/>
            </a:rPr>
            <a:t>Students are strongly advised to follow the recommended sequence of study as shown in this Planner. </a:t>
          </a:r>
          <a:endParaRPr lang="en-AU">
            <a:solidFill>
              <a:srgbClr val="FF0000"/>
            </a:solidFill>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209551</xdr:colOff>
      <xdr:row>29</xdr:row>
      <xdr:rowOff>243841</xdr:rowOff>
    </xdr:from>
    <xdr:to>
      <xdr:col>21</xdr:col>
      <xdr:colOff>323852</xdr:colOff>
      <xdr:row>30</xdr:row>
      <xdr:rowOff>238521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535026" y="65970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93233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25126" y="619126"/>
          <a:ext cx="5634990" cy="59323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25</xdr:row>
      <xdr:rowOff>24766</xdr:rowOff>
    </xdr:from>
    <xdr:to>
      <xdr:col>21</xdr:col>
      <xdr:colOff>390527</xdr:colOff>
      <xdr:row>26</xdr:row>
      <xdr:rowOff>95646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30226" y="54730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4:E48" totalsRowShown="0" headerRowDxfId="370" dataDxfId="369">
  <autoFilter ref="A44:E48"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5.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62.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202" t="s">
        <v>11</v>
      </c>
      <c r="E5" s="11"/>
      <c r="F5" s="126" t="s">
        <v>12</v>
      </c>
      <c r="G5" s="11" t="str">
        <f>IFERROR(CONCATENATE(VLOOKUP(D5,TableCourses[],2,FALSE)," ",VLOOKUP(D5,TableCourses[],3,FALSE)),"")</f>
        <v>OM-TEACH1 v.2</v>
      </c>
      <c r="H5" s="11"/>
      <c r="I5" s="11"/>
      <c r="J5" s="11"/>
      <c r="K5" s="11"/>
      <c r="L5" s="231"/>
    </row>
    <row r="6" spans="1:23" ht="20.100000000000001" customHeight="1" x14ac:dyDescent="0.25">
      <c r="B6" s="10"/>
      <c r="C6" s="126" t="s">
        <v>13</v>
      </c>
      <c r="D6" s="116" t="s">
        <v>14</v>
      </c>
      <c r="E6" s="11"/>
      <c r="F6" s="126" t="s">
        <v>15</v>
      </c>
      <c r="G6" s="11" t="str">
        <f>IFERROR(CONCATENATE(VLOOKUP(D6,TableMajorsMTeach[],2,FALSE)," ",VLOOKUP(D6,TableMajorsMTeach[],3,FALSE)),"")</f>
        <v>OUMP-TCHEC v.2</v>
      </c>
      <c r="H6" s="11"/>
      <c r="I6" s="11"/>
      <c r="J6" s="11"/>
      <c r="K6" s="11"/>
      <c r="L6" s="210"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232"/>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55" t="s">
        <v>25</v>
      </c>
      <c r="I9" s="256" t="s">
        <v>26</v>
      </c>
      <c r="J9" s="256" t="s">
        <v>27</v>
      </c>
      <c r="K9" s="256"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57" t="str">
        <f>IFERROR(VLOOKUP($A10,TableHandbook[],H$2,FALSE),"")</f>
        <v/>
      </c>
      <c r="I10" s="258" t="str">
        <f>IFERROR(VLOOKUP($A10,TableHandbook[],I$2,FALSE),"")</f>
        <v/>
      </c>
      <c r="J10" s="258" t="str">
        <f>IFERROR(VLOOKUP($A10,TableHandbook[],J$2,FALSE),"")</f>
        <v/>
      </c>
      <c r="K10" s="258" t="str">
        <f>IFERROR(VLOOKUP($A10,TableHandbook[],K$2,FALSE),"")</f>
        <v/>
      </c>
      <c r="L10" s="58"/>
      <c r="M10" s="64">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57" t="str">
        <f>IFERROR(VLOOKUP($A11,TableHandbook[],H$2,FALSE),"")</f>
        <v/>
      </c>
      <c r="I11" s="258" t="str">
        <f>IFERROR(VLOOKUP($A11,TableHandbook[],I$2,FALSE),"")</f>
        <v/>
      </c>
      <c r="J11" s="258" t="str">
        <f>IFERROR(VLOOKUP($A11,TableHandbook[],J$2,FALSE),"")</f>
        <v/>
      </c>
      <c r="K11" s="258" t="str">
        <f>IFERROR(VLOOKUP($A11,TableHandbook[],K$2,FALSE),"")</f>
        <v/>
      </c>
      <c r="L11" s="58"/>
      <c r="M11" s="64">
        <v>3</v>
      </c>
      <c r="N11" s="20"/>
      <c r="O11" s="20"/>
      <c r="P11" s="21"/>
      <c r="Q11" s="21"/>
      <c r="R11" s="21"/>
      <c r="S11" s="21"/>
      <c r="T11" s="21"/>
      <c r="U11" s="21"/>
      <c r="V11" s="21"/>
      <c r="W11" s="21"/>
    </row>
    <row r="12" spans="1:23" s="22" customFormat="1" ht="4.5" customHeight="1" x14ac:dyDescent="0.15">
      <c r="A12" s="191"/>
      <c r="B12" s="192"/>
      <c r="C12" s="192"/>
      <c r="D12" s="193"/>
      <c r="E12" s="192"/>
      <c r="F12" s="194"/>
      <c r="G12" s="192"/>
      <c r="H12" s="259"/>
      <c r="I12" s="260"/>
      <c r="J12" s="260"/>
      <c r="K12" s="260"/>
      <c r="L12" s="197"/>
      <c r="M12" s="28"/>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57" t="str">
        <f>IFERROR(VLOOKUP($A13,TableHandbook[],H$2,FALSE),"")</f>
        <v/>
      </c>
      <c r="I13" s="258" t="str">
        <f>IFERROR(VLOOKUP($A13,TableHandbook[],I$2,FALSE),"")</f>
        <v/>
      </c>
      <c r="J13" s="258" t="str">
        <f>IFERROR(VLOOKUP($A13,TableHandbook[],J$2,FALSE),"")</f>
        <v/>
      </c>
      <c r="K13" s="258" t="str">
        <f>IFERROR(VLOOKUP($A13,TableHandbook[],K$2,FALSE),"")</f>
        <v/>
      </c>
      <c r="L13" s="59"/>
      <c r="M13" s="64">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57" t="str">
        <f>IFERROR(VLOOKUP($A14,TableHandbook[],H$2,FALSE),"")</f>
        <v/>
      </c>
      <c r="I14" s="258" t="str">
        <f>IFERROR(VLOOKUP($A14,TableHandbook[],I$2,FALSE),"")</f>
        <v/>
      </c>
      <c r="J14" s="258" t="str">
        <f>IFERROR(VLOOKUP($A14,TableHandbook[],J$2,FALSE),"")</f>
        <v/>
      </c>
      <c r="K14" s="258" t="str">
        <f>IFERROR(VLOOKUP($A14,TableHandbook[],K$2,FALSE),"")</f>
        <v/>
      </c>
      <c r="L14" s="58"/>
      <c r="M14" s="64">
        <v>5</v>
      </c>
      <c r="N14" s="20"/>
      <c r="O14" s="20"/>
      <c r="P14" s="21"/>
      <c r="Q14" s="21"/>
      <c r="R14" s="21"/>
      <c r="S14" s="21"/>
      <c r="T14" s="21"/>
      <c r="U14" s="21"/>
      <c r="V14" s="21"/>
      <c r="W14" s="21"/>
    </row>
    <row r="15" spans="1:23" s="22" customFormat="1" ht="4.5" customHeight="1" x14ac:dyDescent="0.15">
      <c r="A15" s="191"/>
      <c r="B15" s="192"/>
      <c r="C15" s="192"/>
      <c r="D15" s="193"/>
      <c r="E15" s="192"/>
      <c r="F15" s="194"/>
      <c r="G15" s="192"/>
      <c r="H15" s="259"/>
      <c r="I15" s="260"/>
      <c r="J15" s="260"/>
      <c r="K15" s="260"/>
      <c r="L15" s="197"/>
      <c r="M15" s="28"/>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62" t="str">
        <f>IFERROR(VLOOKUP($A16,TableHandbook[],H$2,FALSE),"")</f>
        <v/>
      </c>
      <c r="I16" s="263" t="str">
        <f>IFERROR(VLOOKUP($A16,TableHandbook[],I$2,FALSE),"")</f>
        <v/>
      </c>
      <c r="J16" s="263" t="str">
        <f>IFERROR(VLOOKUP($A16,TableHandbook[],J$2,FALSE),"")</f>
        <v/>
      </c>
      <c r="K16" s="263" t="str">
        <f>IFERROR(VLOOKUP($A16,TableHandbook[],K$2,FALSE),"")</f>
        <v/>
      </c>
      <c r="L16" s="59"/>
      <c r="M16" s="64">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62" t="str">
        <f>IFERROR(VLOOKUP($A17,TableHandbook[],H$2,FALSE),"")</f>
        <v/>
      </c>
      <c r="I17" s="263" t="str">
        <f>IFERROR(VLOOKUP($A17,TableHandbook[],I$2,FALSE),"")</f>
        <v/>
      </c>
      <c r="J17" s="263" t="str">
        <f>IFERROR(VLOOKUP($A17,TableHandbook[],J$2,FALSE),"")</f>
        <v/>
      </c>
      <c r="K17" s="263" t="str">
        <f>IFERROR(VLOOKUP($A17,TableHandbook[],K$2,FALSE),"")</f>
        <v/>
      </c>
      <c r="L17" s="59"/>
      <c r="M17" s="64">
        <v>7</v>
      </c>
      <c r="N17" s="29"/>
      <c r="O17" s="29"/>
      <c r="P17" s="30"/>
      <c r="Q17" s="30"/>
      <c r="R17" s="30"/>
      <c r="S17" s="30"/>
      <c r="T17" s="30"/>
      <c r="U17" s="30"/>
      <c r="V17" s="30"/>
      <c r="W17" s="30"/>
    </row>
    <row r="18" spans="1:23" s="22" customFormat="1" ht="4.5" customHeight="1" x14ac:dyDescent="0.15">
      <c r="A18" s="191"/>
      <c r="B18" s="192"/>
      <c r="C18" s="192"/>
      <c r="D18" s="193"/>
      <c r="E18" s="192"/>
      <c r="F18" s="194"/>
      <c r="G18" s="192"/>
      <c r="H18" s="259"/>
      <c r="I18" s="260"/>
      <c r="J18" s="260"/>
      <c r="K18" s="260"/>
      <c r="L18" s="197"/>
      <c r="M18" s="28"/>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62" t="str">
        <f>IFERROR(VLOOKUP($A19,TableHandbook[],H$2,FALSE),"")</f>
        <v/>
      </c>
      <c r="I19" s="263" t="str">
        <f>IFERROR(VLOOKUP($A19,TableHandbook[],I$2,FALSE),"")</f>
        <v/>
      </c>
      <c r="J19" s="263" t="str">
        <f>IFERROR(VLOOKUP($A19,TableHandbook[],J$2,FALSE),"")</f>
        <v/>
      </c>
      <c r="K19" s="263" t="str">
        <f>IFERROR(VLOOKUP($A19,TableHandbook[],K$2,FALSE),"")</f>
        <v/>
      </c>
      <c r="L19" s="59"/>
      <c r="M19" s="64">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62" t="str">
        <f>IFERROR(VLOOKUP($A20,TableHandbook[],H$2,FALSE),"")</f>
        <v/>
      </c>
      <c r="I20" s="263" t="str">
        <f>IFERROR(VLOOKUP($A20,TableHandbook[],I$2,FALSE),"")</f>
        <v/>
      </c>
      <c r="J20" s="263" t="str">
        <f>IFERROR(VLOOKUP($A20,TableHandbook[],J$2,FALSE),"")</f>
        <v/>
      </c>
      <c r="K20" s="263" t="str">
        <f>IFERROR(VLOOKUP($A20,TableHandbook[],K$2,FALSE),"")</f>
        <v/>
      </c>
      <c r="L20" s="59"/>
      <c r="M20" s="64">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55" t="str">
        <f>H$9</f>
        <v>SP1</v>
      </c>
      <c r="I21" s="256" t="str">
        <f t="shared" ref="I21:L21" si="0">I$9</f>
        <v>SP2</v>
      </c>
      <c r="J21" s="256" t="str">
        <f t="shared" si="0"/>
        <v>SP3</v>
      </c>
      <c r="K21" s="256" t="str">
        <f t="shared" si="0"/>
        <v>SP4</v>
      </c>
      <c r="L21" s="113" t="str">
        <f t="shared" si="0"/>
        <v>Notes / Progress</v>
      </c>
      <c r="M21" s="17"/>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57" t="str">
        <f>IFERROR(VLOOKUP($A22,TableHandbook[],H$2,FALSE),"")</f>
        <v/>
      </c>
      <c r="I22" s="258" t="str">
        <f>IFERROR(VLOOKUP($A22,TableHandbook[],I$2,FALSE),"")</f>
        <v/>
      </c>
      <c r="J22" s="258" t="str">
        <f>IFERROR(VLOOKUP($A22,TableHandbook[],J$2,FALSE),"")</f>
        <v/>
      </c>
      <c r="K22" s="258" t="str">
        <f>IFERROR(VLOOKUP($A22,TableHandbook[],K$2,FALSE),"")</f>
        <v/>
      </c>
      <c r="L22" s="54"/>
      <c r="M22" s="64">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57" t="str">
        <f>IFERROR(VLOOKUP($A23,TableHandbook[],H$2,FALSE),"")</f>
        <v/>
      </c>
      <c r="I23" s="258" t="str">
        <f>IFERROR(VLOOKUP($A23,TableHandbook[],I$2,FALSE),"")</f>
        <v/>
      </c>
      <c r="J23" s="258" t="str">
        <f>IFERROR(VLOOKUP($A23,TableHandbook[],J$2,FALSE),"")</f>
        <v/>
      </c>
      <c r="K23" s="258" t="str">
        <f>IFERROR(VLOOKUP($A23,TableHandbook[],K$2,FALSE),"")</f>
        <v/>
      </c>
      <c r="L23" s="54"/>
      <c r="M23" s="64">
        <v>11</v>
      </c>
      <c r="N23" s="20"/>
      <c r="O23" s="20"/>
      <c r="P23" s="21"/>
      <c r="Q23" s="21"/>
      <c r="R23" s="21"/>
      <c r="S23" s="21"/>
      <c r="T23" s="21"/>
      <c r="U23" s="21"/>
      <c r="V23" s="21"/>
      <c r="W23" s="21"/>
    </row>
    <row r="24" spans="1:23" s="22" customFormat="1" ht="4.5" customHeight="1" x14ac:dyDescent="0.15">
      <c r="A24" s="191"/>
      <c r="B24" s="192"/>
      <c r="C24" s="192"/>
      <c r="D24" s="193"/>
      <c r="E24" s="192"/>
      <c r="F24" s="194"/>
      <c r="G24" s="192"/>
      <c r="H24" s="259"/>
      <c r="I24" s="260"/>
      <c r="J24" s="260"/>
      <c r="K24" s="260"/>
      <c r="L24" s="197"/>
      <c r="M24" s="28"/>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57" t="str">
        <f>IFERROR(VLOOKUP($A25,TableHandbook[],H$2,FALSE),"")</f>
        <v/>
      </c>
      <c r="I25" s="258" t="str">
        <f>IFERROR(VLOOKUP($A25,TableHandbook[],I$2,FALSE),"")</f>
        <v/>
      </c>
      <c r="J25" s="258" t="str">
        <f>IFERROR(VLOOKUP($A25,TableHandbook[],J$2,FALSE),"")</f>
        <v/>
      </c>
      <c r="K25" s="258" t="str">
        <f>IFERROR(VLOOKUP($A25,TableHandbook[],K$2,FALSE),"")</f>
        <v/>
      </c>
      <c r="L25" s="54"/>
      <c r="M25" s="64">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57" t="str">
        <f>IFERROR(VLOOKUP($A26,TableHandbook[],H$2,FALSE),"")</f>
        <v/>
      </c>
      <c r="I26" s="258" t="str">
        <f>IFERROR(VLOOKUP($A26,TableHandbook[],I$2,FALSE),"")</f>
        <v/>
      </c>
      <c r="J26" s="258" t="str">
        <f>IFERROR(VLOOKUP($A26,TableHandbook[],J$2,FALSE),"")</f>
        <v/>
      </c>
      <c r="K26" s="258" t="str">
        <f>IFERROR(VLOOKUP($A26,TableHandbook[],K$2,FALSE),"")</f>
        <v/>
      </c>
      <c r="L26" s="54"/>
      <c r="M26" s="64">
        <v>13</v>
      </c>
      <c r="N26" s="20"/>
      <c r="O26" s="20"/>
      <c r="P26" s="21"/>
      <c r="Q26" s="21"/>
      <c r="R26" s="21"/>
      <c r="S26" s="21"/>
      <c r="T26" s="21"/>
      <c r="U26" s="21"/>
      <c r="V26" s="21"/>
      <c r="W26" s="21"/>
    </row>
    <row r="27" spans="1:23" s="22" customFormat="1" ht="4.5" customHeight="1" x14ac:dyDescent="0.15">
      <c r="A27" s="191"/>
      <c r="B27" s="192"/>
      <c r="C27" s="192"/>
      <c r="D27" s="193"/>
      <c r="E27" s="192"/>
      <c r="F27" s="194"/>
      <c r="G27" s="192"/>
      <c r="H27" s="259"/>
      <c r="I27" s="260"/>
      <c r="J27" s="260"/>
      <c r="K27" s="260"/>
      <c r="L27" s="197"/>
      <c r="M27" s="28"/>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62" t="str">
        <f>IFERROR(VLOOKUP($A28,TableHandbook[],H$2,FALSE),"")</f>
        <v/>
      </c>
      <c r="I28" s="263" t="str">
        <f>IFERROR(VLOOKUP($A28,TableHandbook[],I$2,FALSE),"")</f>
        <v/>
      </c>
      <c r="J28" s="263" t="str">
        <f>IFERROR(VLOOKUP($A28,TableHandbook[],J$2,FALSE),"")</f>
        <v/>
      </c>
      <c r="K28" s="263" t="str">
        <f>IFERROR(VLOOKUP($A28,TableHandbook[],K$2,FALSE),"")</f>
        <v/>
      </c>
      <c r="L28" s="54"/>
      <c r="M28" s="64">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62" t="str">
        <f>IFERROR(VLOOKUP($A29,TableHandbook[],H$2,FALSE),"")</f>
        <v/>
      </c>
      <c r="I29" s="263" t="str">
        <f>IFERROR(VLOOKUP($A29,TableHandbook[],I$2,FALSE),"")</f>
        <v/>
      </c>
      <c r="J29" s="263" t="str">
        <f>IFERROR(VLOOKUP($A29,TableHandbook[],J$2,FALSE),"")</f>
        <v/>
      </c>
      <c r="K29" s="263" t="str">
        <f>IFERROR(VLOOKUP($A29,TableHandbook[],K$2,FALSE),"")</f>
        <v/>
      </c>
      <c r="L29" s="54"/>
      <c r="M29" s="64">
        <v>15</v>
      </c>
      <c r="N29" s="20"/>
      <c r="O29" s="20"/>
      <c r="P29" s="21"/>
      <c r="Q29" s="21"/>
      <c r="R29" s="21"/>
      <c r="S29" s="21"/>
      <c r="T29" s="21"/>
      <c r="U29" s="21"/>
      <c r="V29" s="21"/>
      <c r="W29" s="21"/>
    </row>
    <row r="30" spans="1:23" s="31" customFormat="1" ht="4.5" customHeight="1" x14ac:dyDescent="0.15">
      <c r="A30" s="191"/>
      <c r="B30" s="192"/>
      <c r="C30" s="192"/>
      <c r="D30" s="193"/>
      <c r="E30" s="192"/>
      <c r="F30" s="194"/>
      <c r="G30" s="192"/>
      <c r="H30" s="259"/>
      <c r="I30" s="260"/>
      <c r="J30" s="260"/>
      <c r="K30" s="260"/>
      <c r="L30" s="197"/>
      <c r="M30" s="64"/>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62" t="str">
        <f>IFERROR(VLOOKUP($A31,TableHandbook[],H$2,FALSE),"")</f>
        <v/>
      </c>
      <c r="I31" s="263" t="str">
        <f>IFERROR(VLOOKUP($A31,TableHandbook[],I$2,FALSE),"")</f>
        <v/>
      </c>
      <c r="J31" s="263" t="str">
        <f>IFERROR(VLOOKUP($A31,TableHandbook[],J$2,FALSE),"")</f>
        <v/>
      </c>
      <c r="K31" s="263" t="str">
        <f>IFERROR(VLOOKUP($A31,TableHandbook[],K$2,FALSE),"")</f>
        <v/>
      </c>
      <c r="L31" s="54"/>
      <c r="M31" s="64">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0" t="str">
        <f>IF(OR(A32="",A32="---"),"",E31)</f>
        <v/>
      </c>
      <c r="F32" s="49" t="str">
        <f>IFERROR(IF(VLOOKUP($A32,TableHandbook[],6,FALSE)=0,"",VLOOKUP($A32,TableHandbook[],6,FALSE)),"")</f>
        <v/>
      </c>
      <c r="G32" s="50" t="str">
        <f>IFERROR(IF(VLOOKUP($A32,TableHandbook[],5,FALSE)=0,"",VLOOKUP($A32,TableHandbook[],5,FALSE)),"")</f>
        <v/>
      </c>
      <c r="H32" s="262" t="str">
        <f>IFERROR(VLOOKUP($A32,TableHandbook[],H$2,FALSE),"")</f>
        <v/>
      </c>
      <c r="I32" s="263" t="str">
        <f>IFERROR(VLOOKUP($A32,TableHandbook[],I$2,FALSE),"")</f>
        <v/>
      </c>
      <c r="J32" s="263" t="str">
        <f>IFERROR(VLOOKUP($A32,TableHandbook[],J$2,FALSE),"")</f>
        <v/>
      </c>
      <c r="K32" s="263" t="str">
        <f>IFERROR(VLOOKUP($A32,TableHandbook[],K$2,FALSE),"")</f>
        <v/>
      </c>
      <c r="L32" s="54"/>
      <c r="M32" s="64">
        <v>17</v>
      </c>
      <c r="N32" s="29"/>
      <c r="O32" s="29"/>
      <c r="P32" s="30"/>
      <c r="Q32" s="30"/>
      <c r="R32" s="30"/>
      <c r="S32" s="30"/>
      <c r="T32" s="30"/>
      <c r="U32" s="30"/>
      <c r="V32" s="30"/>
      <c r="W32" s="30"/>
    </row>
    <row r="33" spans="1:23" s="19" customFormat="1" ht="21" x14ac:dyDescent="0.25">
      <c r="A33" s="107" t="s">
        <v>31</v>
      </c>
      <c r="B33" s="107"/>
      <c r="C33" s="107" t="s">
        <v>21</v>
      </c>
      <c r="D33" s="108" t="s">
        <v>3</v>
      </c>
      <c r="E33" s="125" t="s">
        <v>22</v>
      </c>
      <c r="F33" s="107" t="s">
        <v>23</v>
      </c>
      <c r="G33" s="107" t="s">
        <v>24</v>
      </c>
      <c r="H33" s="255" t="str">
        <f>H$9</f>
        <v>SP1</v>
      </c>
      <c r="I33" s="256" t="str">
        <f t="shared" ref="I33:L33" si="1">I$9</f>
        <v>SP2</v>
      </c>
      <c r="J33" s="256" t="str">
        <f t="shared" si="1"/>
        <v>SP3</v>
      </c>
      <c r="K33" s="256" t="str">
        <f t="shared" si="1"/>
        <v>SP4</v>
      </c>
      <c r="L33" s="113" t="str">
        <f t="shared" si="1"/>
        <v>Notes / Progress</v>
      </c>
      <c r="M33" s="17"/>
      <c r="N33" s="17"/>
      <c r="O33" s="17"/>
      <c r="P33" s="18"/>
      <c r="Q33" s="18"/>
      <c r="R33" s="18"/>
      <c r="S33" s="18"/>
      <c r="T33" s="18"/>
      <c r="U33" s="18"/>
      <c r="V33" s="18"/>
      <c r="W33" s="18"/>
    </row>
    <row r="34" spans="1:23" s="22" customFormat="1" ht="21" customHeight="1" x14ac:dyDescent="0.15">
      <c r="A34" s="56" t="str">
        <f>IFERROR(IF(HLOOKUP($L$6,RangeUnitsetsECEPR,M34,FALSE)=0,"",HLOOKUP($L$6,RangeUnitsetsECEPR,M34,FALSE)),"")</f>
        <v/>
      </c>
      <c r="B34" s="52" t="str">
        <f>IFERROR(IF(VLOOKUP($A34,TableHandbook[],2,FALSE)=0,"",VLOOKUP($A34,TableHandbook[],2,FALSE)),"")</f>
        <v/>
      </c>
      <c r="C34" s="52" t="str">
        <f>IFERROR(IF(VLOOKUP($A34,TableHandbook[],3,FALSE)=0,"",VLOOKUP($A34,TableHandbook[],3,FALSE)),"")</f>
        <v/>
      </c>
      <c r="D34" s="53" t="str">
        <f>IFERROR(IF(VLOOKUP($A34,TableHandbook[],4,FALSE)=0,"",VLOOKUP($A34,TableHandbook[],4,FALSE)),"")</f>
        <v/>
      </c>
      <c r="E34" s="52" t="str">
        <f>IF(OR(A34="",A34="--"),"",VLOOKUP($D$7,TableStudyPeriods[],2,FALSE))</f>
        <v/>
      </c>
      <c r="F34" s="49" t="str">
        <f>IFERROR(IF(VLOOKUP($A34,TableHandbook[],6,FALSE)=0,"",VLOOKUP($A34,TableHandbook[],6,FALSE)),"")</f>
        <v/>
      </c>
      <c r="G34" s="50" t="str">
        <f>IFERROR(IF(VLOOKUP($A34,TableHandbook[],5,FALSE)=0,"",VLOOKUP($A34,TableHandbook[],5,FALSE)),"")</f>
        <v/>
      </c>
      <c r="H34" s="257" t="str">
        <f>IFERROR(VLOOKUP($A34,TableHandbook[],H$2,FALSE),"")</f>
        <v/>
      </c>
      <c r="I34" s="258" t="str">
        <f>IFERROR(VLOOKUP($A34,TableHandbook[],I$2,FALSE),"")</f>
        <v/>
      </c>
      <c r="J34" s="258" t="str">
        <f>IFERROR(VLOOKUP($A34,TableHandbook[],J$2,FALSE),"")</f>
        <v/>
      </c>
      <c r="K34" s="258" t="str">
        <f>IFERROR(VLOOKUP($A34,TableHandbook[],K$2,FALSE),"")</f>
        <v/>
      </c>
      <c r="L34" s="54"/>
      <c r="M34" s="64">
        <v>18</v>
      </c>
      <c r="N34" s="20"/>
      <c r="O34" s="20"/>
      <c r="P34" s="21"/>
      <c r="Q34" s="21"/>
      <c r="R34" s="21"/>
      <c r="S34" s="21"/>
      <c r="T34" s="21"/>
      <c r="U34" s="21"/>
      <c r="V34" s="21"/>
      <c r="W34" s="21"/>
    </row>
    <row r="35" spans="1:23" s="22" customFormat="1" ht="15" customHeight="1" x14ac:dyDescent="0.15">
      <c r="A35" s="159"/>
      <c r="B35" s="160"/>
      <c r="C35" s="160"/>
      <c r="D35" s="161"/>
      <c r="E35" s="160"/>
      <c r="F35" s="162"/>
      <c r="G35" s="159"/>
      <c r="H35" s="159"/>
      <c r="I35" s="159"/>
      <c r="J35" s="159"/>
      <c r="K35" s="159"/>
      <c r="L35" s="163"/>
      <c r="M35" s="64"/>
      <c r="N35" s="20"/>
      <c r="O35" s="20"/>
      <c r="P35" s="21"/>
      <c r="Q35" s="21"/>
      <c r="R35" s="21"/>
      <c r="S35" s="21"/>
      <c r="T35" s="21"/>
      <c r="U35" s="21"/>
      <c r="V35" s="21"/>
      <c r="W35" s="21"/>
    </row>
    <row r="36" spans="1:23" s="16" customFormat="1" ht="21" customHeight="1" x14ac:dyDescent="0.25">
      <c r="A36" s="65" t="s">
        <v>32</v>
      </c>
      <c r="B36" s="65"/>
      <c r="C36" s="65"/>
      <c r="D36" s="65"/>
      <c r="E36" s="65"/>
      <c r="F36" s="65"/>
      <c r="G36" s="65"/>
      <c r="H36" s="65"/>
      <c r="I36" s="65"/>
      <c r="J36" s="65"/>
      <c r="K36" s="65"/>
      <c r="L36" s="65"/>
    </row>
    <row r="37" spans="1:23" s="38" customFormat="1" ht="17.25" x14ac:dyDescent="0.2">
      <c r="A37" s="32" t="s">
        <v>33</v>
      </c>
      <c r="B37" s="32"/>
      <c r="C37" s="32"/>
      <c r="D37" s="33"/>
      <c r="E37" s="33"/>
      <c r="F37" s="33"/>
      <c r="G37" s="33"/>
      <c r="H37" s="33"/>
      <c r="I37" s="33"/>
      <c r="J37" s="33"/>
      <c r="K37" s="33"/>
      <c r="L37" s="33"/>
      <c r="M37" s="36"/>
      <c r="N37" s="36"/>
      <c r="O37" s="36"/>
      <c r="P37" s="37"/>
      <c r="Q37" s="37"/>
      <c r="R37" s="37"/>
      <c r="S37" s="37"/>
      <c r="T37" s="37"/>
      <c r="U37" s="37"/>
      <c r="V37" s="37"/>
      <c r="W37" s="37"/>
    </row>
    <row r="38" spans="1:23" x14ac:dyDescent="0.25">
      <c r="A38" s="34" t="s">
        <v>34</v>
      </c>
      <c r="B38" s="34"/>
      <c r="C38" s="34"/>
      <c r="D38" s="34"/>
      <c r="E38" s="47"/>
      <c r="F38" s="35"/>
      <c r="G38" s="48"/>
      <c r="H38" s="48"/>
      <c r="I38" s="48"/>
      <c r="J38" s="48"/>
      <c r="K38" s="48"/>
      <c r="L38" s="48" t="s">
        <v>35</v>
      </c>
    </row>
  </sheetData>
  <sheetProtection formatCell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Unitsets!$A$44:$A$48</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24"/>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3">
        <v>2</v>
      </c>
      <c r="C2" s="153">
        <v>3</v>
      </c>
      <c r="D2" s="153">
        <v>4</v>
      </c>
      <c r="E2" s="153"/>
      <c r="F2" s="153">
        <v>6</v>
      </c>
      <c r="G2" s="153">
        <v>5</v>
      </c>
      <c r="H2" s="153">
        <v>7</v>
      </c>
      <c r="I2" s="153">
        <v>8</v>
      </c>
      <c r="J2" s="153">
        <v>9</v>
      </c>
      <c r="K2" s="153">
        <v>10</v>
      </c>
      <c r="L2" s="12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202"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1"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55" t="s">
        <v>25</v>
      </c>
      <c r="I9" s="256" t="s">
        <v>26</v>
      </c>
      <c r="J9" s="256" t="s">
        <v>27</v>
      </c>
      <c r="K9" s="261" t="s">
        <v>28</v>
      </c>
      <c r="L9" s="113" t="s">
        <v>29</v>
      </c>
      <c r="M9" s="17"/>
      <c r="N9" s="17"/>
      <c r="O9" s="17"/>
      <c r="P9" s="18"/>
      <c r="Q9" s="18"/>
      <c r="R9" s="18"/>
      <c r="S9" s="18"/>
      <c r="T9" s="18"/>
      <c r="U9" s="18"/>
      <c r="V9" s="18"/>
      <c r="W9" s="18"/>
    </row>
    <row r="10" spans="1:23" s="22" customFormat="1" ht="21" customHeight="1" x14ac:dyDescent="0.15">
      <c r="A10" s="56" t="str">
        <f>IFERROR(IF(HLOOKUP($L$6,RangeUnitsetsOGEDUC,M10,FALSE)=0,"",HLOOKUP($L$6,RangeUnitsetsOGEDUC,M10,FALSE)),"")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57" t="str">
        <f>IFERROR(VLOOKUP($A10,TableHandbook[],H$2,FALSE),"")</f>
        <v>Y</v>
      </c>
      <c r="I10" s="258" t="str">
        <f>IFERROR(VLOOKUP($A10,TableHandbook[],I$2,FALSE),"")</f>
        <v>Y</v>
      </c>
      <c r="J10" s="258" t="str">
        <f>IFERROR(VLOOKUP($A10,TableHandbook[],J$2,FALSE),"")</f>
        <v/>
      </c>
      <c r="K10" s="265" t="str">
        <f>IFERROR(VLOOKUP($A10,TableHandbook[],K$2,FALSE),"")</f>
        <v/>
      </c>
      <c r="L10" s="58"/>
      <c r="M10" s="151">
        <v>2</v>
      </c>
      <c r="N10" s="20"/>
      <c r="O10" s="20"/>
      <c r="P10" s="21"/>
      <c r="Q10" s="21"/>
      <c r="R10" s="21"/>
      <c r="S10" s="21"/>
      <c r="T10" s="21"/>
      <c r="U10" s="21"/>
      <c r="V10" s="21"/>
      <c r="W10" s="21"/>
    </row>
    <row r="11" spans="1:23" s="22" customFormat="1" ht="21" customHeight="1" x14ac:dyDescent="0.15">
      <c r="A11" s="56" t="str">
        <f>IFERROR(IF(HLOOKUP($L$6,RangeUnitsetsOGEDUC,M11,FALSE)=0,"",HLOOKUP($L$6,RangeUnitsetsOGEDUC,M11,FALSE)),"")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57" t="str">
        <f>IFERROR(VLOOKUP($A11,TableHandbook[],H$2,FALSE),"")</f>
        <v>Y</v>
      </c>
      <c r="I11" s="258" t="str">
        <f>IFERROR(VLOOKUP($A11,TableHandbook[],I$2,FALSE),"")</f>
        <v/>
      </c>
      <c r="J11" s="258" t="str">
        <f>IFERROR(VLOOKUP($A11,TableHandbook[],J$2,FALSE),"")</f>
        <v>Y</v>
      </c>
      <c r="K11" s="265" t="str">
        <f>IFERROR(VLOOKUP($A11,TableHandbook[],K$2,FALSE),"")</f>
        <v/>
      </c>
      <c r="L11" s="58"/>
      <c r="M11" s="151">
        <v>3</v>
      </c>
      <c r="N11" s="20"/>
      <c r="O11" s="20"/>
      <c r="P11" s="21"/>
      <c r="Q11" s="21"/>
      <c r="R11" s="21"/>
      <c r="S11" s="21"/>
      <c r="T11" s="21"/>
      <c r="U11" s="21"/>
      <c r="V11" s="21"/>
      <c r="W11" s="21"/>
    </row>
    <row r="12" spans="1:23" s="22" customFormat="1" ht="6" customHeight="1" x14ac:dyDescent="0.15">
      <c r="A12" s="191"/>
      <c r="B12" s="192"/>
      <c r="C12" s="192"/>
      <c r="D12" s="193"/>
      <c r="E12" s="192"/>
      <c r="F12" s="194"/>
      <c r="G12" s="192"/>
      <c r="H12" s="259"/>
      <c r="I12" s="260"/>
      <c r="J12" s="260"/>
      <c r="K12" s="268"/>
      <c r="L12" s="197"/>
      <c r="M12" s="151"/>
      <c r="N12" s="20"/>
      <c r="O12" s="20"/>
      <c r="P12" s="20"/>
      <c r="Q12" s="21"/>
      <c r="R12" s="21"/>
      <c r="S12" s="21"/>
      <c r="T12" s="21"/>
      <c r="U12" s="21"/>
      <c r="V12" s="21"/>
      <c r="W12" s="21"/>
    </row>
    <row r="13" spans="1:23" s="22" customFormat="1" ht="21" customHeight="1" x14ac:dyDescent="0.15">
      <c r="A13" s="56" t="str">
        <f>IFERROR(IF(HLOOKUP($L$6,RangeUnitsetsOGEDUC,M13,FALSE)=0,"",HLOOKUP($L$6,RangeUnitsetsOGEDUC,M13,FALSE)),"")</f>
        <v>EDPR5012</v>
      </c>
      <c r="B13" s="50">
        <f>IFERROR(IF(VLOOKUP($A13,TableHandbook[],2,FALSE)=0,"",VLOOKUP($A13,TableHandbook[],2,FALSE)),"")</f>
        <v>1</v>
      </c>
      <c r="C13" s="50" t="str">
        <f>IFERROR(IF(VLOOKUP($A13,TableHandbook[],3,FALSE)=0,"",VLOOKUP($A13,TableHandbook[],3,FALSE)),"")</f>
        <v>MTP505</v>
      </c>
      <c r="D13" s="57" t="str">
        <f>IFERROR(IF(VLOOKUP($A13,TableHandbook[],4,FALSE)=0,"",VLOOKUP($A13,TableHandbook[],4,FALSE)),"")</f>
        <v>Teaching Science in the Primary Years</v>
      </c>
      <c r="E13" s="50" t="str">
        <f>IF(OR(A13="",A13="--"),"",VLOOKUP($D$7,TableStudyPeriods[],3,FALSE))</f>
        <v>SP2</v>
      </c>
      <c r="F13" s="49" t="str">
        <f>IFERROR(IF(VLOOKUP($A13,TableHandbook[],6,FALSE)=0,"",VLOOKUP($A13,TableHandbook[],6,FALSE)),"")</f>
        <v>Nil</v>
      </c>
      <c r="G13" s="50">
        <f>IFERROR(IF(VLOOKUP($A13,TableHandbook[],5,FALSE)=0,"",VLOOKUP($A13,TableHandbook[],5,FALSE)),"")</f>
        <v>25</v>
      </c>
      <c r="H13" s="257" t="str">
        <f>IFERROR(VLOOKUP($A13,TableHandbook[],H$2,FALSE),"")</f>
        <v/>
      </c>
      <c r="I13" s="258" t="str">
        <f>IFERROR(VLOOKUP($A13,TableHandbook[],I$2,FALSE),"")</f>
        <v>Y</v>
      </c>
      <c r="J13" s="258" t="str">
        <f>IFERROR(VLOOKUP($A13,TableHandbook[],J$2,FALSE),"")</f>
        <v/>
      </c>
      <c r="K13" s="265" t="str">
        <f>IFERROR(VLOOKUP($A13,TableHandbook[],K$2,FALSE),"")</f>
        <v/>
      </c>
      <c r="L13" s="59"/>
      <c r="M13" s="151">
        <v>4</v>
      </c>
      <c r="N13" s="20"/>
      <c r="O13" s="20"/>
      <c r="P13" s="21"/>
      <c r="Q13" s="21"/>
      <c r="R13" s="21"/>
      <c r="S13" s="21"/>
      <c r="T13" s="21"/>
      <c r="U13" s="21"/>
      <c r="V13" s="21"/>
      <c r="W13" s="21"/>
    </row>
    <row r="14" spans="1:23" s="22" customFormat="1" ht="21" customHeight="1" x14ac:dyDescent="0.15">
      <c r="A14" s="56" t="str">
        <f>IFERROR(IF(HLOOKUP($L$6,RangeUnitsetsOGEDUC,M14,FALSE)=0,"",HLOOKUP($L$6,RangeUnitsetsOGEDUC,M14,FALSE)),"")</f>
        <v>EDPR5013</v>
      </c>
      <c r="B14" s="50">
        <f>IFERROR(IF(VLOOKUP($A14,TableHandbook[],2,FALSE)=0,"",VLOOKUP($A14,TableHandbook[],2,FALSE)),"")</f>
        <v>1</v>
      </c>
      <c r="C14" s="50" t="str">
        <f>IFERROR(IF(VLOOKUP($A14,TableHandbook[],3,FALSE)=0,"",VLOOKUP($A14,TableHandbook[],3,FALSE)),"")</f>
        <v>MTP506</v>
      </c>
      <c r="D14" s="57" t="str">
        <f>IFERROR(IF(VLOOKUP($A14,TableHandbook[],4,FALSE)=0,"",VLOOKUP($A14,TableHandbook[],4,FALSE)),"")</f>
        <v>Primary Professional Experience 2: Assessment and Reporting</v>
      </c>
      <c r="E14" s="50" t="str">
        <f>IF(A14="","",E13)</f>
        <v>SP2</v>
      </c>
      <c r="F14" s="49" t="str">
        <f>IFERROR(IF(VLOOKUP($A14,TableHandbook[],6,FALSE)=0,"",VLOOKUP($A14,TableHandbook[],6,FALSE)),"")</f>
        <v>MTP502</v>
      </c>
      <c r="G14" s="50">
        <f>IFERROR(IF(VLOOKUP($A14,TableHandbook[],5,FALSE)=0,"",VLOOKUP($A14,TableHandbook[],5,FALSE)),"")</f>
        <v>25</v>
      </c>
      <c r="H14" s="257" t="str">
        <f>IFERROR(VLOOKUP($A14,TableHandbook[],H$2,FALSE),"")</f>
        <v/>
      </c>
      <c r="I14" s="258" t="str">
        <f>IFERROR(VLOOKUP($A14,TableHandbook[],I$2,FALSE),"")</f>
        <v>Y</v>
      </c>
      <c r="J14" s="258" t="str">
        <f>IFERROR(VLOOKUP($A14,TableHandbook[],J$2,FALSE),"")</f>
        <v>Y</v>
      </c>
      <c r="K14" s="265" t="str">
        <f>IFERROR(VLOOKUP($A14,TableHandbook[],K$2,FALSE),"")</f>
        <v/>
      </c>
      <c r="L14" s="58"/>
      <c r="M14" s="151">
        <v>5</v>
      </c>
      <c r="N14" s="20"/>
      <c r="O14" s="20"/>
      <c r="P14" s="21"/>
      <c r="Q14" s="21"/>
      <c r="R14" s="21"/>
      <c r="S14" s="21"/>
      <c r="T14" s="21"/>
      <c r="U14" s="21"/>
      <c r="V14" s="21"/>
      <c r="W14" s="21"/>
    </row>
    <row r="15" spans="1:23" s="22" customFormat="1" ht="6" customHeight="1" x14ac:dyDescent="0.15">
      <c r="A15" s="191"/>
      <c r="B15" s="192"/>
      <c r="C15" s="192"/>
      <c r="D15" s="193"/>
      <c r="E15" s="192"/>
      <c r="F15" s="194"/>
      <c r="G15" s="192"/>
      <c r="H15" s="259"/>
      <c r="I15" s="260"/>
      <c r="J15" s="260"/>
      <c r="K15" s="268"/>
      <c r="L15" s="197"/>
      <c r="M15" s="151"/>
      <c r="N15" s="20"/>
      <c r="O15" s="20"/>
      <c r="P15" s="20"/>
      <c r="Q15" s="21"/>
      <c r="R15" s="21"/>
      <c r="S15" s="21"/>
      <c r="T15" s="21"/>
      <c r="U15" s="21"/>
      <c r="V15" s="21"/>
      <c r="W15" s="21"/>
    </row>
    <row r="16" spans="1:23" s="22" customFormat="1" ht="21" customHeight="1" x14ac:dyDescent="0.15">
      <c r="A16" s="56" t="str">
        <f>IFERROR(IF(HLOOKUP($L$6,RangeUnitsetsOGEDUC,M16,FALSE)=0,"",HLOOKUP($L$6,RangeUnitsetsOGEDUC,M16,FALSE)),"")</f>
        <v>EDUC5032</v>
      </c>
      <c r="B16" s="52">
        <f>IFERROR(IF(VLOOKUP($A16,TableHandbook[],2,FALSE)=0,"",VLOOKUP($A16,TableHandbook[],2,FALSE)),"")</f>
        <v>1</v>
      </c>
      <c r="C16" s="52" t="str">
        <f>IFERROR(IF(VLOOKUP($A16,TableHandbook[],3,FALSE)=0,"",VLOOKUP($A16,TableHandbook[],3,FALSE)),"")</f>
        <v>MTC510</v>
      </c>
      <c r="D16" s="57" t="str">
        <f>IFERROR(IF(VLOOKUP($A16,TableHandbook[],4,FALSE)=0,"",VLOOKUP($A16,TableHandbook[],4,FALSE)),"")</f>
        <v>Introduction to English: Reading</v>
      </c>
      <c r="E16" s="50" t="str">
        <f>IF(OR(A16="",A16="--"),"",VLOOKUP($D$7,TableStudyPeriods[],4,FALSE))</f>
        <v>SP3</v>
      </c>
      <c r="F16" s="49" t="str">
        <f>IFERROR(IF(VLOOKUP($A16,TableHandbook[],6,FALSE)=0,"",VLOOKUP($A16,TableHandbook[],6,FALSE)),"")</f>
        <v>Nil</v>
      </c>
      <c r="G16" s="52">
        <f>IFERROR(IF(VLOOKUP($A16,TableHandbook[],5,FALSE)=0,"",VLOOKUP($A16,TableHandbook[],5,FALSE)),"")</f>
        <v>25</v>
      </c>
      <c r="H16" s="262" t="str">
        <f>IFERROR(VLOOKUP($A16,TableHandbook[],H$2,FALSE),"")</f>
        <v>Y</v>
      </c>
      <c r="I16" s="263" t="str">
        <f>IFERROR(VLOOKUP($A16,TableHandbook[],I$2,FALSE),"")</f>
        <v/>
      </c>
      <c r="J16" s="263" t="str">
        <f>IFERROR(VLOOKUP($A16,TableHandbook[],J$2,FALSE),"")</f>
        <v>Y</v>
      </c>
      <c r="K16" s="264" t="str">
        <f>IFERROR(VLOOKUP($A16,TableHandbook[],K$2,FALSE),"")</f>
        <v/>
      </c>
      <c r="L16" s="59"/>
      <c r="M16" s="151">
        <v>6</v>
      </c>
      <c r="N16" s="20"/>
      <c r="O16" s="20"/>
      <c r="P16" s="21"/>
      <c r="Q16" s="21"/>
      <c r="R16" s="21"/>
      <c r="S16" s="21"/>
      <c r="T16" s="21"/>
      <c r="U16" s="21"/>
      <c r="V16" s="21"/>
      <c r="W16" s="21"/>
    </row>
    <row r="17" spans="1:23" s="31"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IF(A17="","",E16)</f>
        <v>SP3</v>
      </c>
      <c r="F17" s="49" t="str">
        <f>IFERROR(IF(VLOOKUP($A17,TableHandbook[],6,FALSE)=0,"",VLOOKUP($A17,TableHandbook[],6,FALSE)),"")</f>
        <v>MTEC502 or MTP506 or MTS504</v>
      </c>
      <c r="G17" s="52">
        <f>IFERROR(IF(VLOOKUP($A17,TableHandbook[],5,FALSE)=0,"",VLOOKUP($A17,TableHandbook[],5,FALSE)),"")</f>
        <v>25</v>
      </c>
      <c r="H17" s="262" t="str">
        <f>IFERROR(VLOOKUP($A17,TableHandbook[],H$2,FALSE),"")</f>
        <v>Y</v>
      </c>
      <c r="I17" s="263" t="str">
        <f>IFERROR(VLOOKUP($A17,TableHandbook[],I$2,FALSE),"")</f>
        <v/>
      </c>
      <c r="J17" s="263" t="str">
        <f>IFERROR(VLOOKUP($A17,TableHandbook[],J$2,FALSE),"")</f>
        <v>Y</v>
      </c>
      <c r="K17" s="264" t="str">
        <f>IFERROR(VLOOKUP($A17,TableHandbook[],K$2,FALSE),"")</f>
        <v/>
      </c>
      <c r="L17" s="59"/>
      <c r="M17" s="151">
        <v>7</v>
      </c>
      <c r="N17" s="29"/>
      <c r="O17" s="29"/>
      <c r="P17" s="30"/>
      <c r="Q17" s="30"/>
      <c r="R17" s="30"/>
      <c r="S17" s="30"/>
      <c r="T17" s="30"/>
      <c r="U17" s="30"/>
      <c r="V17" s="30"/>
      <c r="W17" s="30"/>
    </row>
    <row r="18" spans="1:23" s="22" customFormat="1" ht="6" customHeight="1" x14ac:dyDescent="0.15">
      <c r="A18" s="191"/>
      <c r="B18" s="192"/>
      <c r="C18" s="192"/>
      <c r="D18" s="193"/>
      <c r="E18" s="192"/>
      <c r="F18" s="194"/>
      <c r="G18" s="192"/>
      <c r="H18" s="259"/>
      <c r="I18" s="260"/>
      <c r="J18" s="260"/>
      <c r="K18" s="268"/>
      <c r="L18" s="197"/>
      <c r="M18" s="151"/>
      <c r="N18" s="20"/>
      <c r="O18" s="20"/>
      <c r="P18" s="20"/>
      <c r="Q18" s="21"/>
      <c r="R18" s="21"/>
      <c r="S18" s="21"/>
      <c r="T18" s="21"/>
      <c r="U18" s="21"/>
      <c r="V18" s="21"/>
      <c r="W18" s="21"/>
    </row>
    <row r="19" spans="1:23" s="31" customFormat="1" ht="21" customHeight="1" x14ac:dyDescent="0.15">
      <c r="A19" s="56" t="str">
        <f>IFERROR(IF(HLOOKUP($L$6,RangeUnitsetsOGEDUC,M19,FALSE)=0,"",HLOOKUP($L$6,RangeUnitsetsOGEDUC,M19,FALSE)),"")</f>
        <v>EDPR5010</v>
      </c>
      <c r="B19" s="52">
        <f>IFERROR(IF(VLOOKUP($A19,TableHandbook[],2,FALSE)=0,"",VLOOKUP($A19,TableHandbook[],2,FALSE)),"")</f>
        <v>1</v>
      </c>
      <c r="C19" s="52" t="str">
        <f>IFERROR(IF(VLOOKUP($A19,TableHandbook[],3,FALSE)=0,"",VLOOKUP($A19,TableHandbook[],3,FALSE)),"")</f>
        <v>MTP501</v>
      </c>
      <c r="D19" s="57" t="str">
        <f>IFERROR(IF(VLOOKUP($A19,TableHandbook[],4,FALSE)=0,"",VLOOKUP($A19,TableHandbook[],4,FALSE)),"")</f>
        <v>Teaching Number, Algebra and Probability in the Primary Years</v>
      </c>
      <c r="E19" s="50" t="str">
        <f>IF(OR(A19="",A19="--"),"",VLOOKUP($D$7,TableStudyPeriods[],5,FALSE))</f>
        <v>SP4</v>
      </c>
      <c r="F19" s="49" t="str">
        <f>IFERROR(IF(VLOOKUP($A19,TableHandbook[],6,FALSE)=0,"",VLOOKUP($A19,TableHandbook[],6,FALSE)),"")</f>
        <v>Nil</v>
      </c>
      <c r="G19" s="52">
        <f>IFERROR(IF(VLOOKUP($A19,TableHandbook[],5,FALSE)=0,"",VLOOKUP($A19,TableHandbook[],5,FALSE)),"")</f>
        <v>25</v>
      </c>
      <c r="H19" s="262" t="str">
        <f>IFERROR(VLOOKUP($A19,TableHandbook[],H$2,FALSE),"")</f>
        <v/>
      </c>
      <c r="I19" s="263" t="str">
        <f>IFERROR(VLOOKUP($A19,TableHandbook[],I$2,FALSE),"")</f>
        <v>Y</v>
      </c>
      <c r="J19" s="263" t="str">
        <f>IFERROR(VLOOKUP($A19,TableHandbook[],J$2,FALSE),"")</f>
        <v/>
      </c>
      <c r="K19" s="264" t="str">
        <f>IFERROR(VLOOKUP($A19,TableHandbook[],K$2,FALSE),"")</f>
        <v>Y</v>
      </c>
      <c r="L19" s="59"/>
      <c r="M19" s="151">
        <v>8</v>
      </c>
      <c r="N19" s="29"/>
      <c r="O19" s="29"/>
      <c r="P19" s="30"/>
      <c r="Q19" s="30"/>
      <c r="R19" s="30"/>
      <c r="S19" s="30"/>
      <c r="T19" s="30"/>
      <c r="U19" s="30"/>
      <c r="V19" s="30"/>
      <c r="W19" s="30"/>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5" t="str">
        <f>IFERROR(IF(VLOOKUP($A20,TableHandbook[],4,FALSE)=0,"",VLOOKUP($A20,TableHandbook[],4,FALSE)),"")</f>
        <v>Creative Technologies</v>
      </c>
      <c r="E20" s="52" t="str">
        <f>IF(A20="","",E19)</f>
        <v>SP4</v>
      </c>
      <c r="F20" s="49" t="str">
        <f>IFERROR(IF(VLOOKUP($A20,TableHandbook[],6,FALSE)=0,"",VLOOKUP($A20,TableHandbook[],6,FALSE)),"")</f>
        <v>Nil</v>
      </c>
      <c r="G20" s="52">
        <f>IFERROR(IF(VLOOKUP($A20,TableHandbook[],5,FALSE)=0,"",VLOOKUP($A20,TableHandbook[],5,FALSE)),"")</f>
        <v>25</v>
      </c>
      <c r="H20" s="262" t="str">
        <f>IFERROR(VLOOKUP($A20,TableHandbook[],H$2,FALSE),"")</f>
        <v/>
      </c>
      <c r="I20" s="263" t="str">
        <f>IFERROR(VLOOKUP($A20,TableHandbook[],I$2,FALSE),"")</f>
        <v>Y</v>
      </c>
      <c r="J20" s="263" t="str">
        <f>IFERROR(VLOOKUP($A20,TableHandbook[],J$2,FALSE),"")</f>
        <v>Y</v>
      </c>
      <c r="K20" s="264" t="str">
        <f>IFERROR(VLOOKUP($A20,TableHandbook[],K$2,FALSE),"")</f>
        <v>Y</v>
      </c>
      <c r="L20" s="59"/>
      <c r="M20" s="151">
        <v>9</v>
      </c>
      <c r="N20" s="29"/>
      <c r="O20" s="29"/>
      <c r="P20" s="30"/>
      <c r="Q20" s="30"/>
      <c r="R20" s="30"/>
      <c r="S20" s="30"/>
      <c r="T20" s="30"/>
      <c r="U20" s="30"/>
      <c r="V20" s="30"/>
      <c r="W20" s="30"/>
    </row>
    <row r="21" spans="1:23" ht="16.5" customHeight="1" x14ac:dyDescent="0.25">
      <c r="A21" s="39"/>
      <c r="B21" s="39"/>
      <c r="C21" s="39"/>
      <c r="D21" s="40"/>
      <c r="E21" s="40"/>
      <c r="F21" s="35"/>
      <c r="G21" s="35"/>
      <c r="H21" s="35"/>
      <c r="I21" s="35"/>
      <c r="J21" s="35"/>
      <c r="K21" s="35"/>
      <c r="L21" s="35"/>
      <c r="M21" s="16"/>
      <c r="N21" s="16"/>
      <c r="O21" s="16"/>
      <c r="P21" s="16"/>
      <c r="Q21" s="16"/>
      <c r="R21" s="16"/>
      <c r="S21" s="16"/>
      <c r="T21" s="16"/>
      <c r="U21" s="16"/>
      <c r="V21" s="16"/>
      <c r="W21" s="16"/>
    </row>
    <row r="22" spans="1:23" s="16" customFormat="1" ht="21" customHeight="1" x14ac:dyDescent="0.25">
      <c r="A22" s="65" t="s">
        <v>32</v>
      </c>
      <c r="B22" s="65"/>
      <c r="C22" s="65"/>
      <c r="D22" s="65"/>
      <c r="E22" s="65"/>
      <c r="F22" s="65"/>
      <c r="G22" s="65"/>
      <c r="H22" s="65"/>
      <c r="I22" s="65"/>
      <c r="J22" s="65"/>
      <c r="K22" s="65"/>
      <c r="L22" s="65"/>
    </row>
    <row r="23" spans="1:23" s="38" customFormat="1" ht="17.25" x14ac:dyDescent="0.2">
      <c r="A23" s="32" t="s">
        <v>33</v>
      </c>
      <c r="B23" s="32"/>
      <c r="C23" s="32"/>
      <c r="D23" s="33"/>
      <c r="E23" s="33"/>
      <c r="F23" s="33"/>
      <c r="G23" s="33"/>
      <c r="H23" s="33"/>
      <c r="I23" s="33"/>
      <c r="J23" s="33"/>
      <c r="K23" s="33"/>
      <c r="L23" s="33"/>
      <c r="M23" s="36"/>
      <c r="N23" s="36"/>
      <c r="O23" s="36"/>
      <c r="P23" s="37"/>
      <c r="Q23" s="37"/>
      <c r="R23" s="37"/>
      <c r="S23" s="37"/>
      <c r="T23" s="37"/>
      <c r="U23" s="37"/>
      <c r="V23" s="37"/>
      <c r="W23" s="37"/>
    </row>
    <row r="24" spans="1:23" x14ac:dyDescent="0.25">
      <c r="A24" s="34" t="s">
        <v>34</v>
      </c>
      <c r="B24" s="34"/>
      <c r="C24" s="34"/>
      <c r="D24" s="34"/>
      <c r="E24" s="47"/>
      <c r="F24" s="35"/>
      <c r="G24" s="48"/>
      <c r="H24" s="48"/>
      <c r="I24" s="48"/>
      <c r="J24" s="48"/>
      <c r="K24" s="48"/>
      <c r="L24" s="48" t="s">
        <v>35</v>
      </c>
    </row>
  </sheetData>
  <sheetProtection formatCell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3">
        <v>2</v>
      </c>
      <c r="C2" s="153">
        <v>3</v>
      </c>
      <c r="D2" s="153">
        <v>4</v>
      </c>
      <c r="E2" s="153"/>
      <c r="F2" s="153">
        <v>6</v>
      </c>
      <c r="G2" s="153">
        <v>5</v>
      </c>
      <c r="H2" s="153">
        <v>7</v>
      </c>
      <c r="I2" s="153">
        <v>8</v>
      </c>
      <c r="J2" s="153">
        <v>9</v>
      </c>
      <c r="K2" s="153">
        <v>10</v>
      </c>
      <c r="L2" s="12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44" t="s">
        <v>270</v>
      </c>
      <c r="E4" s="229"/>
      <c r="F4" s="227"/>
      <c r="G4" s="230"/>
      <c r="H4" s="230"/>
      <c r="I4" s="230"/>
      <c r="J4" s="230"/>
      <c r="K4" s="230"/>
      <c r="L4" s="230"/>
    </row>
    <row r="5" spans="1:23" ht="20.100000000000001" customHeight="1" x14ac:dyDescent="0.25">
      <c r="B5" s="10"/>
      <c r="C5" s="126" t="s">
        <v>10</v>
      </c>
      <c r="D5" s="202"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1"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55" t="s">
        <v>25</v>
      </c>
      <c r="I9" s="256" t="s">
        <v>26</v>
      </c>
      <c r="J9" s="256" t="s">
        <v>27</v>
      </c>
      <c r="K9" s="261" t="s">
        <v>28</v>
      </c>
      <c r="L9" s="113" t="s">
        <v>29</v>
      </c>
      <c r="M9" s="17"/>
      <c r="N9" s="17"/>
      <c r="O9" s="17"/>
      <c r="P9" s="18"/>
      <c r="Q9" s="18"/>
      <c r="R9" s="18"/>
      <c r="S9" s="18"/>
      <c r="T9" s="18"/>
      <c r="U9" s="18"/>
      <c r="V9" s="18"/>
      <c r="W9" s="18"/>
    </row>
    <row r="10" spans="1:23" s="22" customFormat="1" ht="21" customHeight="1" x14ac:dyDescent="0.15">
      <c r="A10" s="56" t="str">
        <f>IFERROR(IF(HLOOKUP($L$6,RangeUnitsetsOGEDUCAcc,M10,FALSE)=0,"",HLOOKUP($L$6,RangeUnitsetsOGEDUCAcc,M10,FALSE)),"")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57" t="str">
        <f>IFERROR(VLOOKUP($A10,TableHandbook[],H$2,FALSE),"")</f>
        <v>Y</v>
      </c>
      <c r="I10" s="258" t="str">
        <f>IFERROR(VLOOKUP($A10,TableHandbook[],I$2,FALSE),"")</f>
        <v>Y</v>
      </c>
      <c r="J10" s="258" t="str">
        <f>IFERROR(VLOOKUP($A10,TableHandbook[],J$2,FALSE),"")</f>
        <v/>
      </c>
      <c r="K10" s="265" t="str">
        <f>IFERROR(VLOOKUP($A10,TableHandbook[],K$2,FALSE),"")</f>
        <v/>
      </c>
      <c r="L10" s="58"/>
      <c r="M10" s="151">
        <v>2</v>
      </c>
      <c r="N10" s="20"/>
      <c r="O10" s="20"/>
      <c r="P10" s="21"/>
      <c r="Q10" s="21"/>
      <c r="R10" s="21"/>
      <c r="S10" s="21"/>
      <c r="T10" s="21"/>
      <c r="U10" s="21"/>
      <c r="V10" s="21"/>
      <c r="W10" s="21"/>
    </row>
    <row r="11" spans="1:23" s="22" customFormat="1" ht="21" customHeight="1" x14ac:dyDescent="0.15">
      <c r="A11" s="56" t="str">
        <f>IFERROR(IF(HLOOKUP($L$6,RangeUnitsetsOGEDUCAcc,M11,FALSE)=0,"",HLOOKUP($L$6,RangeUnitsetsOGEDUCAcc,M11,FALSE)),"")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57" t="str">
        <f>IFERROR(VLOOKUP($A11,TableHandbook[],H$2,FALSE),"")</f>
        <v>Y</v>
      </c>
      <c r="I11" s="258" t="str">
        <f>IFERROR(VLOOKUP($A11,TableHandbook[],I$2,FALSE),"")</f>
        <v/>
      </c>
      <c r="J11" s="258" t="str">
        <f>IFERROR(VLOOKUP($A11,TableHandbook[],J$2,FALSE),"")</f>
        <v>Y</v>
      </c>
      <c r="K11" s="265" t="str">
        <f>IFERROR(VLOOKUP($A11,TableHandbook[],K$2,FALSE),"")</f>
        <v/>
      </c>
      <c r="L11" s="58"/>
      <c r="M11" s="151">
        <v>3</v>
      </c>
      <c r="N11" s="20"/>
      <c r="O11" s="20"/>
      <c r="P11" s="21"/>
      <c r="Q11" s="21"/>
      <c r="R11" s="21"/>
      <c r="S11" s="21"/>
      <c r="T11" s="21"/>
      <c r="U11" s="21"/>
      <c r="V11" s="21"/>
      <c r="W11" s="21"/>
    </row>
    <row r="12" spans="1:23" s="22" customFormat="1" ht="21" customHeight="1" x14ac:dyDescent="0.15">
      <c r="A12" s="56" t="str">
        <f>IFERROR(IF(HLOOKUP($L$6,RangeUnitsetsOGEDUCAcc,M12,FALSE)=0,"",HLOOKUP($L$6,RangeUnitsetsOGEDUCAcc,M12,FALSE)),"")</f>
        <v>EDUC5032</v>
      </c>
      <c r="B12" s="50">
        <f>IFERROR(IF(VLOOKUP($A12,TableHandbook[],2,FALSE)=0,"",VLOOKUP($A12,TableHandbook[],2,FALSE)),"")</f>
        <v>1</v>
      </c>
      <c r="C12" s="50" t="str">
        <f>IFERROR(IF(VLOOKUP($A12,TableHandbook[],3,FALSE)=0,"",VLOOKUP($A12,TableHandbook[],3,FALSE)),"")</f>
        <v>MTC510</v>
      </c>
      <c r="D12" s="57" t="str">
        <f>IFERROR(IF(VLOOKUP($A12,TableHandbook[],4,FALSE)=0,"",VLOOKUP($A12,TableHandbook[],4,FALSE)),"")</f>
        <v>Introduction to English: Reading</v>
      </c>
      <c r="E12" s="50" t="str">
        <f>IF(A12="","",E11)</f>
        <v>SP1</v>
      </c>
      <c r="F12" s="49" t="str">
        <f>IFERROR(IF(VLOOKUP($A12,TableHandbook[],6,FALSE)=0,"",VLOOKUP($A12,TableHandbook[],6,FALSE)),"")</f>
        <v>Nil</v>
      </c>
      <c r="G12" s="50">
        <f>IFERROR(IF(VLOOKUP($A12,TableHandbook[],5,FALSE)=0,"",VLOOKUP($A12,TableHandbook[],5,FALSE)),"")</f>
        <v>25</v>
      </c>
      <c r="H12" s="257" t="str">
        <f>IFERROR(VLOOKUP($A12,TableHandbook[],H$2,FALSE),"")</f>
        <v>Y</v>
      </c>
      <c r="I12" s="258" t="str">
        <f>IFERROR(VLOOKUP($A12,TableHandbook[],I$2,FALSE),"")</f>
        <v/>
      </c>
      <c r="J12" s="258" t="str">
        <f>IFERROR(VLOOKUP($A12,TableHandbook[],J$2,FALSE),"")</f>
        <v>Y</v>
      </c>
      <c r="K12" s="265" t="str">
        <f>IFERROR(VLOOKUP($A12,TableHandbook[],K$2,FALSE),"")</f>
        <v/>
      </c>
      <c r="L12" s="59"/>
      <c r="M12" s="151">
        <v>4</v>
      </c>
      <c r="N12" s="20"/>
      <c r="O12" s="20"/>
      <c r="P12" s="21"/>
      <c r="Q12" s="21"/>
      <c r="R12" s="21"/>
      <c r="S12" s="21"/>
      <c r="T12" s="21"/>
      <c r="U12" s="21"/>
      <c r="V12" s="21"/>
      <c r="W12" s="21"/>
    </row>
    <row r="13" spans="1:23" s="22" customFormat="1" ht="6" customHeight="1" x14ac:dyDescent="0.15">
      <c r="A13" s="191"/>
      <c r="B13" s="192"/>
      <c r="C13" s="192"/>
      <c r="D13" s="193"/>
      <c r="E13" s="192"/>
      <c r="F13" s="194"/>
      <c r="G13" s="192"/>
      <c r="H13" s="259"/>
      <c r="I13" s="260"/>
      <c r="J13" s="260"/>
      <c r="K13" s="268"/>
      <c r="L13" s="197"/>
      <c r="M13" s="151"/>
      <c r="N13" s="20"/>
      <c r="O13" s="20"/>
      <c r="P13" s="20"/>
      <c r="Q13" s="21"/>
      <c r="R13" s="21"/>
      <c r="S13" s="21"/>
      <c r="T13" s="21"/>
      <c r="U13" s="21"/>
      <c r="V13" s="21"/>
      <c r="W13" s="21"/>
    </row>
    <row r="14" spans="1:23" s="22" customFormat="1" ht="21" customHeight="1" x14ac:dyDescent="0.15">
      <c r="A14" s="56" t="str">
        <f>IFERROR(IF(HLOOKUP($L$6,RangeUnitsetsOGEDUCAcc,M14,FALSE)=0,"",HLOOKUP($L$6,RangeUnitsetsOGEDUCAcc,M14,FALSE)),"")</f>
        <v>EDPR5012</v>
      </c>
      <c r="B14" s="50">
        <f>IFERROR(IF(VLOOKUP($A14,TableHandbook[],2,FALSE)=0,"",VLOOKUP($A14,TableHandbook[],2,FALSE)),"")</f>
        <v>1</v>
      </c>
      <c r="C14" s="50" t="str">
        <f>IFERROR(IF(VLOOKUP($A14,TableHandbook[],3,FALSE)=0,"",VLOOKUP($A14,TableHandbook[],3,FALSE)),"")</f>
        <v>MTP505</v>
      </c>
      <c r="D14" s="57" t="str">
        <f>IFERROR(IF(VLOOKUP($A14,TableHandbook[],4,FALSE)=0,"",VLOOKUP($A14,TableHandbook[],4,FALSE)),"")</f>
        <v>Teaching Science in the Primary Years</v>
      </c>
      <c r="E14" s="50" t="str">
        <f>IF(OR(A14="",A14="--"),"",VLOOKUP($D$7,TableStudyPeriods[],3,FALSE))</f>
        <v>SP2</v>
      </c>
      <c r="F14" s="49" t="str">
        <f>IFERROR(IF(VLOOKUP($A14,TableHandbook[],6,FALSE)=0,"",VLOOKUP($A14,TableHandbook[],6,FALSE)),"")</f>
        <v>Nil</v>
      </c>
      <c r="G14" s="50">
        <f>IFERROR(IF(VLOOKUP($A14,TableHandbook[],5,FALSE)=0,"",VLOOKUP($A14,TableHandbook[],5,FALSE)),"")</f>
        <v>25</v>
      </c>
      <c r="H14" s="257" t="str">
        <f>IFERROR(VLOOKUP($A14,TableHandbook[],H$2,FALSE),"")</f>
        <v/>
      </c>
      <c r="I14" s="258" t="str">
        <f>IFERROR(VLOOKUP($A14,TableHandbook[],I$2,FALSE),"")</f>
        <v>Y</v>
      </c>
      <c r="J14" s="258" t="str">
        <f>IFERROR(VLOOKUP($A14,TableHandbook[],J$2,FALSE),"")</f>
        <v/>
      </c>
      <c r="K14" s="265" t="str">
        <f>IFERROR(VLOOKUP($A14,TableHandbook[],K$2,FALSE),"")</f>
        <v/>
      </c>
      <c r="L14" s="58"/>
      <c r="M14" s="151">
        <v>5</v>
      </c>
      <c r="N14" s="20"/>
      <c r="O14" s="20"/>
      <c r="P14" s="21"/>
      <c r="Q14" s="21"/>
      <c r="R14" s="21"/>
      <c r="S14" s="21"/>
      <c r="T14" s="21"/>
      <c r="U14" s="21"/>
      <c r="V14" s="21"/>
      <c r="W14" s="21"/>
    </row>
    <row r="15" spans="1:23" s="22" customFormat="1" ht="21" customHeight="1" x14ac:dyDescent="0.15">
      <c r="A15" s="56" t="str">
        <f>IFERROR(IF(HLOOKUP($L$6,RangeUnitsetsOGEDUCAcc,M15,FALSE)=0,"",HLOOKUP($L$6,RangeUnitsetsOGEDUCAcc,M15,FALSE)),"")</f>
        <v>EDPR5013</v>
      </c>
      <c r="B15" s="52">
        <f>IFERROR(IF(VLOOKUP($A15,TableHandbook[],2,FALSE)=0,"",VLOOKUP($A15,TableHandbook[],2,FALSE)),"")</f>
        <v>1</v>
      </c>
      <c r="C15" s="52" t="str">
        <f>IFERROR(IF(VLOOKUP($A15,TableHandbook[],3,FALSE)=0,"",VLOOKUP($A15,TableHandbook[],3,FALSE)),"")</f>
        <v>MTP506</v>
      </c>
      <c r="D15" s="57" t="str">
        <f>IFERROR(IF(VLOOKUP($A15,TableHandbook[],4,FALSE)=0,"",VLOOKUP($A15,TableHandbook[],4,FALSE)),"")</f>
        <v>Primary Professional Experience 2: Assessment and Reporting</v>
      </c>
      <c r="E15" s="50" t="str">
        <f>IF(A15="","",E14)</f>
        <v>SP2</v>
      </c>
      <c r="F15" s="49" t="str">
        <f>IFERROR(IF(VLOOKUP($A15,TableHandbook[],6,FALSE)=0,"",VLOOKUP($A15,TableHandbook[],6,FALSE)),"")</f>
        <v>MTP502</v>
      </c>
      <c r="G15" s="52">
        <f>IFERROR(IF(VLOOKUP($A15,TableHandbook[],5,FALSE)=0,"",VLOOKUP($A15,TableHandbook[],5,FALSE)),"")</f>
        <v>25</v>
      </c>
      <c r="H15" s="262" t="str">
        <f>IFERROR(VLOOKUP($A15,TableHandbook[],H$2,FALSE),"")</f>
        <v/>
      </c>
      <c r="I15" s="263" t="str">
        <f>IFERROR(VLOOKUP($A15,TableHandbook[],I$2,FALSE),"")</f>
        <v>Y</v>
      </c>
      <c r="J15" s="263" t="str">
        <f>IFERROR(VLOOKUP($A15,TableHandbook[],J$2,FALSE),"")</f>
        <v>Y</v>
      </c>
      <c r="K15" s="264" t="str">
        <f>IFERROR(VLOOKUP($A15,TableHandbook[],K$2,FALSE),"")</f>
        <v/>
      </c>
      <c r="L15" s="59"/>
      <c r="M15" s="151">
        <v>6</v>
      </c>
      <c r="N15" s="20"/>
      <c r="O15" s="20"/>
      <c r="P15" s="21"/>
      <c r="Q15" s="21"/>
      <c r="R15" s="21"/>
      <c r="S15" s="21"/>
      <c r="T15" s="21"/>
      <c r="U15" s="21"/>
      <c r="V15" s="21"/>
      <c r="W15" s="21"/>
    </row>
    <row r="16" spans="1:23" s="31" customFormat="1" ht="21" customHeight="1" x14ac:dyDescent="0.15">
      <c r="A16" s="56" t="str">
        <f>IFERROR(IF(HLOOKUP($L$6,RangeUnitsetsOGEDUCAcc,M16,FALSE)=0,"",HLOOKUP($L$6,RangeUnitsetsOGEDUCAcc,M16,FALSE)),"")</f>
        <v>EDPR5010</v>
      </c>
      <c r="B16" s="52">
        <f>IFERROR(IF(VLOOKUP($A16,TableHandbook[],2,FALSE)=0,"",VLOOKUP($A16,TableHandbook[],2,FALSE)),"")</f>
        <v>1</v>
      </c>
      <c r="C16" s="52" t="str">
        <f>IFERROR(IF(VLOOKUP($A16,TableHandbook[],3,FALSE)=0,"",VLOOKUP($A16,TableHandbook[],3,FALSE)),"")</f>
        <v>MTP501</v>
      </c>
      <c r="D16" s="57" t="str">
        <f>IFERROR(IF(VLOOKUP($A16,TableHandbook[],4,FALSE)=0,"",VLOOKUP($A16,TableHandbook[],4,FALSE)),"")</f>
        <v>Teaching Number, Algebra and Probability in the Primary Years</v>
      </c>
      <c r="E16" s="50" t="str">
        <f>IF(A16="","",E15)</f>
        <v>SP2</v>
      </c>
      <c r="F16" s="49" t="str">
        <f>IFERROR(IF(VLOOKUP($A16,TableHandbook[],6,FALSE)=0,"",VLOOKUP($A16,TableHandbook[],6,FALSE)),"")</f>
        <v>Nil</v>
      </c>
      <c r="G16" s="52">
        <f>IFERROR(IF(VLOOKUP($A16,TableHandbook[],5,FALSE)=0,"",VLOOKUP($A16,TableHandbook[],5,FALSE)),"")</f>
        <v>25</v>
      </c>
      <c r="H16" s="262" t="str">
        <f>IFERROR(VLOOKUP($A16,TableHandbook[],H$2,FALSE),"")</f>
        <v/>
      </c>
      <c r="I16" s="263" t="str">
        <f>IFERROR(VLOOKUP($A16,TableHandbook[],I$2,FALSE),"")</f>
        <v>Y</v>
      </c>
      <c r="J16" s="263" t="str">
        <f>IFERROR(VLOOKUP($A16,TableHandbook[],J$2,FALSE),"")</f>
        <v/>
      </c>
      <c r="K16" s="264" t="str">
        <f>IFERROR(VLOOKUP($A16,TableHandbook[],K$2,FALSE),"")</f>
        <v>Y</v>
      </c>
      <c r="L16" s="59"/>
      <c r="M16" s="151">
        <v>7</v>
      </c>
      <c r="N16" s="29"/>
      <c r="O16" s="29"/>
      <c r="P16" s="30"/>
      <c r="Q16" s="30"/>
      <c r="R16" s="30"/>
      <c r="S16" s="30"/>
      <c r="T16" s="30"/>
      <c r="U16" s="30"/>
      <c r="V16" s="30"/>
      <c r="W16" s="30"/>
    </row>
    <row r="17" spans="1:23" s="22" customFormat="1" ht="6" customHeight="1" x14ac:dyDescent="0.15">
      <c r="A17" s="191"/>
      <c r="B17" s="192"/>
      <c r="C17" s="192"/>
      <c r="D17" s="193"/>
      <c r="E17" s="192"/>
      <c r="F17" s="194"/>
      <c r="G17" s="192"/>
      <c r="H17" s="259"/>
      <c r="I17" s="260"/>
      <c r="J17" s="260"/>
      <c r="K17" s="268"/>
      <c r="L17" s="197"/>
      <c r="M17" s="151"/>
      <c r="N17" s="20"/>
      <c r="O17" s="20"/>
      <c r="P17" s="20"/>
      <c r="Q17" s="21"/>
      <c r="R17" s="21"/>
      <c r="S17" s="21"/>
      <c r="T17" s="21"/>
      <c r="U17" s="21"/>
      <c r="V17" s="21"/>
      <c r="W17" s="21"/>
    </row>
    <row r="18" spans="1:23" s="31" customFormat="1" ht="21" customHeight="1" x14ac:dyDescent="0.15">
      <c r="A18" s="56" t="str">
        <f>IFERROR(IF(HLOOKUP($L$6,RangeUnitsetsOGEDUCAcc,M18,FALSE)=0,"",HLOOKUP($L$6,RangeUnitsetsOGEDUCAcc,M18,FALSE)),"")</f>
        <v>EDUC6063</v>
      </c>
      <c r="B18" s="52">
        <f>IFERROR(IF(VLOOKUP($A18,TableHandbook[],2,FALSE)=0,"",VLOOKUP($A18,TableHandbook[],2,FALSE)),"")</f>
        <v>1</v>
      </c>
      <c r="C18" s="52" t="str">
        <f>IFERROR(IF(VLOOKUP($A18,TableHandbook[],3,FALSE)=0,"",VLOOKUP($A18,TableHandbook[],3,FALSE)),"")</f>
        <v>MTC600</v>
      </c>
      <c r="D18" s="57" t="str">
        <f>IFERROR(IF(VLOOKUP($A18,TableHandbook[],4,FALSE)=0,"",VLOOKUP($A18,TableHandbook[],4,FALSE)),"")</f>
        <v>Professional Experience 3: Using Data to Inform Teaching and Learning</v>
      </c>
      <c r="E18" s="50" t="str">
        <f>IF(OR(A18="",A18="--"),"",VLOOKUP($D$7,TableStudyPeriods[],4,FALSE))</f>
        <v>SP3</v>
      </c>
      <c r="F18" s="49" t="str">
        <f>IFERROR(IF(VLOOKUP($A18,TableHandbook[],6,FALSE)=0,"",VLOOKUP($A18,TableHandbook[],6,FALSE)),"")</f>
        <v>MTEC502 or MTP506 or MTS504</v>
      </c>
      <c r="G18" s="52">
        <f>IFERROR(IF(VLOOKUP($A18,TableHandbook[],5,FALSE)=0,"",VLOOKUP($A18,TableHandbook[],5,FALSE)),"")</f>
        <v>25</v>
      </c>
      <c r="H18" s="262" t="str">
        <f>IFERROR(VLOOKUP($A18,TableHandbook[],H$2,FALSE),"")</f>
        <v>Y</v>
      </c>
      <c r="I18" s="263" t="str">
        <f>IFERROR(VLOOKUP($A18,TableHandbook[],I$2,FALSE),"")</f>
        <v/>
      </c>
      <c r="J18" s="263" t="str">
        <f>IFERROR(VLOOKUP($A18,TableHandbook[],J$2,FALSE),"")</f>
        <v>Y</v>
      </c>
      <c r="K18" s="264" t="str">
        <f>IFERROR(VLOOKUP($A18,TableHandbook[],K$2,FALSE),"")</f>
        <v/>
      </c>
      <c r="L18" s="59"/>
      <c r="M18" s="151">
        <v>8</v>
      </c>
      <c r="N18" s="29"/>
      <c r="O18" s="29"/>
      <c r="P18" s="30"/>
      <c r="Q18" s="30"/>
      <c r="R18" s="30"/>
      <c r="S18" s="30"/>
      <c r="T18" s="30"/>
      <c r="U18" s="30"/>
      <c r="V18" s="30"/>
      <c r="W18" s="30"/>
    </row>
    <row r="19" spans="1:23" s="31" customFormat="1" ht="21" customHeight="1" x14ac:dyDescent="0.15">
      <c r="A19" s="56" t="str">
        <f>IFERROR(IF(HLOOKUP($L$6,RangeUnitsetsOGEDUCAcc,M19,FALSE)=0,"",HLOOKUP($L$6,RangeUnitsetsOGEDUCAcc,M19,FALSE)),"")</f>
        <v>EDUC5017</v>
      </c>
      <c r="B19" s="52">
        <f>IFERROR(IF(VLOOKUP($A19,TableHandbook[],2,FALSE)=0,"",VLOOKUP($A19,TableHandbook[],2,FALSE)),"")</f>
        <v>1</v>
      </c>
      <c r="C19" s="52" t="str">
        <f>IFERROR(IF(VLOOKUP($A19,TableHandbook[],3,FALSE)=0,"",VLOOKUP($A19,TableHandbook[],3,FALSE)),"")</f>
        <v>MTPS504</v>
      </c>
      <c r="D19" s="55" t="str">
        <f>IFERROR(IF(VLOOKUP($A19,TableHandbook[],4,FALSE)=0,"",VLOOKUP($A19,TableHandbook[],4,FALSE)),"")</f>
        <v>Creative Technologies</v>
      </c>
      <c r="E19" s="52" t="str">
        <f>IF(A19="","",E18)</f>
        <v>SP3</v>
      </c>
      <c r="F19" s="49" t="str">
        <f>IFERROR(IF(VLOOKUP($A19,TableHandbook[],6,FALSE)=0,"",VLOOKUP($A19,TableHandbook[],6,FALSE)),"")</f>
        <v>Nil</v>
      </c>
      <c r="G19" s="52">
        <f>IFERROR(IF(VLOOKUP($A19,TableHandbook[],5,FALSE)=0,"",VLOOKUP($A19,TableHandbook[],5,FALSE)),"")</f>
        <v>25</v>
      </c>
      <c r="H19" s="262" t="str">
        <f>IFERROR(VLOOKUP($A19,TableHandbook[],H$2,FALSE),"")</f>
        <v/>
      </c>
      <c r="I19" s="263" t="str">
        <f>IFERROR(VLOOKUP($A19,TableHandbook[],I$2,FALSE),"")</f>
        <v>Y</v>
      </c>
      <c r="J19" s="263" t="str">
        <f>IFERROR(VLOOKUP($A19,TableHandbook[],J$2,FALSE),"")</f>
        <v>Y</v>
      </c>
      <c r="K19" s="264" t="str">
        <f>IFERROR(VLOOKUP($A19,TableHandbook[],K$2,FALSE),"")</f>
        <v>Y</v>
      </c>
      <c r="L19" s="59"/>
      <c r="M19" s="151">
        <v>9</v>
      </c>
      <c r="N19" s="29"/>
      <c r="O19" s="29"/>
      <c r="P19" s="30"/>
      <c r="Q19" s="30"/>
      <c r="R19" s="30"/>
      <c r="S19" s="30"/>
      <c r="T19" s="30"/>
      <c r="U19" s="30"/>
      <c r="V19" s="30"/>
      <c r="W19" s="30"/>
    </row>
    <row r="20" spans="1:23" ht="16.5" customHeight="1" x14ac:dyDescent="0.25">
      <c r="A20" s="39"/>
      <c r="B20" s="39"/>
      <c r="C20" s="39"/>
      <c r="D20" s="40"/>
      <c r="E20" s="40"/>
      <c r="F20" s="35"/>
      <c r="G20" s="35"/>
      <c r="H20" s="35"/>
      <c r="I20" s="35"/>
      <c r="J20" s="35"/>
      <c r="K20" s="35"/>
      <c r="L20" s="35"/>
      <c r="M20" s="16"/>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7">
    <cfRule type="containsText" dxfId="77" priority="5" operator="containsText" text="Choose">
      <formula>NOT(ISERROR(SEARCH("Choose",D5)))</formula>
    </cfRule>
  </conditionalFormatting>
  <conditionalFormatting sqref="H10:K19">
    <cfRule type="expression" dxfId="76"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W31"/>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3">
        <v>2</v>
      </c>
      <c r="C2" s="153">
        <v>3</v>
      </c>
      <c r="D2" s="153">
        <v>4</v>
      </c>
      <c r="E2" s="153"/>
      <c r="F2" s="153">
        <v>6</v>
      </c>
      <c r="G2" s="153">
        <v>5</v>
      </c>
      <c r="H2" s="153">
        <v>7</v>
      </c>
      <c r="I2" s="153">
        <v>8</v>
      </c>
      <c r="J2" s="153">
        <v>9</v>
      </c>
      <c r="K2" s="153">
        <v>10</v>
      </c>
      <c r="L2" s="12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116"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1" t="str">
        <f>CONCATENATE(VLOOKUP(D6,TableMajorsGradDip[],2,FALSE),VLOOKUP(D8,TableStudyPeriods[],2,FALSE))</f>
        <v>OUMP-EDUSCSP1</v>
      </c>
    </row>
    <row r="7" spans="1:23" ht="20.100000000000001" customHeight="1" x14ac:dyDescent="0.25">
      <c r="B7" s="10"/>
      <c r="C7" s="126" t="s">
        <v>271</v>
      </c>
      <c r="D7" s="213" t="s">
        <v>272</v>
      </c>
      <c r="E7" s="11"/>
      <c r="F7" s="10"/>
      <c r="G7" s="11"/>
      <c r="H7" s="11"/>
      <c r="I7" s="11"/>
      <c r="J7" s="11"/>
      <c r="K7" s="11"/>
      <c r="L7" s="211" t="e">
        <f>VLOOKUP(D7,TableFirstTeachingArea[],2,FALSE)</f>
        <v>#N/A</v>
      </c>
    </row>
    <row r="8" spans="1:23" ht="20.100000000000001" customHeight="1" x14ac:dyDescent="0.25">
      <c r="A8" s="13"/>
      <c r="B8" s="14"/>
      <c r="C8" s="126" t="s">
        <v>16</v>
      </c>
      <c r="D8" s="117" t="s">
        <v>212</v>
      </c>
      <c r="E8" s="15"/>
      <c r="F8" s="10" t="s">
        <v>18</v>
      </c>
      <c r="G8" s="11" t="str">
        <f>IFERROR(VLOOKUP($D$5,TableCourses[],7,FALSE),"")</f>
        <v>200 credit points required</v>
      </c>
      <c r="H8" s="66"/>
      <c r="I8" s="66"/>
      <c r="J8" s="66"/>
      <c r="K8" s="66"/>
      <c r="L8" s="66"/>
      <c r="M8" s="16"/>
      <c r="N8" s="16"/>
      <c r="O8" s="16"/>
      <c r="P8" s="16"/>
      <c r="Q8" s="16"/>
      <c r="R8" s="16"/>
      <c r="S8" s="16"/>
      <c r="T8" s="16"/>
      <c r="U8" s="16"/>
      <c r="V8" s="16"/>
      <c r="W8" s="16"/>
    </row>
    <row r="9" spans="1:23" s="19" customFormat="1" ht="14.1" customHeight="1" x14ac:dyDescent="0.25">
      <c r="A9" s="107"/>
      <c r="B9" s="107"/>
      <c r="C9" s="107"/>
      <c r="D9" s="108"/>
      <c r="E9" s="109"/>
      <c r="F9" s="107"/>
      <c r="G9" s="107"/>
      <c r="H9" s="110" t="s">
        <v>19</v>
      </c>
      <c r="I9" s="123"/>
      <c r="J9" s="123"/>
      <c r="K9" s="111"/>
      <c r="L9" s="112"/>
      <c r="M9" s="17"/>
      <c r="N9" s="17"/>
      <c r="O9" s="17"/>
      <c r="P9" s="18"/>
      <c r="Q9" s="18"/>
      <c r="R9" s="18"/>
      <c r="S9" s="18"/>
      <c r="T9" s="18"/>
      <c r="U9" s="18"/>
      <c r="V9" s="18"/>
      <c r="W9" s="18"/>
    </row>
    <row r="10" spans="1:23" s="19" customFormat="1" ht="21" x14ac:dyDescent="0.25">
      <c r="A10" s="107" t="s">
        <v>20</v>
      </c>
      <c r="B10" s="107"/>
      <c r="C10" s="125" t="s">
        <v>21</v>
      </c>
      <c r="D10" s="108" t="s">
        <v>3</v>
      </c>
      <c r="E10" s="125" t="s">
        <v>22</v>
      </c>
      <c r="F10" s="107" t="s">
        <v>23</v>
      </c>
      <c r="G10" s="107" t="s">
        <v>24</v>
      </c>
      <c r="H10" s="255" t="s">
        <v>25</v>
      </c>
      <c r="I10" s="256" t="s">
        <v>26</v>
      </c>
      <c r="J10" s="256" t="s">
        <v>27</v>
      </c>
      <c r="K10" s="261" t="s">
        <v>28</v>
      </c>
      <c r="L10" s="113" t="s">
        <v>29</v>
      </c>
      <c r="M10" s="17"/>
      <c r="N10" s="17"/>
      <c r="O10" s="17"/>
      <c r="P10" s="18"/>
      <c r="Q10" s="18"/>
      <c r="R10" s="18"/>
      <c r="S10" s="18"/>
      <c r="T10" s="18"/>
      <c r="U10" s="18"/>
      <c r="V10" s="18"/>
      <c r="W10" s="18"/>
    </row>
    <row r="11" spans="1:23" s="22" customFormat="1" ht="21" customHeight="1" x14ac:dyDescent="0.15">
      <c r="A11" s="56" t="str">
        <f>IFERROR(IF(HLOOKUP($L$6,RangeUnitsetsOGEDUC,M11,FALSE)=0,"",HLOOKUP($L$6,RangeUnitsetsOGEDUC,M11,FALSE)),"")</f>
        <v>EDSC5037</v>
      </c>
      <c r="B11" s="50">
        <f>IFERROR(IF(VLOOKUP($A11,TableHandbook[],2,FALSE)=0,"",VLOOKUP($A11,TableHandbook[],2,FALSE)),"")</f>
        <v>1</v>
      </c>
      <c r="C11" s="50" t="str">
        <f>IFERROR(IF(VLOOKUP($A11,TableHandbook[],3,FALSE)=0,"",VLOOKUP($A11,TableHandbook[],3,FALSE)),"")</f>
        <v>MTS500</v>
      </c>
      <c r="D11" s="57" t="str">
        <f>IFERROR(IF(VLOOKUP($A11,TableHandbook[],4,FALSE)=0,"",VLOOKUP($A11,TableHandbook[],4,FALSE)),"")</f>
        <v>Teaching in the Secondary School</v>
      </c>
      <c r="E11" s="50" t="str">
        <f>IF(OR(A11="",A11="--"),"",VLOOKUP($D$8,TableStudyPeriods[],2,FALSE))</f>
        <v>SP1</v>
      </c>
      <c r="F11" s="49" t="str">
        <f>IFERROR(IF(VLOOKUP($A11,TableHandbook[],6,FALSE)=0,"",VLOOKUP($A11,TableHandbook[],6,FALSE)),"")</f>
        <v>Nil</v>
      </c>
      <c r="G11" s="50">
        <f>IFERROR(IF(VLOOKUP($A11,TableHandbook[],5,FALSE)=0,"",VLOOKUP($A11,TableHandbook[],5,FALSE)),"")</f>
        <v>25</v>
      </c>
      <c r="H11" s="257" t="str">
        <f>IFERROR(VLOOKUP($A11,TableHandbook[],H$2,FALSE),"")</f>
        <v>Y</v>
      </c>
      <c r="I11" s="258" t="str">
        <f>IFERROR(VLOOKUP($A11,TableHandbook[],I$2,FALSE),"")</f>
        <v>Y</v>
      </c>
      <c r="J11" s="258" t="str">
        <f>IFERROR(VLOOKUP($A11,TableHandbook[],J$2,FALSE),"")</f>
        <v/>
      </c>
      <c r="K11" s="265" t="str">
        <f>IFERROR(VLOOKUP($A11,TableHandbook[],K$2,FALSE),"")</f>
        <v/>
      </c>
      <c r="L11" s="58"/>
      <c r="M11" s="151">
        <v>2</v>
      </c>
      <c r="N11" s="20"/>
      <c r="O11" s="20"/>
      <c r="P11" s="21"/>
      <c r="Q11" s="21"/>
      <c r="R11" s="21"/>
      <c r="S11" s="21"/>
      <c r="T11" s="21"/>
      <c r="U11" s="21"/>
      <c r="V11" s="21"/>
      <c r="W11" s="21"/>
    </row>
    <row r="12" spans="1:23" s="22" customFormat="1" ht="21" customHeight="1" x14ac:dyDescent="0.15">
      <c r="A12" s="56" t="str">
        <f>IFERROR(IF(HLOOKUP($L$6,RangeUnitsetsOGEDUC,M12,FALSE)=0,"",HLOOKUP($L$6,RangeUnitsetsOGEDUC,M12,FALSE)),"")</f>
        <v>EDSC5039</v>
      </c>
      <c r="B12" s="50">
        <f>IFERROR(IF(VLOOKUP($A12,TableHandbook[],2,FALSE)=0,"",VLOOKUP($A12,TableHandbook[],2,FALSE)),"")</f>
        <v>1</v>
      </c>
      <c r="C12" s="50" t="str">
        <f>IFERROR(IF(VLOOKUP($A12,TableHandbook[],3,FALSE)=0,"",VLOOKUP($A12,TableHandbook[],3,FALSE)),"")</f>
        <v>MTS502</v>
      </c>
      <c r="D12" s="57" t="str">
        <f>IFERROR(IF(VLOOKUP($A12,TableHandbook[],4,FALSE)=0,"",VLOOKUP($A12,TableHandbook[],4,FALSE)),"")</f>
        <v>Secondary Professional Experience 1: Planning</v>
      </c>
      <c r="E12" s="50" t="str">
        <f>IF(A12="","",E11)</f>
        <v>SP1</v>
      </c>
      <c r="F12" s="49" t="str">
        <f>IFERROR(IF(VLOOKUP($A12,TableHandbook[],6,FALSE)=0,"",VLOOKUP($A12,TableHandbook[],6,FALSE)),"")</f>
        <v>Nil</v>
      </c>
      <c r="G12" s="50">
        <f>IFERROR(IF(VLOOKUP($A12,TableHandbook[],5,FALSE)=0,"",VLOOKUP($A12,TableHandbook[],5,FALSE)),"")</f>
        <v>25</v>
      </c>
      <c r="H12" s="257" t="str">
        <f>IFERROR(VLOOKUP($A12,TableHandbook[],H$2,FALSE),"")</f>
        <v>Y</v>
      </c>
      <c r="I12" s="258" t="str">
        <f>IFERROR(VLOOKUP($A12,TableHandbook[],I$2,FALSE),"")</f>
        <v>Y</v>
      </c>
      <c r="J12" s="258" t="str">
        <f>IFERROR(VLOOKUP($A12,TableHandbook[],J$2,FALSE),"")</f>
        <v/>
      </c>
      <c r="K12" s="265" t="str">
        <f>IFERROR(VLOOKUP($A12,TableHandbook[],K$2,FALSE),"")</f>
        <v/>
      </c>
      <c r="L12" s="58"/>
      <c r="M12" s="151">
        <v>3</v>
      </c>
      <c r="N12" s="20"/>
      <c r="O12" s="20"/>
      <c r="P12" s="21"/>
      <c r="Q12" s="21"/>
      <c r="R12" s="21"/>
      <c r="S12" s="21"/>
      <c r="T12" s="21"/>
      <c r="U12" s="21"/>
      <c r="V12" s="21"/>
      <c r="W12" s="21"/>
    </row>
    <row r="13" spans="1:23" s="22" customFormat="1" ht="6" customHeight="1" x14ac:dyDescent="0.15">
      <c r="A13" s="191"/>
      <c r="B13" s="192"/>
      <c r="C13" s="192"/>
      <c r="D13" s="193"/>
      <c r="E13" s="192"/>
      <c r="F13" s="194"/>
      <c r="G13" s="192"/>
      <c r="H13" s="259"/>
      <c r="I13" s="260"/>
      <c r="J13" s="260"/>
      <c r="K13" s="268"/>
      <c r="L13" s="197"/>
      <c r="M13" s="151"/>
      <c r="N13" s="20"/>
      <c r="O13" s="20"/>
      <c r="P13" s="20"/>
      <c r="Q13" s="21"/>
      <c r="R13" s="21"/>
      <c r="S13" s="21"/>
      <c r="T13" s="21"/>
      <c r="U13" s="21"/>
      <c r="V13" s="21"/>
      <c r="W13" s="21"/>
    </row>
    <row r="14" spans="1:23" s="22" customFormat="1" ht="21" customHeight="1" x14ac:dyDescent="0.15">
      <c r="A14" s="56" t="str">
        <f>IFERROR(IF(HLOOKUP($L$6,RangeUnitsetsOGEDUC,M14,FALSE)=0,"",HLOOKUP($L$6,RangeUnitsetsOGEDUC,M14,FALSE)),"")</f>
        <v>EDSC5051</v>
      </c>
      <c r="B14" s="50">
        <f>IFERROR(IF(VLOOKUP($A14,TableHandbook[],2,FALSE)=0,"",VLOOKUP($A14,TableHandbook[],2,FALSE)),"")</f>
        <v>1</v>
      </c>
      <c r="C14" s="50" t="str">
        <f>IFERROR(IF(VLOOKUP($A14,TableHandbook[],3,FALSE)=0,"",VLOOKUP($A14,TableHandbook[],3,FALSE)),"")</f>
        <v>MTS504</v>
      </c>
      <c r="D14" s="57" t="str">
        <f>IFERROR(IF(VLOOKUP($A14,TableHandbook[],4,FALSE)=0,"",VLOOKUP($A14,TableHandbook[],4,FALSE)),"")</f>
        <v>Secondary Professional Experience 2: Assessment and Reporting</v>
      </c>
      <c r="E14" s="50" t="str">
        <f>IF(OR(A14="",A14="--"),"",VLOOKUP($D$8,TableStudyPeriods[],3,FALSE))</f>
        <v>SP2</v>
      </c>
      <c r="F14" s="49" t="str">
        <f>IFERROR(IF(VLOOKUP($A14,TableHandbook[],6,FALSE)=0,"",VLOOKUP($A14,TableHandbook[],6,FALSE)),"")</f>
        <v>MTS502</v>
      </c>
      <c r="G14" s="50">
        <f>IFERROR(IF(VLOOKUP($A14,TableHandbook[],5,FALSE)=0,"",VLOOKUP($A14,TableHandbook[],5,FALSE)),"")</f>
        <v>25</v>
      </c>
      <c r="H14" s="257" t="str">
        <f>IFERROR(VLOOKUP($A14,TableHandbook[],H$2,FALSE),"")</f>
        <v/>
      </c>
      <c r="I14" s="258" t="str">
        <f>IFERROR(VLOOKUP($A14,TableHandbook[],I$2,FALSE),"")</f>
        <v>Y</v>
      </c>
      <c r="J14" s="258" t="str">
        <f>IFERROR(VLOOKUP($A14,TableHandbook[],J$2,FALSE),"")</f>
        <v>Y</v>
      </c>
      <c r="K14" s="265" t="str">
        <f>IFERROR(VLOOKUP($A14,TableHandbook[],K$2,FALSE),"")</f>
        <v/>
      </c>
      <c r="L14" s="59"/>
      <c r="M14" s="151">
        <v>4</v>
      </c>
      <c r="N14" s="20"/>
      <c r="O14" s="20"/>
      <c r="P14" s="21"/>
      <c r="Q14" s="21"/>
      <c r="R14" s="21"/>
      <c r="S14" s="21"/>
      <c r="T14" s="21"/>
      <c r="U14" s="21"/>
      <c r="V14" s="21"/>
      <c r="W14" s="21"/>
    </row>
    <row r="15" spans="1:23" s="22" customFormat="1" ht="21" customHeight="1" x14ac:dyDescent="0.15">
      <c r="A15" s="203" t="str">
        <f>IFERROR(IF(HLOOKUP($L$6,RangeUnitsetsOGEDUC,M15,FALSE)=0,"",HLOOKUP($L$6,RangeUnitsetsOGEDUC,M15,FALSE)),"")</f>
        <v>GDTAL</v>
      </c>
      <c r="B15" s="146" t="str">
        <f>IFERROR(IF(VLOOKUP($A15,TableHandbook[],2,FALSE)=0,"",VLOOKUP($A15,TableHandbook[],2,FALSE)),"")</f>
        <v/>
      </c>
      <c r="C15" s="146" t="str">
        <f>IFERROR(IF(VLOOKUP($A15,TableHandbook[],3,FALSE)=0,"",VLOOKUP($A15,TableHandbook[],3,FALSE)),"")</f>
        <v/>
      </c>
      <c r="D15" s="204" t="str">
        <f>IFERROR(IF(VLOOKUP($A15,TableHandbook[],4,FALSE)=0,"",VLOOKUP($A15,TableHandbook[],4,FALSE)),"")</f>
        <v>Teaching Area LOWER subject (see below)</v>
      </c>
      <c r="E15" s="146" t="str">
        <f>IF(A15="","",E14)</f>
        <v>SP2</v>
      </c>
      <c r="F15" s="205" t="str">
        <f>IFERROR(IF(VLOOKUP($A15,TableHandbook[],6,FALSE)=0,"",VLOOKUP($A15,TableHandbook[],6,FALSE)),"")</f>
        <v>See below</v>
      </c>
      <c r="G15" s="146">
        <f>IFERROR(IF(VLOOKUP($A15,TableHandbook[],5,FALSE)=0,"",VLOOKUP($A15,TableHandbook[],5,FALSE)),"")</f>
        <v>25</v>
      </c>
      <c r="H15" s="269" t="str">
        <f>IFERROR(VLOOKUP($A15,TableHandbook[],H$2,FALSE),"")</f>
        <v/>
      </c>
      <c r="I15" s="270" t="str">
        <f>IFERROR(VLOOKUP($A15,TableHandbook[],I$2,FALSE),"")</f>
        <v/>
      </c>
      <c r="J15" s="270" t="str">
        <f>IFERROR(VLOOKUP($A15,TableHandbook[],J$2,FALSE),"")</f>
        <v/>
      </c>
      <c r="K15" s="271" t="str">
        <f>IFERROR(VLOOKUP($A15,TableHandbook[],K$2,FALSE),"")</f>
        <v/>
      </c>
      <c r="L15" s="206"/>
      <c r="M15" s="207">
        <v>5</v>
      </c>
      <c r="N15" s="20"/>
      <c r="O15" s="20"/>
      <c r="P15" s="21"/>
      <c r="Q15" s="21"/>
      <c r="R15" s="21"/>
      <c r="S15" s="21"/>
      <c r="T15" s="21"/>
      <c r="U15" s="21"/>
      <c r="V15" s="21"/>
      <c r="W15" s="21"/>
    </row>
    <row r="16" spans="1:23" s="22" customFormat="1" ht="6" customHeight="1" x14ac:dyDescent="0.15">
      <c r="A16" s="191"/>
      <c r="B16" s="192"/>
      <c r="C16" s="192"/>
      <c r="D16" s="193"/>
      <c r="E16" s="192"/>
      <c r="F16" s="194"/>
      <c r="G16" s="192"/>
      <c r="H16" s="259"/>
      <c r="I16" s="260"/>
      <c r="J16" s="260"/>
      <c r="K16" s="268"/>
      <c r="L16" s="197"/>
      <c r="M16" s="151"/>
      <c r="N16" s="20"/>
      <c r="O16" s="20"/>
      <c r="P16" s="20"/>
      <c r="Q16" s="21"/>
      <c r="R16" s="21"/>
      <c r="S16" s="21"/>
      <c r="T16" s="21"/>
      <c r="U16" s="21"/>
      <c r="V16" s="21"/>
      <c r="W16" s="21"/>
    </row>
    <row r="17" spans="1:23" s="22"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IF(OR(A17="",A17="--"),"",VLOOKUP($D$8,TableStudyPeriods[],4,FALSE))</f>
        <v>SP3</v>
      </c>
      <c r="F17" s="49" t="str">
        <f>IFERROR(IF(VLOOKUP($A17,TableHandbook[],6,FALSE)=0,"",VLOOKUP($A17,TableHandbook[],6,FALSE)),"")</f>
        <v>MTEC502 or MTP506 or MTS504</v>
      </c>
      <c r="G17" s="52">
        <f>IFERROR(IF(VLOOKUP($A17,TableHandbook[],5,FALSE)=0,"",VLOOKUP($A17,TableHandbook[],5,FALSE)),"")</f>
        <v>25</v>
      </c>
      <c r="H17" s="262" t="str">
        <f>IFERROR(VLOOKUP($A17,TableHandbook[],H$2,FALSE),"")</f>
        <v>Y</v>
      </c>
      <c r="I17" s="263" t="str">
        <f>IFERROR(VLOOKUP($A17,TableHandbook[],I$2,FALSE),"")</f>
        <v/>
      </c>
      <c r="J17" s="263" t="str">
        <f>IFERROR(VLOOKUP($A17,TableHandbook[],J$2,FALSE),"")</f>
        <v>Y</v>
      </c>
      <c r="K17" s="264" t="str">
        <f>IFERROR(VLOOKUP($A17,TableHandbook[],K$2,FALSE),"")</f>
        <v/>
      </c>
      <c r="L17" s="59"/>
      <c r="M17" s="151">
        <v>6</v>
      </c>
      <c r="N17" s="20"/>
      <c r="O17" s="20"/>
      <c r="P17" s="21"/>
      <c r="Q17" s="21"/>
      <c r="R17" s="21"/>
      <c r="S17" s="21"/>
      <c r="T17" s="21"/>
      <c r="U17" s="21"/>
      <c r="V17" s="21"/>
      <c r="W17" s="21"/>
    </row>
    <row r="18" spans="1:23" s="31" customFormat="1" ht="21" customHeight="1" x14ac:dyDescent="0.15">
      <c r="A18" s="56" t="str">
        <f>IFERROR(IF(HLOOKUP($L$6,RangeUnitsetsOGEDUC,M18,FALSE)=0,"",HLOOKUP($L$6,RangeUnitsetsOGEDUC,M18,FALSE)),"")</f>
        <v>EDUC5014</v>
      </c>
      <c r="B18" s="52">
        <f>IFERROR(IF(VLOOKUP($A18,TableHandbook[],2,FALSE)=0,"",VLOOKUP($A18,TableHandbook[],2,FALSE)),"")</f>
        <v>1</v>
      </c>
      <c r="C18" s="52" t="str">
        <f>IFERROR(IF(VLOOKUP($A18,TableHandbook[],3,FALSE)=0,"",VLOOKUP($A18,TableHandbook[],3,FALSE)),"")</f>
        <v>MTPS501</v>
      </c>
      <c r="D18" s="57" t="str">
        <f>IFERROR(IF(VLOOKUP($A18,TableHandbook[],4,FALSE)=0,"",VLOOKUP($A18,TableHandbook[],4,FALSE)),"")</f>
        <v>Pedagogies for Diversity</v>
      </c>
      <c r="E18" s="50" t="str">
        <f>IF(A18="","",E17)</f>
        <v>SP3</v>
      </c>
      <c r="F18" s="49" t="str">
        <f>IFERROR(IF(VLOOKUP($A18,TableHandbook[],6,FALSE)=0,"",VLOOKUP($A18,TableHandbook[],6,FALSE)),"")</f>
        <v>Nil</v>
      </c>
      <c r="G18" s="52">
        <f>IFERROR(IF(VLOOKUP($A18,TableHandbook[],5,FALSE)=0,"",VLOOKUP($A18,TableHandbook[],5,FALSE)),"")</f>
        <v>25</v>
      </c>
      <c r="H18" s="262" t="str">
        <f>IFERROR(VLOOKUP($A18,TableHandbook[],H$2,FALSE),"")</f>
        <v>Y</v>
      </c>
      <c r="I18" s="263" t="str">
        <f>IFERROR(VLOOKUP($A18,TableHandbook[],I$2,FALSE),"")</f>
        <v/>
      </c>
      <c r="J18" s="263" t="str">
        <f>IFERROR(VLOOKUP($A18,TableHandbook[],J$2,FALSE),"")</f>
        <v>Y</v>
      </c>
      <c r="K18" s="264" t="str">
        <f>IFERROR(VLOOKUP($A18,TableHandbook[],K$2,FALSE),"")</f>
        <v/>
      </c>
      <c r="L18" s="59"/>
      <c r="M18" s="151">
        <v>7</v>
      </c>
      <c r="N18" s="29"/>
      <c r="O18" s="29"/>
      <c r="P18" s="30"/>
      <c r="Q18" s="30"/>
      <c r="R18" s="30"/>
      <c r="S18" s="30"/>
      <c r="T18" s="30"/>
      <c r="U18" s="30"/>
      <c r="V18" s="30"/>
      <c r="W18" s="30"/>
    </row>
    <row r="19" spans="1:23" s="22" customFormat="1" ht="6" customHeight="1" x14ac:dyDescent="0.15">
      <c r="A19" s="191"/>
      <c r="B19" s="192"/>
      <c r="C19" s="192"/>
      <c r="D19" s="193"/>
      <c r="E19" s="192"/>
      <c r="F19" s="194"/>
      <c r="G19" s="192"/>
      <c r="H19" s="259"/>
      <c r="I19" s="260"/>
      <c r="J19" s="260"/>
      <c r="K19" s="268"/>
      <c r="L19" s="197"/>
      <c r="M19" s="151"/>
      <c r="N19" s="20"/>
      <c r="O19" s="20"/>
      <c r="P19" s="20"/>
      <c r="Q19" s="21"/>
      <c r="R19" s="21"/>
      <c r="S19" s="21"/>
      <c r="T19" s="21"/>
      <c r="U19" s="21"/>
      <c r="V19" s="21"/>
      <c r="W19" s="21"/>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7" t="str">
        <f>IFERROR(IF(VLOOKUP($A20,TableHandbook[],4,FALSE)=0,"",VLOOKUP($A20,TableHandbook[],4,FALSE)),"")</f>
        <v>Creative Technologies</v>
      </c>
      <c r="E20" s="50" t="str">
        <f>IF(OR(A20="",A20="--"),"",VLOOKUP($D$8,TableStudyPeriods[],5,FALSE))</f>
        <v>SP4</v>
      </c>
      <c r="F20" s="49" t="str">
        <f>IFERROR(IF(VLOOKUP($A20,TableHandbook[],6,FALSE)=0,"",VLOOKUP($A20,TableHandbook[],6,FALSE)),"")</f>
        <v>Nil</v>
      </c>
      <c r="G20" s="52">
        <f>IFERROR(IF(VLOOKUP($A20,TableHandbook[],5,FALSE)=0,"",VLOOKUP($A20,TableHandbook[],5,FALSE)),"")</f>
        <v>25</v>
      </c>
      <c r="H20" s="262" t="str">
        <f>IFERROR(VLOOKUP($A20,TableHandbook[],H$2,FALSE),"")</f>
        <v/>
      </c>
      <c r="I20" s="263" t="str">
        <f>IFERROR(VLOOKUP($A20,TableHandbook[],I$2,FALSE),"")</f>
        <v>Y</v>
      </c>
      <c r="J20" s="263" t="str">
        <f>IFERROR(VLOOKUP($A20,TableHandbook[],J$2,FALSE),"")</f>
        <v>Y</v>
      </c>
      <c r="K20" s="264" t="str">
        <f>IFERROR(VLOOKUP($A20,TableHandbook[],K$2,FALSE),"")</f>
        <v>Y</v>
      </c>
      <c r="L20" s="59"/>
      <c r="M20" s="151">
        <v>8</v>
      </c>
      <c r="N20" s="29"/>
      <c r="O20" s="29"/>
      <c r="P20" s="30"/>
      <c r="Q20" s="30"/>
      <c r="R20" s="30"/>
      <c r="S20" s="30"/>
      <c r="T20" s="30"/>
      <c r="U20" s="30"/>
      <c r="V20" s="30"/>
      <c r="W20" s="30"/>
    </row>
    <row r="21" spans="1:23" s="31" customFormat="1" ht="21" customHeight="1" x14ac:dyDescent="0.15">
      <c r="A21" s="203" t="str">
        <f>IFERROR(IF(HLOOKUP($L$6,RangeUnitsetsOGEDUC,M21,FALSE)=0,"",HLOOKUP($L$6,RangeUnitsetsOGEDUC,M21,FALSE)),"")</f>
        <v>GDTAS</v>
      </c>
      <c r="B21" s="146" t="str">
        <f>IFERROR(IF(VLOOKUP($A21,TableHandbook[],2,FALSE)=0,"",VLOOKUP($A21,TableHandbook[],2,FALSE)),"")</f>
        <v/>
      </c>
      <c r="C21" s="146" t="str">
        <f>IFERROR(IF(VLOOKUP($A21,TableHandbook[],3,FALSE)=0,"",VLOOKUP($A21,TableHandbook[],3,FALSE)),"")</f>
        <v/>
      </c>
      <c r="D21" s="208" t="str">
        <f>IFERROR(IF(VLOOKUP($A21,TableHandbook[],4,FALSE)=0,"",VLOOKUP($A21,TableHandbook[],4,FALSE)),"")</f>
        <v>Teaching Area SENIOR subject (see below)</v>
      </c>
      <c r="E21" s="146" t="str">
        <f>IF(A21="","",E20)</f>
        <v>SP4</v>
      </c>
      <c r="F21" s="205" t="str">
        <f>IFERROR(IF(VLOOKUP($A21,TableHandbook[],6,FALSE)=0,"",VLOOKUP($A21,TableHandbook[],6,FALSE)),"")</f>
        <v>See below</v>
      </c>
      <c r="G21" s="146">
        <f>IFERROR(IF(VLOOKUP($A21,TableHandbook[],5,FALSE)=0,"",VLOOKUP($A21,TableHandbook[],5,FALSE)),"")</f>
        <v>25</v>
      </c>
      <c r="H21" s="269" t="str">
        <f>IFERROR(VLOOKUP($A21,TableHandbook[],H$2,FALSE),"")</f>
        <v/>
      </c>
      <c r="I21" s="270" t="str">
        <f>IFERROR(VLOOKUP($A21,TableHandbook[],I$2,FALSE),"")</f>
        <v/>
      </c>
      <c r="J21" s="270" t="str">
        <f>IFERROR(VLOOKUP($A21,TableHandbook[],J$2,FALSE),"")</f>
        <v/>
      </c>
      <c r="K21" s="271" t="str">
        <f>IFERROR(VLOOKUP($A21,TableHandbook[],K$2,FALSE),"")</f>
        <v/>
      </c>
      <c r="L21" s="206"/>
      <c r="M21" s="207">
        <v>9</v>
      </c>
      <c r="N21" s="29"/>
      <c r="O21" s="29"/>
      <c r="P21" s="30"/>
      <c r="Q21" s="30"/>
      <c r="R21" s="30"/>
      <c r="S21" s="30"/>
      <c r="T21" s="30"/>
      <c r="U21" s="30"/>
      <c r="V21" s="30"/>
      <c r="W21" s="30"/>
    </row>
    <row r="22" spans="1:23" ht="16.5" customHeight="1" x14ac:dyDescent="0.25">
      <c r="A22" s="39"/>
      <c r="B22" s="39"/>
      <c r="C22" s="39"/>
      <c r="D22" s="40"/>
      <c r="E22" s="40"/>
      <c r="F22" s="35"/>
      <c r="G22" s="35"/>
      <c r="H22" s="35"/>
      <c r="I22" s="35"/>
      <c r="J22" s="35"/>
      <c r="K22" s="35"/>
      <c r="L22" s="35"/>
      <c r="M22" s="16"/>
      <c r="N22" s="16"/>
      <c r="O22" s="16"/>
      <c r="P22" s="16"/>
      <c r="Q22" s="16"/>
      <c r="R22" s="16"/>
      <c r="S22" s="16"/>
      <c r="T22" s="16"/>
      <c r="U22" s="16"/>
      <c r="V22" s="16"/>
      <c r="W22" s="16"/>
    </row>
    <row r="23" spans="1:23" s="42" customFormat="1" ht="25.5" x14ac:dyDescent="0.25">
      <c r="A23" s="150" t="s">
        <v>269</v>
      </c>
      <c r="B23" s="97"/>
      <c r="C23" s="97"/>
      <c r="D23" s="98"/>
      <c r="E23" s="99"/>
      <c r="F23" s="99"/>
      <c r="G23" s="99"/>
      <c r="H23" s="100" t="str">
        <f>H9</f>
        <v>2025 Availabilities</v>
      </c>
      <c r="I23" s="101"/>
      <c r="J23" s="102"/>
      <c r="K23" s="103"/>
      <c r="L23" s="104"/>
      <c r="M23" s="41"/>
      <c r="N23" s="41"/>
      <c r="O23" s="41"/>
      <c r="P23" s="41"/>
      <c r="Q23" s="41"/>
      <c r="R23" s="41"/>
      <c r="S23" s="41"/>
      <c r="T23" s="41"/>
      <c r="U23" s="41"/>
      <c r="V23" s="41"/>
      <c r="W23" s="41"/>
    </row>
    <row r="24" spans="1:23" ht="21" customHeight="1" x14ac:dyDescent="0.25">
      <c r="A24" s="107"/>
      <c r="B24" s="107"/>
      <c r="C24" s="125" t="s">
        <v>21</v>
      </c>
      <c r="D24" s="108" t="s">
        <v>3</v>
      </c>
      <c r="E24" s="125"/>
      <c r="F24" s="107" t="s">
        <v>23</v>
      </c>
      <c r="G24" s="107" t="s">
        <v>24</v>
      </c>
      <c r="H24" s="255" t="str">
        <f>H10</f>
        <v>SP1</v>
      </c>
      <c r="I24" s="256" t="str">
        <f t="shared" ref="I24:L24" si="0">I10</f>
        <v>SP2</v>
      </c>
      <c r="J24" s="256" t="str">
        <f t="shared" si="0"/>
        <v>SP3</v>
      </c>
      <c r="K24" s="261" t="str">
        <f t="shared" si="0"/>
        <v>SP4</v>
      </c>
      <c r="L24" s="113" t="str">
        <f t="shared" si="0"/>
        <v>Notes / Progress</v>
      </c>
      <c r="M24" s="64"/>
      <c r="N24" s="16"/>
      <c r="O24" s="16"/>
      <c r="P24" s="16"/>
      <c r="Q24" s="16"/>
      <c r="R24" s="16"/>
      <c r="S24" s="16"/>
      <c r="T24" s="16"/>
      <c r="U24" s="16"/>
      <c r="V24" s="16"/>
      <c r="W24" s="16"/>
    </row>
    <row r="25" spans="1:23" ht="21" customHeight="1" x14ac:dyDescent="0.25">
      <c r="A25" s="157"/>
      <c r="B25" s="141"/>
      <c r="C25" s="209"/>
      <c r="D25" s="142" t="s">
        <v>273</v>
      </c>
      <c r="E25" s="143"/>
      <c r="F25" s="144"/>
      <c r="G25" s="144"/>
      <c r="H25" s="269"/>
      <c r="I25" s="270"/>
      <c r="J25" s="270"/>
      <c r="K25" s="271"/>
      <c r="L25" s="148"/>
      <c r="M25" s="149">
        <v>2</v>
      </c>
      <c r="N25" s="16"/>
      <c r="O25" s="16"/>
      <c r="P25" s="16"/>
      <c r="Q25" s="16"/>
      <c r="R25" s="16"/>
      <c r="S25" s="16"/>
      <c r="T25" s="16"/>
      <c r="U25" s="16"/>
      <c r="V25" s="16"/>
      <c r="W25" s="16"/>
    </row>
    <row r="26" spans="1:23" ht="21" customHeight="1" x14ac:dyDescent="0.25">
      <c r="A26" s="158" t="str">
        <f>IFERROR(IF(HLOOKUP($L$7,RangeTeachingAreas,M26,FALSE)=0,"",HLOOKUP($L$7,RangeTeachingAreas,M26,FALSE)),"")</f>
        <v/>
      </c>
      <c r="B26" s="43" t="str">
        <f>IFERROR(IF(VLOOKUP($A26,TableHandbook[],2,FALSE)=0,"",VLOOKUP($A26,TableHandbook[],2,FALSE)),"")</f>
        <v/>
      </c>
      <c r="C26" s="200"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57" t="str">
        <f>IFERROR(VLOOKUP($A26,TableHandbook[],H$2,FALSE),"")</f>
        <v/>
      </c>
      <c r="I26" s="258" t="str">
        <f>IFERROR(VLOOKUP($A26,TableHandbook[],I$2,FALSE),"")</f>
        <v/>
      </c>
      <c r="J26" s="258" t="str">
        <f>IFERROR(VLOOKUP($A26,TableHandbook[],J$2,FALSE),"")</f>
        <v/>
      </c>
      <c r="K26" s="265" t="str">
        <f>IFERROR(VLOOKUP($A26,TableHandbook[],K$2,FALSE),"")</f>
        <v/>
      </c>
      <c r="L26" s="51"/>
      <c r="M26" s="64">
        <v>3</v>
      </c>
      <c r="N26" s="16"/>
      <c r="O26" s="16"/>
      <c r="P26" s="16"/>
      <c r="Q26" s="16"/>
      <c r="R26" s="16"/>
      <c r="S26" s="16"/>
      <c r="T26" s="16"/>
      <c r="U26" s="16"/>
      <c r="V26" s="16"/>
      <c r="W26" s="16"/>
    </row>
    <row r="27" spans="1:23" ht="21" customHeight="1" x14ac:dyDescent="0.25">
      <c r="A27" s="158" t="str">
        <f>IFERROR(IF(HLOOKUP($L$7,RangeTeachingAreas,M27,FALSE)=0,"",HLOOKUP($L$7,RangeTeachingAreas,M27,FALSE)),"")</f>
        <v/>
      </c>
      <c r="B27" s="43" t="str">
        <f>IFERROR(IF(VLOOKUP($A27,TableHandbook[],2,FALSE)=0,"",VLOOKUP($A27,TableHandbook[],2,FALSE)),"")</f>
        <v/>
      </c>
      <c r="C27" s="200"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57" t="str">
        <f>IFERROR(VLOOKUP($A27,TableHandbook[],H$2,FALSE),"")</f>
        <v/>
      </c>
      <c r="I27" s="258" t="str">
        <f>IFERROR(VLOOKUP($A27,TableHandbook[],I$2,FALSE),"")</f>
        <v/>
      </c>
      <c r="J27" s="258" t="str">
        <f>IFERROR(VLOOKUP($A27,TableHandbook[],J$2,FALSE),"")</f>
        <v/>
      </c>
      <c r="K27" s="265" t="str">
        <f>IFERROR(VLOOKUP($A27,TableHandbook[],K$2,FALSE),"")</f>
        <v/>
      </c>
      <c r="L27" s="51"/>
      <c r="M27" s="64">
        <v>4</v>
      </c>
      <c r="N27" s="16"/>
      <c r="O27" s="16"/>
      <c r="P27" s="16"/>
      <c r="Q27" s="16"/>
      <c r="R27" s="16"/>
      <c r="S27" s="16"/>
      <c r="T27" s="16"/>
      <c r="U27" s="16"/>
      <c r="V27" s="16"/>
      <c r="W27" s="16"/>
    </row>
    <row r="28" spans="1:23" ht="13.5" customHeight="1" x14ac:dyDescent="0.25">
      <c r="A28" s="175"/>
      <c r="B28" s="176"/>
      <c r="C28" s="177"/>
      <c r="D28" s="177"/>
      <c r="E28" s="178"/>
      <c r="F28" s="179"/>
      <c r="G28" s="179"/>
      <c r="H28" s="159"/>
      <c r="I28" s="159"/>
      <c r="J28" s="159"/>
      <c r="K28" s="159"/>
      <c r="L28" s="160"/>
      <c r="M28" s="64"/>
      <c r="N28" s="16"/>
      <c r="O28" s="16"/>
      <c r="P28" s="16"/>
      <c r="Q28" s="16"/>
      <c r="R28" s="16"/>
      <c r="S28" s="16"/>
      <c r="T28" s="16"/>
      <c r="U28" s="16"/>
      <c r="V28" s="16"/>
      <c r="W28" s="16"/>
    </row>
    <row r="29" spans="1:23" s="16" customFormat="1" ht="18" x14ac:dyDescent="0.25">
      <c r="A29" s="65" t="s">
        <v>32</v>
      </c>
      <c r="B29" s="65"/>
      <c r="C29" s="65"/>
      <c r="D29" s="65"/>
      <c r="E29" s="65"/>
      <c r="F29" s="65"/>
      <c r="G29" s="65"/>
      <c r="H29" s="65"/>
      <c r="I29" s="65"/>
      <c r="J29" s="65"/>
      <c r="K29" s="65"/>
      <c r="L29" s="65"/>
    </row>
    <row r="30" spans="1:23" s="38" customFormat="1" ht="17.25" x14ac:dyDescent="0.2">
      <c r="A30" s="32" t="s">
        <v>33</v>
      </c>
      <c r="B30" s="32"/>
      <c r="C30" s="32"/>
      <c r="D30" s="33"/>
      <c r="E30" s="33"/>
      <c r="F30" s="33"/>
      <c r="G30" s="33"/>
      <c r="H30" s="33"/>
      <c r="I30" s="33"/>
      <c r="J30" s="33"/>
      <c r="K30" s="33"/>
      <c r="L30" s="33"/>
      <c r="M30" s="36"/>
      <c r="N30" s="36"/>
      <c r="O30" s="36"/>
      <c r="P30" s="37"/>
      <c r="Q30" s="37"/>
      <c r="R30" s="37"/>
      <c r="S30" s="37"/>
      <c r="T30" s="37"/>
      <c r="U30" s="37"/>
      <c r="V30" s="37"/>
      <c r="W30" s="37"/>
    </row>
    <row r="31" spans="1:23" x14ac:dyDescent="0.25">
      <c r="A31" s="34" t="s">
        <v>34</v>
      </c>
      <c r="B31" s="34"/>
      <c r="C31" s="34"/>
      <c r="D31" s="34"/>
      <c r="E31" s="47"/>
      <c r="F31" s="35"/>
      <c r="G31" s="48"/>
      <c r="H31" s="48"/>
      <c r="I31" s="48"/>
      <c r="J31" s="48"/>
      <c r="K31" s="48"/>
      <c r="L31" s="48" t="s">
        <v>35</v>
      </c>
    </row>
  </sheetData>
  <sheetProtection formatCells="0"/>
  <mergeCells count="1">
    <mergeCell ref="A3:D3"/>
  </mergeCells>
  <conditionalFormatting sqref="A11:M21">
    <cfRule type="expression" dxfId="75" priority="3">
      <formula>LEFT($A11,3)="FTA"</formula>
    </cfRule>
  </conditionalFormatting>
  <conditionalFormatting sqref="D5:D8">
    <cfRule type="containsText" dxfId="74" priority="4" operator="containsText" text="Choose">
      <formula>NOT(ISERROR(SEARCH("Choose",D5)))</formula>
    </cfRule>
  </conditionalFormatting>
  <conditionalFormatting sqref="H11:K21">
    <cfRule type="expression" dxfId="73"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P30"/>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20"/>
      <c r="B2" s="153">
        <v>2</v>
      </c>
      <c r="C2" s="153">
        <v>3</v>
      </c>
      <c r="D2" s="153">
        <v>4</v>
      </c>
      <c r="E2" s="153"/>
      <c r="F2" s="153">
        <v>6</v>
      </c>
      <c r="G2" s="153">
        <v>5</v>
      </c>
      <c r="H2" s="153">
        <v>7</v>
      </c>
      <c r="I2" s="153">
        <v>8</v>
      </c>
      <c r="J2" s="153">
        <v>9</v>
      </c>
      <c r="K2" s="153">
        <v>10</v>
      </c>
      <c r="L2" s="121"/>
    </row>
    <row r="3" spans="1:16" ht="39.950000000000003" customHeight="1" x14ac:dyDescent="0.25">
      <c r="A3" s="292" t="s">
        <v>8</v>
      </c>
      <c r="B3" s="292"/>
      <c r="C3" s="292"/>
      <c r="D3" s="292"/>
      <c r="E3" s="96"/>
      <c r="F3" s="96"/>
      <c r="G3" s="96"/>
      <c r="H3" s="96"/>
      <c r="I3" s="96"/>
      <c r="J3" s="96"/>
      <c r="K3" s="96"/>
      <c r="L3" s="96"/>
    </row>
    <row r="4" spans="1:16" ht="25.5" x14ac:dyDescent="0.25">
      <c r="A4" s="226"/>
      <c r="B4" s="227"/>
      <c r="C4" s="227"/>
      <c r="D4" s="228" t="s">
        <v>9</v>
      </c>
      <c r="E4" s="229"/>
      <c r="F4" s="227"/>
      <c r="G4" s="230"/>
      <c r="H4" s="230"/>
      <c r="I4" s="230"/>
      <c r="J4" s="230"/>
      <c r="K4" s="230"/>
      <c r="L4" s="230"/>
    </row>
    <row r="5" spans="1:16" ht="20.100000000000001" customHeight="1" x14ac:dyDescent="0.25">
      <c r="B5" s="10"/>
      <c r="C5" s="126" t="s">
        <v>10</v>
      </c>
      <c r="D5" s="202" t="s">
        <v>101</v>
      </c>
      <c r="E5" s="11"/>
      <c r="F5" s="10" t="s">
        <v>12</v>
      </c>
      <c r="G5" s="139" t="str">
        <f>IFERROR(CONCATENATE(VLOOKUP(D5,TableCourses[],2,FALSE)," ",VLOOKUP(D5,TableCourses[],3,FALSE)),"")</f>
        <v>OG-EDUC v.1</v>
      </c>
      <c r="H5" s="11"/>
      <c r="I5" s="11"/>
      <c r="J5" s="11"/>
      <c r="K5" s="11"/>
      <c r="L5" s="12"/>
    </row>
    <row r="6" spans="1:16"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1" t="str">
        <f>CONCATENATE(VLOOKUP(D6,TableMajorsGradDip[],2,FALSE),VLOOKUP(D8,TableStudyPeriods[],2,FALSE))</f>
        <v>OUMP-EDUSCSP1</v>
      </c>
    </row>
    <row r="7" spans="1:16" ht="20.100000000000001" customHeight="1" x14ac:dyDescent="0.25">
      <c r="B7" s="10"/>
      <c r="C7" s="126" t="s">
        <v>271</v>
      </c>
      <c r="D7" s="225" t="s">
        <v>272</v>
      </c>
      <c r="E7" s="11"/>
      <c r="F7" s="10"/>
      <c r="G7" s="11"/>
      <c r="H7" s="11"/>
      <c r="I7" s="11"/>
      <c r="J7" s="11"/>
      <c r="K7" s="11"/>
      <c r="L7" s="211" t="e">
        <f>VLOOKUP(D7,TableFirstTeachingArea[],2,FALSE)</f>
        <v>#N/A</v>
      </c>
    </row>
    <row r="8" spans="1:16" ht="20.100000000000001" customHeight="1" x14ac:dyDescent="0.25">
      <c r="A8" s="13"/>
      <c r="B8" s="14"/>
      <c r="C8" s="126" t="s">
        <v>16</v>
      </c>
      <c r="D8" s="117" t="s">
        <v>212</v>
      </c>
      <c r="E8" s="15"/>
      <c r="F8" s="10" t="s">
        <v>18</v>
      </c>
      <c r="G8" s="11" t="str">
        <f>IFERROR(VLOOKUP($D$5,TableCourses[],7,FALSE),"")</f>
        <v>200 credit points required</v>
      </c>
      <c r="H8" s="214"/>
      <c r="I8" s="214"/>
      <c r="J8" s="214"/>
      <c r="K8" s="214"/>
      <c r="L8" s="214"/>
    </row>
    <row r="9" spans="1:16" s="19" customFormat="1" ht="14.1" customHeight="1" x14ac:dyDescent="0.25">
      <c r="A9" s="107"/>
      <c r="B9" s="107"/>
      <c r="C9" s="107"/>
      <c r="D9" s="108"/>
      <c r="E9" s="109"/>
      <c r="F9" s="107"/>
      <c r="G9" s="107"/>
      <c r="H9" s="110" t="s">
        <v>19</v>
      </c>
      <c r="I9" s="123"/>
      <c r="J9" s="123"/>
      <c r="K9" s="111"/>
      <c r="L9" s="109"/>
      <c r="M9" s="215"/>
      <c r="N9" s="215"/>
      <c r="O9" s="215"/>
    </row>
    <row r="10" spans="1:16" s="19" customFormat="1" ht="21" x14ac:dyDescent="0.25">
      <c r="A10" s="107" t="s">
        <v>20</v>
      </c>
      <c r="B10" s="107"/>
      <c r="C10" s="125" t="s">
        <v>21</v>
      </c>
      <c r="D10" s="108" t="s">
        <v>3</v>
      </c>
      <c r="E10" s="125" t="s">
        <v>22</v>
      </c>
      <c r="F10" s="107" t="s">
        <v>23</v>
      </c>
      <c r="G10" s="107" t="s">
        <v>24</v>
      </c>
      <c r="H10" s="114" t="s">
        <v>25</v>
      </c>
      <c r="I10" s="124" t="s">
        <v>26</v>
      </c>
      <c r="J10" s="124" t="s">
        <v>27</v>
      </c>
      <c r="K10" s="115" t="s">
        <v>28</v>
      </c>
      <c r="L10" s="107" t="s">
        <v>29</v>
      </c>
      <c r="M10" s="215"/>
      <c r="N10" s="215"/>
      <c r="O10" s="215"/>
    </row>
    <row r="11" spans="1:16" s="22" customFormat="1" ht="21" customHeight="1" x14ac:dyDescent="0.15">
      <c r="A11" s="216" t="str">
        <f>IFERROR(IF(HLOOKUP($L$6,RangeUnitsetsOGEDUCAcc,M11,FALSE)=0,"",HLOOKUP($L$6,RangeUnitsetsOGEDUCAcc,M11,FALSE)),"")</f>
        <v>EDSC5037</v>
      </c>
      <c r="B11" s="52">
        <f>IFERROR(IF(VLOOKUP($A11,TableHandbook[],2,FALSE)=0,"",VLOOKUP($A11,TableHandbook[],2,FALSE)),"")</f>
        <v>1</v>
      </c>
      <c r="C11" s="52" t="str">
        <f>IFERROR(IF(VLOOKUP($A11,TableHandbook[],3,FALSE)=0,"",VLOOKUP($A11,TableHandbook[],3,FALSE)),"")</f>
        <v>MTS500</v>
      </c>
      <c r="D11" s="53" t="str">
        <f>IFERROR(IF(VLOOKUP($A11,TableHandbook[],4,FALSE)=0,"",VLOOKUP($A11,TableHandbook[],4,FALSE)),"")</f>
        <v>Teaching in the Secondary School</v>
      </c>
      <c r="E11" s="52" t="str">
        <f>IF(OR(A11="",A11="--"),"",VLOOKUP($D$8,TableStudyPeriods[],2,FALSE))</f>
        <v>SP1</v>
      </c>
      <c r="F11" s="217" t="str">
        <f>IFERROR(IF(VLOOKUP($A11,TableHandbook[],6,FALSE)=0,"",VLOOKUP($A11,TableHandbook[],6,FALSE)),"")</f>
        <v>Nil</v>
      </c>
      <c r="G11" s="52">
        <f>IFERROR(IF(VLOOKUP($A11,TableHandbook[],5,FALSE)=0,"",VLOOKUP($A11,TableHandbook[],5,FALSE)),"")</f>
        <v>25</v>
      </c>
      <c r="H11" s="62" t="str">
        <f>IFERROR(VLOOKUP($A11,TableHandbook[],H$2,FALSE),"")</f>
        <v>Y</v>
      </c>
      <c r="I11" s="52" t="str">
        <f>IFERROR(VLOOKUP($A11,TableHandbook[],I$2,FALSE),"")</f>
        <v>Y</v>
      </c>
      <c r="J11" s="52" t="str">
        <f>IFERROR(VLOOKUP($A11,TableHandbook[],J$2,FALSE),"")</f>
        <v/>
      </c>
      <c r="K11" s="63" t="str">
        <f>IFERROR(VLOOKUP($A11,TableHandbook[],K$2,FALSE),"")</f>
        <v/>
      </c>
      <c r="L11" s="59"/>
      <c r="M11" s="218">
        <v>2</v>
      </c>
      <c r="N11" s="219"/>
      <c r="O11" s="219"/>
    </row>
    <row r="12" spans="1:16" s="22" customFormat="1" ht="21" customHeight="1" x14ac:dyDescent="0.15">
      <c r="A12" s="216" t="str">
        <f>IFERROR(IF(HLOOKUP($L$6,RangeUnitsetsOGEDUCAcc,M12,FALSE)=0,"",HLOOKUP($L$6,RangeUnitsetsOGEDUCAcc,M12,FALSE)),"")</f>
        <v>EDSC5039</v>
      </c>
      <c r="B12" s="52">
        <f>IFERROR(IF(VLOOKUP($A12,TableHandbook[],2,FALSE)=0,"",VLOOKUP($A12,TableHandbook[],2,FALSE)),"")</f>
        <v>1</v>
      </c>
      <c r="C12" s="52" t="str">
        <f>IFERROR(IF(VLOOKUP($A12,TableHandbook[],3,FALSE)=0,"",VLOOKUP($A12,TableHandbook[],3,FALSE)),"")</f>
        <v>MTS502</v>
      </c>
      <c r="D12" s="53" t="str">
        <f>IFERROR(IF(VLOOKUP($A12,TableHandbook[],4,FALSE)=0,"",VLOOKUP($A12,TableHandbook[],4,FALSE)),"")</f>
        <v>Secondary Professional Experience 1: Planning</v>
      </c>
      <c r="E12" s="52" t="str">
        <f>IF(A12="","",E11)</f>
        <v>SP1</v>
      </c>
      <c r="F12" s="217" t="str">
        <f>IFERROR(IF(VLOOKUP($A12,TableHandbook[],6,FALSE)=0,"",VLOOKUP($A12,TableHandbook[],6,FALSE)),"")</f>
        <v>Nil</v>
      </c>
      <c r="G12" s="52">
        <f>IFERROR(IF(VLOOKUP($A12,TableHandbook[],5,FALSE)=0,"",VLOOKUP($A12,TableHandbook[],5,FALSE)),"")</f>
        <v>25</v>
      </c>
      <c r="H12" s="62" t="str">
        <f>IFERROR(VLOOKUP($A12,TableHandbook[],H$2,FALSE),"")</f>
        <v>Y</v>
      </c>
      <c r="I12" s="52" t="str">
        <f>IFERROR(VLOOKUP($A12,TableHandbook[],I$2,FALSE),"")</f>
        <v>Y</v>
      </c>
      <c r="J12" s="52" t="str">
        <f>IFERROR(VLOOKUP($A12,TableHandbook[],J$2,FALSE),"")</f>
        <v/>
      </c>
      <c r="K12" s="63" t="str">
        <f>IFERROR(VLOOKUP($A12,TableHandbook[],K$2,FALSE),"")</f>
        <v/>
      </c>
      <c r="L12" s="59"/>
      <c r="M12" s="218">
        <v>3</v>
      </c>
      <c r="N12" s="219"/>
      <c r="O12" s="219"/>
    </row>
    <row r="13" spans="1:16" s="22" customFormat="1" ht="21" customHeight="1" x14ac:dyDescent="0.15">
      <c r="A13" s="216" t="str">
        <f>IFERROR(IF(HLOOKUP($L$6,RangeUnitsetsOGEDUCAcc,M13,FALSE)=0,"",HLOOKUP($L$6,RangeUnitsetsOGEDUCAcc,M13,FALSE)),"")</f>
        <v>EDUC5014</v>
      </c>
      <c r="B13" s="52">
        <f>IFERROR(IF(VLOOKUP($A13,TableHandbook[],2,FALSE)=0,"",VLOOKUP($A13,TableHandbook[],2,FALSE)),"")</f>
        <v>1</v>
      </c>
      <c r="C13" s="52" t="str">
        <f>IFERROR(IF(VLOOKUP($A13,TableHandbook[],3,FALSE)=0,"",VLOOKUP($A13,TableHandbook[],3,FALSE)),"")</f>
        <v>MTPS501</v>
      </c>
      <c r="D13" s="53" t="str">
        <f>IFERROR(IF(VLOOKUP($A13,TableHandbook[],4,FALSE)=0,"",VLOOKUP($A13,TableHandbook[],4,FALSE)),"")</f>
        <v>Pedagogies for Diversity</v>
      </c>
      <c r="E13" s="52" t="str">
        <f>IF(A13="","",E12)</f>
        <v>SP1</v>
      </c>
      <c r="F13" s="217" t="str">
        <f>IFERROR(IF(VLOOKUP($A13,TableHandbook[],6,FALSE)=0,"",VLOOKUP($A13,TableHandbook[],6,FALSE)),"")</f>
        <v>Nil</v>
      </c>
      <c r="G13" s="52">
        <f>IFERROR(IF(VLOOKUP($A13,TableHandbook[],5,FALSE)=0,"",VLOOKUP($A13,TableHandbook[],5,FALSE)),"")</f>
        <v>25</v>
      </c>
      <c r="H13" s="62" t="str">
        <f>IFERROR(VLOOKUP($A13,TableHandbook[],H$2,FALSE),"")</f>
        <v>Y</v>
      </c>
      <c r="I13" s="52" t="str">
        <f>IFERROR(VLOOKUP($A13,TableHandbook[],I$2,FALSE),"")</f>
        <v/>
      </c>
      <c r="J13" s="52" t="str">
        <f>IFERROR(VLOOKUP($A13,TableHandbook[],J$2,FALSE),"")</f>
        <v>Y</v>
      </c>
      <c r="K13" s="63" t="str">
        <f>IFERROR(VLOOKUP($A13,TableHandbook[],K$2,FALSE),"")</f>
        <v/>
      </c>
      <c r="L13" s="59"/>
      <c r="M13" s="218">
        <v>4</v>
      </c>
      <c r="N13" s="219"/>
      <c r="O13" s="219"/>
    </row>
    <row r="14" spans="1:16" s="22" customFormat="1" ht="6" customHeight="1" x14ac:dyDescent="0.15">
      <c r="A14" s="191"/>
      <c r="B14" s="192"/>
      <c r="C14" s="192"/>
      <c r="D14" s="193"/>
      <c r="E14" s="192"/>
      <c r="F14" s="194"/>
      <c r="G14" s="192"/>
      <c r="H14" s="195"/>
      <c r="I14" s="196"/>
      <c r="J14" s="196"/>
      <c r="K14" s="198"/>
      <c r="L14" s="197"/>
      <c r="M14" s="218"/>
      <c r="N14" s="219"/>
      <c r="O14" s="219"/>
      <c r="P14" s="219"/>
    </row>
    <row r="15" spans="1:16" s="22" customFormat="1" ht="21" customHeight="1" x14ac:dyDescent="0.15">
      <c r="A15" s="216" t="str">
        <f>IFERROR(IF(HLOOKUP($L$6,RangeUnitsetsOGEDUCAcc,M15,FALSE)=0,"",HLOOKUP($L$6,RangeUnitsetsOGEDUCAcc,M15,FALSE)),"")</f>
        <v>EDSC5051</v>
      </c>
      <c r="B15" s="52">
        <f>IFERROR(IF(VLOOKUP($A15,TableHandbook[],2,FALSE)=0,"",VLOOKUP($A15,TableHandbook[],2,FALSE)),"")</f>
        <v>1</v>
      </c>
      <c r="C15" s="52" t="str">
        <f>IFERROR(IF(VLOOKUP($A15,TableHandbook[],3,FALSE)=0,"",VLOOKUP($A15,TableHandbook[],3,FALSE)),"")</f>
        <v>MTS504</v>
      </c>
      <c r="D15" s="53" t="str">
        <f>IFERROR(IF(VLOOKUP($A15,TableHandbook[],4,FALSE)=0,"",VLOOKUP($A15,TableHandbook[],4,FALSE)),"")</f>
        <v>Secondary Professional Experience 2: Assessment and Reporting</v>
      </c>
      <c r="E15" s="52" t="str">
        <f>IF(OR(A15="",A15="--"),"",VLOOKUP($D$8,TableStudyPeriods[],3,FALSE))</f>
        <v>SP2</v>
      </c>
      <c r="F15" s="217" t="str">
        <f>IFERROR(IF(VLOOKUP($A15,TableHandbook[],6,FALSE)=0,"",VLOOKUP($A15,TableHandbook[],6,FALSE)),"")</f>
        <v>MTS502</v>
      </c>
      <c r="G15" s="52">
        <f>IFERROR(IF(VLOOKUP($A15,TableHandbook[],5,FALSE)=0,"",VLOOKUP($A15,TableHandbook[],5,FALSE)),"")</f>
        <v>25</v>
      </c>
      <c r="H15" s="62" t="str">
        <f>IFERROR(VLOOKUP($A15,TableHandbook[],H$2,FALSE),"")</f>
        <v/>
      </c>
      <c r="I15" s="52" t="str">
        <f>IFERROR(VLOOKUP($A15,TableHandbook[],I$2,FALSE),"")</f>
        <v>Y</v>
      </c>
      <c r="J15" s="52" t="str">
        <f>IFERROR(VLOOKUP($A15,TableHandbook[],J$2,FALSE),"")</f>
        <v>Y</v>
      </c>
      <c r="K15" s="63" t="str">
        <f>IFERROR(VLOOKUP($A15,TableHandbook[],K$2,FALSE),"")</f>
        <v/>
      </c>
      <c r="L15" s="59"/>
      <c r="M15" s="220">
        <v>5</v>
      </c>
      <c r="N15" s="219"/>
      <c r="O15" s="219"/>
    </row>
    <row r="16" spans="1:16" s="22" customFormat="1" ht="21" customHeight="1" x14ac:dyDescent="0.15">
      <c r="A16" s="216" t="str">
        <f>IFERROR(IF(HLOOKUP($L$6,RangeUnitsetsOGEDUCAcc,M16,FALSE)=0,"",HLOOKUP($L$6,RangeUnitsetsOGEDUCAcc,M16,FALSE)),"")</f>
        <v>EDUC5017</v>
      </c>
      <c r="B16" s="52">
        <f>IFERROR(IF(VLOOKUP($A16,TableHandbook[],2,FALSE)=0,"",VLOOKUP($A16,TableHandbook[],2,FALSE)),"")</f>
        <v>1</v>
      </c>
      <c r="C16" s="52" t="str">
        <f>IFERROR(IF(VLOOKUP($A16,TableHandbook[],3,FALSE)=0,"",VLOOKUP($A16,TableHandbook[],3,FALSE)),"")</f>
        <v>MTPS504</v>
      </c>
      <c r="D16" s="53" t="str">
        <f>IFERROR(IF(VLOOKUP($A16,TableHandbook[],4,FALSE)=0,"",VLOOKUP($A16,TableHandbook[],4,FALSE)),"")</f>
        <v>Creative Technologies</v>
      </c>
      <c r="E16" s="52" t="str">
        <f>IF(A16="","",E15)</f>
        <v>SP2</v>
      </c>
      <c r="F16" s="217" t="str">
        <f>IFERROR(IF(VLOOKUP($A16,TableHandbook[],6,FALSE)=0,"",VLOOKUP($A16,TableHandbook[],6,FALSE)),"")</f>
        <v>Nil</v>
      </c>
      <c r="G16" s="52">
        <f>IFERROR(IF(VLOOKUP($A16,TableHandbook[],5,FALSE)=0,"",VLOOKUP($A16,TableHandbook[],5,FALSE)),"")</f>
        <v>25</v>
      </c>
      <c r="H16" s="62" t="str">
        <f>IFERROR(VLOOKUP($A16,TableHandbook[],H$2,FALSE),"")</f>
        <v/>
      </c>
      <c r="I16" s="52" t="str">
        <f>IFERROR(VLOOKUP($A16,TableHandbook[],I$2,FALSE),"")</f>
        <v>Y</v>
      </c>
      <c r="J16" s="52" t="str">
        <f>IFERROR(VLOOKUP($A16,TableHandbook[],J$2,FALSE),"")</f>
        <v>Y</v>
      </c>
      <c r="K16" s="63" t="str">
        <f>IFERROR(VLOOKUP($A16,TableHandbook[],K$2,FALSE),"")</f>
        <v>Y</v>
      </c>
      <c r="L16" s="59"/>
      <c r="M16" s="218">
        <v>6</v>
      </c>
      <c r="N16" s="219"/>
      <c r="O16" s="219"/>
    </row>
    <row r="17" spans="1:16" s="31" customFormat="1" ht="21" customHeight="1" x14ac:dyDescent="0.15">
      <c r="A17" s="203" t="str">
        <f>IFERROR(IF(HLOOKUP($L$6,RangeUnitsetsOGEDUCAcc,M17,FALSE)=0,"",HLOOKUP($L$6,RangeUnitsetsOGEDUCAcc,M17,FALSE)),"")</f>
        <v>GDTAL</v>
      </c>
      <c r="B17" s="146" t="str">
        <f>IFERROR(IF(VLOOKUP($A17,TableHandbook[],2,FALSE)=0,"",VLOOKUP($A17,TableHandbook[],2,FALSE)),"")</f>
        <v/>
      </c>
      <c r="C17" s="146" t="str">
        <f>IFERROR(IF(VLOOKUP($A17,TableHandbook[],3,FALSE)=0,"",VLOOKUP($A17,TableHandbook[],3,FALSE)),"")</f>
        <v/>
      </c>
      <c r="D17" s="204" t="str">
        <f>IFERROR(IF(VLOOKUP($A17,TableHandbook[],4,FALSE)=0,"",VLOOKUP($A17,TableHandbook[],4,FALSE)),"")</f>
        <v>Teaching Area LOWER subject (see below)</v>
      </c>
      <c r="E17" s="146" t="str">
        <f>IF(A17="","",E16)</f>
        <v>SP2</v>
      </c>
      <c r="F17" s="205" t="str">
        <f>IFERROR(IF(VLOOKUP($A17,TableHandbook[],6,FALSE)=0,"",VLOOKUP($A17,TableHandbook[],6,FALSE)),"")</f>
        <v>See below</v>
      </c>
      <c r="G17" s="146">
        <f>IFERROR(IF(VLOOKUP($A17,TableHandbook[],5,FALSE)=0,"",VLOOKUP($A17,TableHandbook[],5,FALSE)),"")</f>
        <v>25</v>
      </c>
      <c r="H17" s="145" t="str">
        <f>IFERROR(VLOOKUP($A17,TableHandbook[],H$2,FALSE),"")</f>
        <v/>
      </c>
      <c r="I17" s="146" t="str">
        <f>IFERROR(VLOOKUP($A17,TableHandbook[],I$2,FALSE),"")</f>
        <v/>
      </c>
      <c r="J17" s="146" t="str">
        <f>IFERROR(VLOOKUP($A17,TableHandbook[],J$2,FALSE),"")</f>
        <v/>
      </c>
      <c r="K17" s="147" t="str">
        <f>IFERROR(VLOOKUP($A17,TableHandbook[],K$2,FALSE),"")</f>
        <v/>
      </c>
      <c r="L17" s="206"/>
      <c r="M17" s="218">
        <v>7</v>
      </c>
      <c r="N17" s="221"/>
      <c r="O17" s="221"/>
    </row>
    <row r="18" spans="1:16" s="22" customFormat="1" ht="6" customHeight="1" x14ac:dyDescent="0.15">
      <c r="A18" s="191"/>
      <c r="B18" s="192"/>
      <c r="C18" s="192"/>
      <c r="D18" s="193"/>
      <c r="E18" s="192"/>
      <c r="F18" s="194"/>
      <c r="G18" s="192"/>
      <c r="H18" s="195"/>
      <c r="I18" s="196"/>
      <c r="J18" s="196"/>
      <c r="K18" s="198"/>
      <c r="L18" s="197"/>
      <c r="M18" s="218"/>
      <c r="N18" s="219"/>
      <c r="O18" s="219"/>
      <c r="P18" s="219"/>
    </row>
    <row r="19" spans="1:16" s="31" customFormat="1" ht="21" customHeight="1" x14ac:dyDescent="0.15">
      <c r="A19" s="216" t="str">
        <f>IFERROR(IF(HLOOKUP($L$6,RangeUnitsetsOGEDUCAcc,M19,FALSE)=0,"",HLOOKUP($L$6,RangeUnitsetsOGEDUCAcc,M19,FALSE)),"")</f>
        <v>EDUC6063</v>
      </c>
      <c r="B19" s="52">
        <f>IFERROR(IF(VLOOKUP($A19,TableHandbook[],2,FALSE)=0,"",VLOOKUP($A19,TableHandbook[],2,FALSE)),"")</f>
        <v>1</v>
      </c>
      <c r="C19" s="52" t="str">
        <f>IFERROR(IF(VLOOKUP($A19,TableHandbook[],3,FALSE)=0,"",VLOOKUP($A19,TableHandbook[],3,FALSE)),"")</f>
        <v>MTC600</v>
      </c>
      <c r="D19" s="53" t="str">
        <f>IFERROR(IF(VLOOKUP($A19,TableHandbook[],4,FALSE)=0,"",VLOOKUP($A19,TableHandbook[],4,FALSE)),"")</f>
        <v>Professional Experience 3: Using Data to Inform Teaching and Learning</v>
      </c>
      <c r="E19" s="52" t="str">
        <f>IF(OR(A19="",A19="--"),"",VLOOKUP($D$8,TableStudyPeriods[],4,FALSE))</f>
        <v>SP3</v>
      </c>
      <c r="F19" s="217" t="str">
        <f>IFERROR(IF(VLOOKUP($A19,TableHandbook[],6,FALSE)=0,"",VLOOKUP($A19,TableHandbook[],6,FALSE)),"")</f>
        <v>MTEC502 or MTP506 or MTS504</v>
      </c>
      <c r="G19" s="52">
        <f>IFERROR(IF(VLOOKUP($A19,TableHandbook[],5,FALSE)=0,"",VLOOKUP($A19,TableHandbook[],5,FALSE)),"")</f>
        <v>25</v>
      </c>
      <c r="H19" s="62" t="str">
        <f>IFERROR(VLOOKUP($A19,TableHandbook[],H$2,FALSE),"")</f>
        <v>Y</v>
      </c>
      <c r="I19" s="52" t="str">
        <f>IFERROR(VLOOKUP($A19,TableHandbook[],I$2,FALSE),"")</f>
        <v/>
      </c>
      <c r="J19" s="52" t="str">
        <f>IFERROR(VLOOKUP($A19,TableHandbook[],J$2,FALSE),"")</f>
        <v>Y</v>
      </c>
      <c r="K19" s="63" t="str">
        <f>IFERROR(VLOOKUP($A19,TableHandbook[],K$2,FALSE),"")</f>
        <v/>
      </c>
      <c r="L19" s="59"/>
      <c r="M19" s="218">
        <v>8</v>
      </c>
      <c r="N19" s="221"/>
      <c r="O19" s="221"/>
    </row>
    <row r="20" spans="1:16" s="31" customFormat="1" ht="21" customHeight="1" x14ac:dyDescent="0.15">
      <c r="A20" s="203" t="str">
        <f>IFERROR(IF(HLOOKUP($L$6,RangeUnitsetsOGEDUCAcc,M20,FALSE)=0,"",HLOOKUP($L$6,RangeUnitsetsOGEDUCAcc,M20,FALSE)),"")</f>
        <v>GDTAS</v>
      </c>
      <c r="B20" s="146" t="str">
        <f>IFERROR(IF(VLOOKUP($A20,TableHandbook[],2,FALSE)=0,"",VLOOKUP($A20,TableHandbook[],2,FALSE)),"")</f>
        <v/>
      </c>
      <c r="C20" s="146" t="str">
        <f>IFERROR(IF(VLOOKUP($A20,TableHandbook[],3,FALSE)=0,"",VLOOKUP($A20,TableHandbook[],3,FALSE)),"")</f>
        <v/>
      </c>
      <c r="D20" s="208" t="str">
        <f>IFERROR(IF(VLOOKUP($A20,TableHandbook[],4,FALSE)=0,"",VLOOKUP($A20,TableHandbook[],4,FALSE)),"")</f>
        <v>Teaching Area SENIOR subject (see below)</v>
      </c>
      <c r="E20" s="146" t="str">
        <f>IF(A20="","",E19)</f>
        <v>SP3</v>
      </c>
      <c r="F20" s="205" t="str">
        <f>IFERROR(IF(VLOOKUP($A20,TableHandbook[],6,FALSE)=0,"",VLOOKUP($A20,TableHandbook[],6,FALSE)),"")</f>
        <v>See below</v>
      </c>
      <c r="G20" s="146">
        <f>IFERROR(IF(VLOOKUP($A20,TableHandbook[],5,FALSE)=0,"",VLOOKUP($A20,TableHandbook[],5,FALSE)),"")</f>
        <v>25</v>
      </c>
      <c r="H20" s="145" t="str">
        <f>IFERROR(VLOOKUP($A20,TableHandbook[],H$2,FALSE),"")</f>
        <v/>
      </c>
      <c r="I20" s="146" t="str">
        <f>IFERROR(VLOOKUP($A20,TableHandbook[],I$2,FALSE),"")</f>
        <v/>
      </c>
      <c r="J20" s="146" t="str">
        <f>IFERROR(VLOOKUP($A20,TableHandbook[],J$2,FALSE),"")</f>
        <v/>
      </c>
      <c r="K20" s="147" t="str">
        <f>IFERROR(VLOOKUP($A20,TableHandbook[],K$2,FALSE),"")</f>
        <v/>
      </c>
      <c r="L20" s="206"/>
      <c r="M20" s="220">
        <v>9</v>
      </c>
      <c r="N20" s="221"/>
      <c r="O20" s="221"/>
    </row>
    <row r="21" spans="1:16" ht="16.5" customHeight="1" x14ac:dyDescent="0.25">
      <c r="A21" s="39"/>
      <c r="B21" s="39"/>
      <c r="C21" s="39"/>
      <c r="D21" s="40"/>
      <c r="E21" s="40"/>
      <c r="F21" s="35"/>
      <c r="G21" s="35"/>
      <c r="H21" s="35"/>
      <c r="I21" s="35"/>
      <c r="J21" s="35"/>
      <c r="K21" s="35"/>
      <c r="L21" s="35"/>
    </row>
    <row r="22" spans="1:16" s="42" customFormat="1" ht="25.5" x14ac:dyDescent="0.25">
      <c r="A22" s="150" t="s">
        <v>269</v>
      </c>
      <c r="B22" s="97"/>
      <c r="C22" s="97"/>
      <c r="D22" s="98"/>
      <c r="E22" s="99"/>
      <c r="F22" s="99"/>
      <c r="G22" s="99"/>
      <c r="H22" s="100" t="str">
        <f>H9</f>
        <v>2025 Availabilities</v>
      </c>
      <c r="I22" s="101"/>
      <c r="J22" s="102"/>
      <c r="K22" s="103"/>
      <c r="L22" s="104"/>
    </row>
    <row r="23" spans="1:16" ht="21" customHeight="1" x14ac:dyDescent="0.25">
      <c r="A23" s="107"/>
      <c r="B23" s="107"/>
      <c r="C23" s="125" t="s">
        <v>21</v>
      </c>
      <c r="D23" s="108" t="s">
        <v>3</v>
      </c>
      <c r="E23" s="125"/>
      <c r="F23" s="107" t="s">
        <v>23</v>
      </c>
      <c r="G23" s="107" t="s">
        <v>24</v>
      </c>
      <c r="H23" s="114" t="str">
        <f>H10</f>
        <v>SP1</v>
      </c>
      <c r="I23" s="124" t="str">
        <f t="shared" ref="I23:L23" si="0">I10</f>
        <v>SP2</v>
      </c>
      <c r="J23" s="124" t="str">
        <f t="shared" si="0"/>
        <v>SP3</v>
      </c>
      <c r="K23" s="115" t="str">
        <f t="shared" si="0"/>
        <v>SP4</v>
      </c>
      <c r="L23" s="107" t="str">
        <f t="shared" si="0"/>
        <v>Notes / Progress</v>
      </c>
      <c r="M23" s="222"/>
    </row>
    <row r="24" spans="1:16" ht="21" customHeight="1" x14ac:dyDescent="0.25">
      <c r="A24" s="157"/>
      <c r="B24" s="141"/>
      <c r="C24" s="209"/>
      <c r="D24" s="142" t="s">
        <v>273</v>
      </c>
      <c r="E24" s="143"/>
      <c r="F24" s="144"/>
      <c r="G24" s="144"/>
      <c r="H24" s="145"/>
      <c r="I24" s="146"/>
      <c r="J24" s="146"/>
      <c r="K24" s="147"/>
      <c r="L24" s="206"/>
      <c r="M24" s="223">
        <v>2</v>
      </c>
    </row>
    <row r="25" spans="1:16" ht="21" customHeight="1" x14ac:dyDescent="0.25">
      <c r="A25" s="158" t="str">
        <f>IFERROR(IF(HLOOKUP($L$7,RangeTeachingAreas,M25,FALSE)=0,"",HLOOKUP($L$7,RangeTeachingAreas,M25,FALSE)),"")</f>
        <v/>
      </c>
      <c r="B25" s="43" t="str">
        <f>IFERROR(IF(VLOOKUP($A25,TableHandbook[],2,FALSE)=0,"",VLOOKUP($A25,TableHandbook[],2,FALSE)),"")</f>
        <v/>
      </c>
      <c r="C25" s="200"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60" t="str">
        <f>IFERROR(VLOOKUP($A25,TableHandbook[],H$2,FALSE),"")</f>
        <v/>
      </c>
      <c r="I25" s="50" t="str">
        <f>IFERROR(VLOOKUP($A25,TableHandbook[],I$2,FALSE),"")</f>
        <v/>
      </c>
      <c r="J25" s="50" t="str">
        <f>IFERROR(VLOOKUP($A25,TableHandbook[],J$2,FALSE),"")</f>
        <v/>
      </c>
      <c r="K25" s="61" t="str">
        <f>IFERROR(VLOOKUP($A25,TableHandbook[],K$2,FALSE),"")</f>
        <v/>
      </c>
      <c r="L25" s="59"/>
      <c r="M25" s="222">
        <v>3</v>
      </c>
    </row>
    <row r="26" spans="1:16" ht="21" customHeight="1" x14ac:dyDescent="0.25">
      <c r="A26" s="158" t="str">
        <f>IFERROR(IF(HLOOKUP($L$7,RangeTeachingAreas,M26,FALSE)=0,"",HLOOKUP($L$7,RangeTeachingAreas,M26,FALSE)),"")</f>
        <v/>
      </c>
      <c r="B26" s="43" t="str">
        <f>IFERROR(IF(VLOOKUP($A26,TableHandbook[],2,FALSE)=0,"",VLOOKUP($A26,TableHandbook[],2,FALSE)),"")</f>
        <v/>
      </c>
      <c r="C26" s="200"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60" t="str">
        <f>IFERROR(VLOOKUP($A26,TableHandbook[],H$2,FALSE),"")</f>
        <v/>
      </c>
      <c r="I26" s="50" t="str">
        <f>IFERROR(VLOOKUP($A26,TableHandbook[],I$2,FALSE),"")</f>
        <v/>
      </c>
      <c r="J26" s="50" t="str">
        <f>IFERROR(VLOOKUP($A26,TableHandbook[],J$2,FALSE),"")</f>
        <v/>
      </c>
      <c r="K26" s="61" t="str">
        <f>IFERROR(VLOOKUP($A26,TableHandbook[],K$2,FALSE),"")</f>
        <v/>
      </c>
      <c r="L26" s="59"/>
      <c r="M26" s="222">
        <v>4</v>
      </c>
    </row>
    <row r="27" spans="1:16" ht="13.5" customHeight="1" x14ac:dyDescent="0.25">
      <c r="A27" s="175"/>
      <c r="B27" s="176"/>
      <c r="C27" s="177"/>
      <c r="D27" s="177"/>
      <c r="E27" s="178"/>
      <c r="F27" s="179"/>
      <c r="G27" s="179"/>
      <c r="H27" s="159"/>
      <c r="I27" s="159"/>
      <c r="J27" s="159"/>
      <c r="K27" s="159"/>
      <c r="L27" s="160"/>
      <c r="M27" s="222"/>
    </row>
    <row r="28" spans="1:16" ht="18" x14ac:dyDescent="0.25">
      <c r="A28" s="65" t="s">
        <v>32</v>
      </c>
      <c r="B28" s="65"/>
      <c r="C28" s="65"/>
      <c r="D28" s="65"/>
      <c r="E28" s="65"/>
      <c r="F28" s="65"/>
      <c r="G28" s="65"/>
      <c r="H28" s="65"/>
      <c r="I28" s="65"/>
      <c r="J28" s="65"/>
      <c r="K28" s="65"/>
      <c r="L28" s="65"/>
    </row>
    <row r="29" spans="1:16" s="38" customFormat="1" ht="17.25" x14ac:dyDescent="0.2">
      <c r="A29" s="32" t="s">
        <v>33</v>
      </c>
      <c r="B29" s="32"/>
      <c r="C29" s="32"/>
      <c r="D29" s="33"/>
      <c r="E29" s="33"/>
      <c r="F29" s="33"/>
      <c r="G29" s="33"/>
      <c r="H29" s="33"/>
      <c r="I29" s="33"/>
      <c r="J29" s="33"/>
      <c r="K29" s="33"/>
      <c r="L29" s="33"/>
      <c r="M29" s="224"/>
      <c r="N29" s="224"/>
      <c r="O29" s="224"/>
    </row>
    <row r="30" spans="1:16" x14ac:dyDescent="0.25">
      <c r="A30" s="34" t="s">
        <v>34</v>
      </c>
      <c r="B30" s="34"/>
      <c r="C30" s="34"/>
      <c r="D30" s="34"/>
      <c r="E30" s="47"/>
      <c r="F30" s="35"/>
      <c r="G30" s="48"/>
      <c r="H30" s="48"/>
      <c r="I30" s="48"/>
      <c r="J30" s="48"/>
      <c r="K30" s="48"/>
      <c r="L30" s="48" t="s">
        <v>35</v>
      </c>
    </row>
  </sheetData>
  <sheetProtection formatCells="0"/>
  <mergeCells count="1">
    <mergeCell ref="A3:D3"/>
  </mergeCells>
  <conditionalFormatting sqref="A11:M20">
    <cfRule type="expression" dxfId="72" priority="4">
      <formula>LEFT($A11,3)="FTA"</formula>
    </cfRule>
  </conditionalFormatting>
  <conditionalFormatting sqref="D5:D8">
    <cfRule type="containsText" dxfId="71" priority="2" operator="containsText" text="Choose">
      <formula>NOT(ISERROR(SEARCH("Choose",D5)))</formula>
    </cfRule>
  </conditionalFormatting>
  <conditionalFormatting sqref="H11:K20">
    <cfRule type="expression" dxfId="7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D7" sqref="D7"/>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7" t="s">
        <v>274</v>
      </c>
    </row>
    <row r="3" spans="1:16" x14ac:dyDescent="0.25">
      <c r="G3" s="165" t="s">
        <v>275</v>
      </c>
      <c r="H3" s="77">
        <v>1</v>
      </c>
      <c r="I3" s="79"/>
      <c r="J3" s="78" t="s">
        <v>276</v>
      </c>
      <c r="K3" s="79"/>
      <c r="L3" s="78" t="s">
        <v>277</v>
      </c>
      <c r="M3" s="79"/>
      <c r="N3" s="78" t="s">
        <v>278</v>
      </c>
      <c r="O3" s="79"/>
      <c r="P3" s="78" t="s">
        <v>279</v>
      </c>
    </row>
    <row r="4" spans="1:16" x14ac:dyDescent="0.25">
      <c r="D4" s="135" t="s">
        <v>280</v>
      </c>
      <c r="E4" s="135"/>
      <c r="G4" s="68"/>
      <c r="H4" s="80">
        <v>2</v>
      </c>
      <c r="I4" s="90" t="s">
        <v>74</v>
      </c>
      <c r="J4" s="94" t="s">
        <v>281</v>
      </c>
      <c r="K4" s="90" t="s">
        <v>76</v>
      </c>
      <c r="L4" s="94" t="s">
        <v>282</v>
      </c>
      <c r="M4" s="90" t="s">
        <v>78</v>
      </c>
      <c r="N4" s="94" t="s">
        <v>75</v>
      </c>
      <c r="O4" s="90" t="s">
        <v>79</v>
      </c>
      <c r="P4" s="94" t="s">
        <v>282</v>
      </c>
    </row>
    <row r="5" spans="1:16" x14ac:dyDescent="0.25">
      <c r="A5" s="70" t="s">
        <v>283</v>
      </c>
      <c r="D5" s="136" t="s">
        <v>284</v>
      </c>
      <c r="E5" s="154" t="s">
        <v>285</v>
      </c>
      <c r="G5" s="68"/>
      <c r="H5" s="80">
        <v>3</v>
      </c>
      <c r="I5" s="91" t="s">
        <v>74</v>
      </c>
      <c r="J5" s="95" t="s">
        <v>75</v>
      </c>
      <c r="K5" s="91" t="s">
        <v>76</v>
      </c>
      <c r="L5" s="95" t="s">
        <v>281</v>
      </c>
      <c r="M5" s="91" t="s">
        <v>78</v>
      </c>
      <c r="N5" s="95" t="s">
        <v>262</v>
      </c>
      <c r="O5" s="91" t="s">
        <v>79</v>
      </c>
      <c r="P5" s="128" t="s">
        <v>286</v>
      </c>
    </row>
    <row r="6" spans="1:16" x14ac:dyDescent="0.25">
      <c r="A6" t="s">
        <v>284</v>
      </c>
      <c r="B6" t="s">
        <v>287</v>
      </c>
      <c r="D6" s="137"/>
      <c r="E6" s="155" t="s">
        <v>266</v>
      </c>
      <c r="G6" s="68"/>
      <c r="H6" s="80">
        <v>4</v>
      </c>
      <c r="I6" s="91" t="s">
        <v>76</v>
      </c>
      <c r="J6" s="95" t="s">
        <v>282</v>
      </c>
      <c r="K6" s="91" t="s">
        <v>78</v>
      </c>
      <c r="L6" s="95" t="s">
        <v>75</v>
      </c>
      <c r="M6" s="91" t="s">
        <v>79</v>
      </c>
      <c r="N6" s="95" t="s">
        <v>282</v>
      </c>
      <c r="O6" s="91" t="s">
        <v>74</v>
      </c>
      <c r="P6" s="95" t="s">
        <v>281</v>
      </c>
    </row>
    <row r="7" spans="1:16" x14ac:dyDescent="0.25">
      <c r="A7" t="s">
        <v>266</v>
      </c>
      <c r="B7" t="s">
        <v>288</v>
      </c>
      <c r="D7" s="137"/>
      <c r="E7" s="155" t="s">
        <v>289</v>
      </c>
      <c r="G7" s="68"/>
      <c r="H7" s="80">
        <v>5</v>
      </c>
      <c r="I7" s="91" t="s">
        <v>76</v>
      </c>
      <c r="J7" s="95" t="s">
        <v>290</v>
      </c>
      <c r="K7" s="91" t="s">
        <v>78</v>
      </c>
      <c r="L7" s="95" t="s">
        <v>262</v>
      </c>
      <c r="M7" s="91" t="s">
        <v>79</v>
      </c>
      <c r="N7" s="128" t="s">
        <v>286</v>
      </c>
      <c r="O7" s="91" t="s">
        <v>74</v>
      </c>
      <c r="P7" s="95" t="s">
        <v>75</v>
      </c>
    </row>
    <row r="8" spans="1:16" x14ac:dyDescent="0.25">
      <c r="A8" t="s">
        <v>289</v>
      </c>
      <c r="B8" t="s">
        <v>291</v>
      </c>
      <c r="D8" s="137"/>
      <c r="E8" s="155" t="s">
        <v>268</v>
      </c>
      <c r="G8" s="68"/>
      <c r="H8" s="80">
        <v>6</v>
      </c>
      <c r="I8" s="91" t="s">
        <v>78</v>
      </c>
      <c r="J8" s="95" t="s">
        <v>262</v>
      </c>
      <c r="K8" s="91" t="s">
        <v>79</v>
      </c>
      <c r="L8" s="128" t="s">
        <v>286</v>
      </c>
      <c r="M8" s="91" t="s">
        <v>74</v>
      </c>
      <c r="N8" s="95" t="s">
        <v>281</v>
      </c>
      <c r="O8" s="91" t="s">
        <v>76</v>
      </c>
      <c r="P8" s="95" t="s">
        <v>290</v>
      </c>
    </row>
    <row r="9" spans="1:16" x14ac:dyDescent="0.25">
      <c r="A9" t="s">
        <v>268</v>
      </c>
      <c r="B9" t="s">
        <v>292</v>
      </c>
      <c r="D9" s="137"/>
      <c r="E9" s="155" t="s">
        <v>293</v>
      </c>
      <c r="G9" s="68"/>
      <c r="H9" s="80">
        <v>7</v>
      </c>
      <c r="I9" s="91" t="s">
        <v>78</v>
      </c>
      <c r="J9" s="95" t="s">
        <v>294</v>
      </c>
      <c r="K9" s="91" t="s">
        <v>79</v>
      </c>
      <c r="L9" s="129" t="s">
        <v>295</v>
      </c>
      <c r="M9" s="91" t="s">
        <v>74</v>
      </c>
      <c r="N9" s="95" t="s">
        <v>290</v>
      </c>
      <c r="O9" s="91" t="s">
        <v>76</v>
      </c>
      <c r="P9" s="129" t="s">
        <v>295</v>
      </c>
    </row>
    <row r="10" spans="1:16" x14ac:dyDescent="0.25">
      <c r="A10" t="s">
        <v>293</v>
      </c>
      <c r="B10" t="s">
        <v>296</v>
      </c>
      <c r="D10" s="137"/>
      <c r="E10" s="155" t="s">
        <v>297</v>
      </c>
      <c r="G10" s="68"/>
      <c r="H10" s="80">
        <v>8</v>
      </c>
      <c r="I10" s="91" t="s">
        <v>79</v>
      </c>
      <c r="J10" s="128" t="s">
        <v>286</v>
      </c>
      <c r="K10" s="91" t="s">
        <v>74</v>
      </c>
      <c r="L10" s="95" t="s">
        <v>96</v>
      </c>
      <c r="M10" s="91" t="s">
        <v>76</v>
      </c>
      <c r="N10" s="95" t="s">
        <v>294</v>
      </c>
      <c r="O10" s="91" t="s">
        <v>78</v>
      </c>
      <c r="P10" s="95" t="s">
        <v>262</v>
      </c>
    </row>
    <row r="11" spans="1:16" x14ac:dyDescent="0.25">
      <c r="A11" t="s">
        <v>297</v>
      </c>
      <c r="B11" t="s">
        <v>298</v>
      </c>
      <c r="D11" s="138"/>
      <c r="E11" s="156" t="s">
        <v>299</v>
      </c>
      <c r="G11" s="68"/>
      <c r="H11" s="80">
        <v>9</v>
      </c>
      <c r="I11" s="91" t="s">
        <v>79</v>
      </c>
      <c r="J11" s="129" t="s">
        <v>295</v>
      </c>
      <c r="K11" s="93" t="s">
        <v>74</v>
      </c>
      <c r="L11" s="95" t="s">
        <v>290</v>
      </c>
      <c r="M11" s="91" t="s">
        <v>76</v>
      </c>
      <c r="N11" s="129" t="s">
        <v>295</v>
      </c>
      <c r="O11" s="93" t="s">
        <v>78</v>
      </c>
      <c r="P11" s="95" t="s">
        <v>294</v>
      </c>
    </row>
    <row r="12" spans="1:16" x14ac:dyDescent="0.25">
      <c r="A12" t="s">
        <v>299</v>
      </c>
      <c r="B12" t="s">
        <v>300</v>
      </c>
      <c r="D12" s="136" t="s">
        <v>288</v>
      </c>
      <c r="E12" s="154" t="s">
        <v>301</v>
      </c>
      <c r="G12" s="68"/>
      <c r="H12" s="80">
        <v>10</v>
      </c>
      <c r="I12" s="90" t="s">
        <v>110</v>
      </c>
      <c r="J12" s="94" t="s">
        <v>302</v>
      </c>
      <c r="K12" s="90" t="s">
        <v>111</v>
      </c>
      <c r="L12" s="94" t="s">
        <v>294</v>
      </c>
      <c r="M12" s="90" t="s">
        <v>112</v>
      </c>
      <c r="N12" s="94" t="s">
        <v>96</v>
      </c>
      <c r="O12" s="90" t="s">
        <v>113</v>
      </c>
      <c r="P12" s="94" t="s">
        <v>122</v>
      </c>
    </row>
    <row r="13" spans="1:16" x14ac:dyDescent="0.25">
      <c r="D13" s="137"/>
      <c r="E13" s="155" t="s">
        <v>303</v>
      </c>
      <c r="G13" s="68"/>
      <c r="H13" s="80">
        <v>11</v>
      </c>
      <c r="I13" s="91" t="s">
        <v>110</v>
      </c>
      <c r="J13" s="95" t="s">
        <v>120</v>
      </c>
      <c r="K13" s="91" t="s">
        <v>111</v>
      </c>
      <c r="L13" s="128" t="s">
        <v>304</v>
      </c>
      <c r="M13" s="91" t="s">
        <v>112</v>
      </c>
      <c r="N13" s="95" t="s">
        <v>95</v>
      </c>
      <c r="O13" s="91" t="s">
        <v>113</v>
      </c>
      <c r="P13" s="128" t="s">
        <v>304</v>
      </c>
    </row>
    <row r="14" spans="1:16" x14ac:dyDescent="0.25">
      <c r="A14" s="70" t="s">
        <v>305</v>
      </c>
      <c r="D14" s="137"/>
      <c r="E14" s="155" t="s">
        <v>289</v>
      </c>
      <c r="G14" s="68"/>
      <c r="H14" s="80">
        <v>12</v>
      </c>
      <c r="I14" s="91" t="s">
        <v>111</v>
      </c>
      <c r="J14" s="128" t="s">
        <v>304</v>
      </c>
      <c r="K14" s="91" t="s">
        <v>112</v>
      </c>
      <c r="L14" s="95" t="s">
        <v>95</v>
      </c>
      <c r="M14" s="91" t="s">
        <v>113</v>
      </c>
      <c r="N14" s="95" t="s">
        <v>122</v>
      </c>
      <c r="O14" s="91" t="s">
        <v>110</v>
      </c>
      <c r="P14" s="95" t="s">
        <v>302</v>
      </c>
    </row>
    <row r="15" spans="1:16" x14ac:dyDescent="0.25">
      <c r="A15" t="s">
        <v>306</v>
      </c>
      <c r="B15" t="s">
        <v>287</v>
      </c>
      <c r="D15" s="137"/>
      <c r="E15" s="155" t="s">
        <v>268</v>
      </c>
      <c r="G15" s="68"/>
      <c r="H15" s="80">
        <v>13</v>
      </c>
      <c r="I15" s="91" t="s">
        <v>111</v>
      </c>
      <c r="J15" s="129" t="s">
        <v>307</v>
      </c>
      <c r="K15" s="91" t="s">
        <v>112</v>
      </c>
      <c r="L15" s="95" t="s">
        <v>120</v>
      </c>
      <c r="M15" s="91" t="s">
        <v>113</v>
      </c>
      <c r="N15" s="128" t="s">
        <v>304</v>
      </c>
      <c r="O15" s="91" t="s">
        <v>110</v>
      </c>
      <c r="P15" s="95" t="s">
        <v>120</v>
      </c>
    </row>
    <row r="16" spans="1:16" x14ac:dyDescent="0.25">
      <c r="A16" t="s">
        <v>266</v>
      </c>
      <c r="B16" t="s">
        <v>288</v>
      </c>
      <c r="D16" s="137"/>
      <c r="E16" s="155" t="s">
        <v>293</v>
      </c>
      <c r="G16" s="68"/>
      <c r="H16" s="80">
        <v>14</v>
      </c>
      <c r="I16" s="91" t="s">
        <v>112</v>
      </c>
      <c r="J16" s="95" t="s">
        <v>96</v>
      </c>
      <c r="K16" s="91" t="s">
        <v>113</v>
      </c>
      <c r="L16" s="95" t="s">
        <v>122</v>
      </c>
      <c r="M16" s="91" t="s">
        <v>110</v>
      </c>
      <c r="N16" s="95" t="s">
        <v>302</v>
      </c>
      <c r="O16" s="91" t="s">
        <v>111</v>
      </c>
      <c r="P16" s="95" t="s">
        <v>95</v>
      </c>
    </row>
    <row r="17" spans="1:24" x14ac:dyDescent="0.25">
      <c r="A17" t="s">
        <v>303</v>
      </c>
      <c r="B17" t="s">
        <v>308</v>
      </c>
      <c r="D17" s="137"/>
      <c r="E17" s="155" t="s">
        <v>297</v>
      </c>
      <c r="G17" s="68"/>
      <c r="H17" s="80">
        <v>15</v>
      </c>
      <c r="I17" s="91" t="s">
        <v>112</v>
      </c>
      <c r="J17" s="95" t="s">
        <v>95</v>
      </c>
      <c r="K17" s="91" t="s">
        <v>113</v>
      </c>
      <c r="L17" s="129" t="s">
        <v>307</v>
      </c>
      <c r="M17" s="91" t="s">
        <v>110</v>
      </c>
      <c r="N17" s="95" t="s">
        <v>120</v>
      </c>
      <c r="O17" s="91" t="s">
        <v>111</v>
      </c>
      <c r="P17" s="129" t="s">
        <v>307</v>
      </c>
    </row>
    <row r="18" spans="1:24" x14ac:dyDescent="0.25">
      <c r="A18" t="s">
        <v>289</v>
      </c>
      <c r="B18" t="s">
        <v>291</v>
      </c>
      <c r="D18" s="138"/>
      <c r="E18" s="156" t="s">
        <v>299</v>
      </c>
      <c r="G18" s="68"/>
      <c r="H18" s="80">
        <v>16</v>
      </c>
      <c r="I18" s="91" t="s">
        <v>113</v>
      </c>
      <c r="J18" s="95" t="s">
        <v>122</v>
      </c>
      <c r="K18" s="91" t="s">
        <v>110</v>
      </c>
      <c r="L18" s="95" t="s">
        <v>302</v>
      </c>
      <c r="M18" s="91" t="s">
        <v>111</v>
      </c>
      <c r="N18" s="129" t="s">
        <v>307</v>
      </c>
      <c r="O18" s="91" t="s">
        <v>112</v>
      </c>
      <c r="P18" s="95" t="s">
        <v>96</v>
      </c>
    </row>
    <row r="19" spans="1:24" x14ac:dyDescent="0.25">
      <c r="A19" t="s">
        <v>309</v>
      </c>
      <c r="B19" t="s">
        <v>308</v>
      </c>
      <c r="D19" s="136" t="s">
        <v>291</v>
      </c>
      <c r="E19" s="154" t="s">
        <v>301</v>
      </c>
      <c r="G19" s="68"/>
      <c r="H19" s="80">
        <v>17</v>
      </c>
      <c r="I19" s="93" t="s">
        <v>113</v>
      </c>
      <c r="J19" s="92" t="s">
        <v>129</v>
      </c>
      <c r="K19" s="93" t="s">
        <v>110</v>
      </c>
      <c r="L19" s="92" t="s">
        <v>129</v>
      </c>
      <c r="M19" s="93" t="s">
        <v>111</v>
      </c>
      <c r="N19" s="92" t="s">
        <v>129</v>
      </c>
      <c r="O19" s="93" t="s">
        <v>112</v>
      </c>
      <c r="P19" s="92" t="s">
        <v>129</v>
      </c>
    </row>
    <row r="20" spans="1:24" x14ac:dyDescent="0.25">
      <c r="A20" t="s">
        <v>268</v>
      </c>
      <c r="B20" t="s">
        <v>292</v>
      </c>
      <c r="D20" s="137"/>
      <c r="E20" s="155" t="s">
        <v>309</v>
      </c>
      <c r="G20" s="68"/>
    </row>
    <row r="21" spans="1:24" x14ac:dyDescent="0.25">
      <c r="A21" t="s">
        <v>310</v>
      </c>
      <c r="B21" t="s">
        <v>308</v>
      </c>
      <c r="D21" s="137"/>
      <c r="E21" s="155" t="s">
        <v>266</v>
      </c>
      <c r="G21" s="68"/>
    </row>
    <row r="22" spans="1:24" x14ac:dyDescent="0.25">
      <c r="A22" t="s">
        <v>293</v>
      </c>
      <c r="B22" t="s">
        <v>296</v>
      </c>
      <c r="D22" s="137"/>
      <c r="E22" s="155" t="s">
        <v>268</v>
      </c>
      <c r="G22" s="165" t="s">
        <v>311</v>
      </c>
      <c r="H22" s="77">
        <v>1</v>
      </c>
      <c r="I22" s="140"/>
      <c r="J22" s="140" t="s">
        <v>288</v>
      </c>
      <c r="K22" s="140" t="s">
        <v>291</v>
      </c>
      <c r="L22" s="140" t="s">
        <v>292</v>
      </c>
      <c r="M22" s="140" t="s">
        <v>296</v>
      </c>
      <c r="N22" s="140" t="s">
        <v>298</v>
      </c>
      <c r="O22" s="140" t="s">
        <v>300</v>
      </c>
      <c r="P22" s="140" t="s">
        <v>308</v>
      </c>
    </row>
    <row r="23" spans="1:24" x14ac:dyDescent="0.25">
      <c r="A23" t="s">
        <v>312</v>
      </c>
      <c r="B23" t="s">
        <v>308</v>
      </c>
      <c r="D23" s="137"/>
      <c r="E23" s="155" t="s">
        <v>293</v>
      </c>
      <c r="H23" s="80">
        <v>2</v>
      </c>
      <c r="I23" s="130"/>
      <c r="J23" s="130" t="s">
        <v>313</v>
      </c>
      <c r="K23" s="130" t="s">
        <v>313</v>
      </c>
      <c r="L23" s="130" t="s">
        <v>313</v>
      </c>
      <c r="M23" s="130" t="s">
        <v>313</v>
      </c>
      <c r="N23" s="130" t="s">
        <v>313</v>
      </c>
      <c r="O23" s="130" t="s">
        <v>313</v>
      </c>
      <c r="P23" s="130" t="s">
        <v>313</v>
      </c>
    </row>
    <row r="24" spans="1:24" x14ac:dyDescent="0.25">
      <c r="A24" t="s">
        <v>297</v>
      </c>
      <c r="B24" t="s">
        <v>298</v>
      </c>
      <c r="D24" s="137"/>
      <c r="E24" s="155" t="s">
        <v>297</v>
      </c>
      <c r="H24" s="80">
        <v>3</v>
      </c>
      <c r="I24" s="131" t="s">
        <v>314</v>
      </c>
      <c r="J24" s="131" t="s">
        <v>315</v>
      </c>
      <c r="K24" s="131" t="s">
        <v>316</v>
      </c>
      <c r="L24" s="131" t="s">
        <v>317</v>
      </c>
      <c r="M24" s="131" t="s">
        <v>318</v>
      </c>
      <c r="N24" s="131" t="s">
        <v>319</v>
      </c>
      <c r="O24" s="131" t="s">
        <v>320</v>
      </c>
      <c r="P24" s="131" t="s">
        <v>183</v>
      </c>
    </row>
    <row r="25" spans="1:24" x14ac:dyDescent="0.25">
      <c r="A25" t="s">
        <v>321</v>
      </c>
      <c r="B25" t="s">
        <v>308</v>
      </c>
      <c r="D25" s="138"/>
      <c r="E25" s="156" t="s">
        <v>299</v>
      </c>
      <c r="H25" s="80">
        <v>4</v>
      </c>
      <c r="I25" s="132" t="s">
        <v>322</v>
      </c>
      <c r="J25" s="132" t="s">
        <v>323</v>
      </c>
      <c r="K25" s="132" t="s">
        <v>324</v>
      </c>
      <c r="L25" s="132" t="s">
        <v>325</v>
      </c>
      <c r="M25" s="132" t="s">
        <v>326</v>
      </c>
      <c r="N25" s="132" t="s">
        <v>327</v>
      </c>
      <c r="O25" s="132" t="s">
        <v>328</v>
      </c>
      <c r="P25" s="132" t="s">
        <v>183</v>
      </c>
    </row>
    <row r="26" spans="1:24" x14ac:dyDescent="0.25">
      <c r="A26" t="s">
        <v>299</v>
      </c>
      <c r="B26" t="s">
        <v>300</v>
      </c>
      <c r="D26" s="136" t="s">
        <v>292</v>
      </c>
      <c r="E26" s="154" t="s">
        <v>301</v>
      </c>
      <c r="H26" s="80">
        <v>5</v>
      </c>
      <c r="I26" s="131"/>
      <c r="J26" s="131" t="s">
        <v>329</v>
      </c>
      <c r="K26" s="131" t="s">
        <v>329</v>
      </c>
      <c r="L26" s="131" t="s">
        <v>329</v>
      </c>
      <c r="M26" s="131" t="s">
        <v>329</v>
      </c>
      <c r="N26" s="131" t="s">
        <v>329</v>
      </c>
      <c r="O26" s="131" t="s">
        <v>329</v>
      </c>
      <c r="P26" s="131" t="s">
        <v>329</v>
      </c>
    </row>
    <row r="27" spans="1:24" x14ac:dyDescent="0.25">
      <c r="A27" t="s">
        <v>330</v>
      </c>
      <c r="B27" t="s">
        <v>308</v>
      </c>
      <c r="D27" s="137"/>
      <c r="E27" s="155" t="s">
        <v>310</v>
      </c>
      <c r="H27" s="80">
        <v>6</v>
      </c>
      <c r="I27" s="131" t="s">
        <v>331</v>
      </c>
      <c r="J27" s="133" t="str">
        <f t="shared" ref="J27:O28" si="0">J24</f>
        <v>EDSC5041</v>
      </c>
      <c r="K27" s="133" t="str">
        <f t="shared" si="0"/>
        <v>EDSC5042</v>
      </c>
      <c r="L27" s="133" t="str">
        <f t="shared" si="0"/>
        <v>EDSC5056</v>
      </c>
      <c r="M27" s="133" t="str">
        <f t="shared" si="0"/>
        <v>EDSC5043</v>
      </c>
      <c r="N27" s="133" t="str">
        <f t="shared" si="0"/>
        <v>EDSC5044</v>
      </c>
      <c r="O27" s="133" t="str">
        <f t="shared" si="0"/>
        <v>EDSC5045</v>
      </c>
      <c r="P27" s="131" t="s">
        <v>263</v>
      </c>
    </row>
    <row r="28" spans="1:24" x14ac:dyDescent="0.25">
      <c r="D28" s="137"/>
      <c r="E28" s="155" t="s">
        <v>266</v>
      </c>
      <c r="H28" s="80">
        <v>7</v>
      </c>
      <c r="I28" s="132" t="s">
        <v>332</v>
      </c>
      <c r="J28" s="134" t="str">
        <f t="shared" si="0"/>
        <v>EDSC5046</v>
      </c>
      <c r="K28" s="134" t="str">
        <f t="shared" si="0"/>
        <v>EDSC5054</v>
      </c>
      <c r="L28" s="134" t="str">
        <f t="shared" si="0"/>
        <v>EDSC5058</v>
      </c>
      <c r="M28" s="134" t="str">
        <f t="shared" si="0"/>
        <v>EDSC5048</v>
      </c>
      <c r="N28" s="134" t="str">
        <f t="shared" si="0"/>
        <v>EDSC5049</v>
      </c>
      <c r="O28" s="134" t="str">
        <f t="shared" si="0"/>
        <v>EDSC5050</v>
      </c>
      <c r="P28" s="132" t="s">
        <v>333</v>
      </c>
    </row>
    <row r="29" spans="1:24" x14ac:dyDescent="0.25">
      <c r="A29" s="70" t="s">
        <v>334</v>
      </c>
      <c r="D29" s="137"/>
      <c r="E29" s="155" t="s">
        <v>289</v>
      </c>
    </row>
    <row r="30" spans="1:24" x14ac:dyDescent="0.25">
      <c r="A30" t="s">
        <v>272</v>
      </c>
      <c r="B30" t="s">
        <v>287</v>
      </c>
      <c r="D30" s="137"/>
      <c r="E30" s="155" t="s">
        <v>293</v>
      </c>
    </row>
    <row r="31" spans="1:24" x14ac:dyDescent="0.25">
      <c r="A31" t="s">
        <v>266</v>
      </c>
      <c r="B31" t="s">
        <v>288</v>
      </c>
      <c r="D31" s="137"/>
      <c r="E31" s="155" t="s">
        <v>297</v>
      </c>
      <c r="G31" s="165" t="s">
        <v>335</v>
      </c>
      <c r="H31" s="77">
        <v>1</v>
      </c>
      <c r="I31" s="79"/>
      <c r="J31" s="78" t="s">
        <v>336</v>
      </c>
      <c r="K31" s="79"/>
      <c r="L31" s="78" t="s">
        <v>337</v>
      </c>
      <c r="M31" s="79"/>
      <c r="N31" s="78" t="s">
        <v>338</v>
      </c>
      <c r="O31" s="79"/>
      <c r="P31" s="78" t="s">
        <v>339</v>
      </c>
      <c r="Q31" s="79"/>
      <c r="R31" s="78" t="s">
        <v>340</v>
      </c>
      <c r="S31" s="79"/>
      <c r="T31" s="78" t="s">
        <v>341</v>
      </c>
      <c r="U31" s="79"/>
      <c r="V31" s="78" t="s">
        <v>342</v>
      </c>
      <c r="W31" s="79"/>
      <c r="X31" s="78" t="s">
        <v>343</v>
      </c>
    </row>
    <row r="32" spans="1:24" x14ac:dyDescent="0.25">
      <c r="A32" t="s">
        <v>289</v>
      </c>
      <c r="B32" t="s">
        <v>291</v>
      </c>
      <c r="D32" s="138"/>
      <c r="E32" s="156" t="s">
        <v>299</v>
      </c>
      <c r="G32" s="68"/>
      <c r="H32" s="80">
        <v>2</v>
      </c>
      <c r="I32" s="90" t="s">
        <v>74</v>
      </c>
      <c r="J32" s="94" t="s">
        <v>92</v>
      </c>
      <c r="K32" s="90"/>
      <c r="L32" s="173" t="s">
        <v>135</v>
      </c>
      <c r="M32" s="90"/>
      <c r="N32" s="173" t="s">
        <v>135</v>
      </c>
      <c r="O32" s="90"/>
      <c r="P32" s="173" t="s">
        <v>135</v>
      </c>
      <c r="Q32" s="90" t="s">
        <v>74</v>
      </c>
      <c r="R32" s="94" t="s">
        <v>281</v>
      </c>
      <c r="S32" s="90"/>
      <c r="T32" s="173" t="s">
        <v>135</v>
      </c>
      <c r="U32" s="90"/>
      <c r="V32" s="173" t="s">
        <v>135</v>
      </c>
      <c r="W32" s="90"/>
      <c r="X32" s="173" t="s">
        <v>135</v>
      </c>
    </row>
    <row r="33" spans="1:24" x14ac:dyDescent="0.25">
      <c r="A33" t="s">
        <v>268</v>
      </c>
      <c r="B33" t="s">
        <v>292</v>
      </c>
      <c r="D33" s="136" t="s">
        <v>296</v>
      </c>
      <c r="E33" s="154" t="s">
        <v>301</v>
      </c>
      <c r="G33" s="68"/>
      <c r="H33" s="80">
        <v>3</v>
      </c>
      <c r="I33" s="91" t="s">
        <v>74</v>
      </c>
      <c r="J33" s="95" t="s">
        <v>75</v>
      </c>
      <c r="K33" s="91"/>
      <c r="L33" s="105"/>
      <c r="M33" s="91"/>
      <c r="N33" s="95"/>
      <c r="O33" s="91"/>
      <c r="P33" s="95"/>
      <c r="Q33" s="91" t="s">
        <v>74</v>
      </c>
      <c r="R33" s="95" t="s">
        <v>290</v>
      </c>
      <c r="S33" s="91"/>
      <c r="T33" s="95"/>
      <c r="U33" s="91"/>
      <c r="V33" s="95"/>
      <c r="W33" s="91"/>
      <c r="X33" s="95"/>
    </row>
    <row r="34" spans="1:24" x14ac:dyDescent="0.25">
      <c r="A34" t="s">
        <v>293</v>
      </c>
      <c r="B34" t="s">
        <v>296</v>
      </c>
      <c r="D34" s="137"/>
      <c r="E34" s="155" t="s">
        <v>312</v>
      </c>
      <c r="G34" s="68"/>
      <c r="H34" s="80">
        <v>4</v>
      </c>
      <c r="I34" s="91" t="s">
        <v>76</v>
      </c>
      <c r="J34" s="95" t="s">
        <v>86</v>
      </c>
      <c r="K34" s="91"/>
      <c r="L34" s="95"/>
      <c r="M34" s="91"/>
      <c r="N34" s="95"/>
      <c r="O34" s="91"/>
      <c r="P34" s="95"/>
      <c r="Q34" s="91" t="s">
        <v>76</v>
      </c>
      <c r="R34" s="95" t="s">
        <v>294</v>
      </c>
      <c r="S34" s="91"/>
      <c r="T34" s="95"/>
      <c r="U34" s="91"/>
      <c r="V34" s="95"/>
      <c r="W34" s="91"/>
      <c r="X34" s="95"/>
    </row>
    <row r="35" spans="1:24" x14ac:dyDescent="0.25">
      <c r="A35" t="s">
        <v>297</v>
      </c>
      <c r="B35" t="s">
        <v>298</v>
      </c>
      <c r="D35" s="137"/>
      <c r="E35" s="155" t="s">
        <v>266</v>
      </c>
      <c r="G35" s="68"/>
      <c r="H35" s="80">
        <v>5</v>
      </c>
      <c r="I35" s="91" t="s">
        <v>76</v>
      </c>
      <c r="J35" s="95" t="s">
        <v>100</v>
      </c>
      <c r="K35" s="91"/>
      <c r="L35" s="95"/>
      <c r="M35" s="91"/>
      <c r="N35" s="95"/>
      <c r="O35" s="91"/>
      <c r="P35" s="95"/>
      <c r="Q35" s="91" t="s">
        <v>76</v>
      </c>
      <c r="R35" s="95" t="s">
        <v>344</v>
      </c>
      <c r="S35" s="91"/>
      <c r="T35" s="95"/>
      <c r="U35" s="91"/>
      <c r="V35" s="95"/>
      <c r="W35" s="91"/>
      <c r="X35" s="95"/>
    </row>
    <row r="36" spans="1:24" x14ac:dyDescent="0.25">
      <c r="A36" t="s">
        <v>299</v>
      </c>
      <c r="B36" t="s">
        <v>300</v>
      </c>
      <c r="D36" s="137"/>
      <c r="E36" s="155" t="s">
        <v>289</v>
      </c>
      <c r="G36" s="68"/>
      <c r="H36" s="80">
        <v>6</v>
      </c>
      <c r="I36" s="91" t="s">
        <v>78</v>
      </c>
      <c r="J36" s="95" t="s">
        <v>81</v>
      </c>
      <c r="K36" s="91"/>
      <c r="L36" s="95"/>
      <c r="M36" s="91"/>
      <c r="N36" s="95"/>
      <c r="O36" s="91"/>
      <c r="P36" s="95"/>
      <c r="Q36" s="91" t="s">
        <v>78</v>
      </c>
      <c r="R36" s="95" t="s">
        <v>120</v>
      </c>
      <c r="S36" s="91"/>
      <c r="T36" s="95"/>
      <c r="U36" s="91"/>
      <c r="V36" s="95"/>
      <c r="W36" s="91"/>
      <c r="X36" s="95"/>
    </row>
    <row r="37" spans="1:24" x14ac:dyDescent="0.25">
      <c r="D37" s="137"/>
      <c r="E37" s="155" t="s">
        <v>268</v>
      </c>
      <c r="G37" s="68"/>
      <c r="H37" s="80">
        <v>7</v>
      </c>
      <c r="I37" s="91" t="s">
        <v>78</v>
      </c>
      <c r="J37" s="95" t="s">
        <v>120</v>
      </c>
      <c r="K37" s="91"/>
      <c r="L37" s="95"/>
      <c r="M37" s="91"/>
      <c r="N37" s="95"/>
      <c r="O37" s="91"/>
      <c r="P37" s="95"/>
      <c r="Q37" s="91" t="s">
        <v>78</v>
      </c>
      <c r="R37" s="95" t="s">
        <v>96</v>
      </c>
      <c r="S37" s="91"/>
      <c r="T37" s="95"/>
      <c r="U37" s="91"/>
      <c r="V37" s="95"/>
      <c r="W37" s="91"/>
      <c r="X37" s="95"/>
    </row>
    <row r="38" spans="1:24" x14ac:dyDescent="0.25">
      <c r="D38" s="137"/>
      <c r="E38" s="155" t="s">
        <v>297</v>
      </c>
      <c r="G38" s="68"/>
      <c r="H38" s="80">
        <v>8</v>
      </c>
      <c r="I38" s="91" t="s">
        <v>79</v>
      </c>
      <c r="J38" s="95" t="s">
        <v>87</v>
      </c>
      <c r="K38" s="91"/>
      <c r="L38" s="95"/>
      <c r="M38" s="91"/>
      <c r="N38" s="95"/>
      <c r="O38" s="91"/>
      <c r="P38" s="95"/>
      <c r="Q38" s="91" t="s">
        <v>79</v>
      </c>
      <c r="R38" s="95" t="s">
        <v>95</v>
      </c>
      <c r="S38" s="91"/>
      <c r="T38" s="95"/>
      <c r="U38" s="91"/>
      <c r="V38" s="95"/>
      <c r="W38" s="91"/>
      <c r="X38" s="95"/>
    </row>
    <row r="39" spans="1:24" x14ac:dyDescent="0.25">
      <c r="D39" s="138"/>
      <c r="E39" s="156" t="s">
        <v>299</v>
      </c>
      <c r="G39" s="68"/>
      <c r="H39" s="80">
        <v>9</v>
      </c>
      <c r="I39" s="93" t="s">
        <v>79</v>
      </c>
      <c r="J39" s="92" t="s">
        <v>95</v>
      </c>
      <c r="K39" s="93"/>
      <c r="L39" s="92"/>
      <c r="M39" s="93"/>
      <c r="N39" s="92"/>
      <c r="O39" s="93"/>
      <c r="P39" s="92"/>
      <c r="Q39" s="93" t="s">
        <v>79</v>
      </c>
      <c r="R39" s="92" t="s">
        <v>345</v>
      </c>
      <c r="S39" s="93"/>
      <c r="T39" s="92"/>
      <c r="U39" s="93"/>
      <c r="V39" s="92"/>
      <c r="W39" s="93"/>
      <c r="X39" s="92"/>
    </row>
    <row r="40" spans="1:24" x14ac:dyDescent="0.25">
      <c r="D40" s="136" t="s">
        <v>298</v>
      </c>
      <c r="E40" s="154" t="s">
        <v>301</v>
      </c>
    </row>
    <row r="41" spans="1:24" x14ac:dyDescent="0.25">
      <c r="D41" s="137"/>
      <c r="E41" s="155" t="s">
        <v>321</v>
      </c>
    </row>
    <row r="42" spans="1:24" x14ac:dyDescent="0.25">
      <c r="D42" s="137"/>
      <c r="E42" s="155" t="s">
        <v>266</v>
      </c>
      <c r="G42" s="165" t="s">
        <v>346</v>
      </c>
      <c r="H42" s="77">
        <v>1</v>
      </c>
      <c r="I42" s="79"/>
      <c r="J42" s="78" t="s">
        <v>336</v>
      </c>
      <c r="K42" s="79"/>
      <c r="L42" s="78" t="s">
        <v>337</v>
      </c>
      <c r="M42" s="79"/>
      <c r="N42" s="78" t="s">
        <v>338</v>
      </c>
      <c r="O42" s="79"/>
      <c r="P42" s="78" t="s">
        <v>339</v>
      </c>
      <c r="Q42" s="79"/>
      <c r="R42" s="78" t="s">
        <v>340</v>
      </c>
      <c r="S42" s="79"/>
      <c r="T42" s="78" t="s">
        <v>341</v>
      </c>
      <c r="U42" s="79"/>
      <c r="V42" s="78" t="s">
        <v>342</v>
      </c>
      <c r="W42" s="79"/>
      <c r="X42" s="78" t="s">
        <v>343</v>
      </c>
    </row>
    <row r="43" spans="1:24" x14ac:dyDescent="0.25">
      <c r="D43" s="137"/>
      <c r="E43" s="155" t="s">
        <v>289</v>
      </c>
      <c r="G43" s="68"/>
      <c r="H43" s="80">
        <v>2</v>
      </c>
      <c r="I43" s="90" t="s">
        <v>74</v>
      </c>
      <c r="J43" s="94" t="s">
        <v>92</v>
      </c>
      <c r="K43" s="90"/>
      <c r="L43" s="173" t="s">
        <v>135</v>
      </c>
      <c r="M43" s="90"/>
      <c r="N43" s="173" t="s">
        <v>135</v>
      </c>
      <c r="O43" s="90"/>
      <c r="P43" s="173" t="s">
        <v>135</v>
      </c>
      <c r="Q43" s="90" t="s">
        <v>74</v>
      </c>
      <c r="R43" s="94" t="s">
        <v>281</v>
      </c>
      <c r="S43" s="90"/>
      <c r="T43" s="173" t="s">
        <v>135</v>
      </c>
      <c r="U43" s="90"/>
      <c r="V43" s="173" t="s">
        <v>135</v>
      </c>
      <c r="W43" s="90"/>
      <c r="X43" s="173" t="s">
        <v>135</v>
      </c>
    </row>
    <row r="44" spans="1:24" x14ac:dyDescent="0.25">
      <c r="D44" s="137"/>
      <c r="E44" s="155" t="s">
        <v>268</v>
      </c>
      <c r="G44" s="68"/>
      <c r="H44" s="80">
        <v>3</v>
      </c>
      <c r="I44" s="91" t="s">
        <v>74</v>
      </c>
      <c r="J44" s="95" t="s">
        <v>75</v>
      </c>
      <c r="K44" s="91"/>
      <c r="L44" s="105"/>
      <c r="M44" s="91"/>
      <c r="N44" s="95"/>
      <c r="O44" s="91"/>
      <c r="P44" s="95"/>
      <c r="Q44" s="91" t="s">
        <v>74</v>
      </c>
      <c r="R44" s="95" t="s">
        <v>290</v>
      </c>
      <c r="S44" s="91"/>
      <c r="T44" s="95"/>
      <c r="U44" s="91"/>
      <c r="V44" s="95"/>
      <c r="W44" s="91"/>
      <c r="X44" s="95"/>
    </row>
    <row r="45" spans="1:24" x14ac:dyDescent="0.25">
      <c r="D45" s="137"/>
      <c r="E45" s="155" t="s">
        <v>293</v>
      </c>
      <c r="G45" s="68"/>
      <c r="H45" s="80">
        <v>4</v>
      </c>
      <c r="I45" s="91" t="s">
        <v>74</v>
      </c>
      <c r="J45" s="95" t="s">
        <v>81</v>
      </c>
      <c r="K45" s="91"/>
      <c r="L45" s="95"/>
      <c r="M45" s="91"/>
      <c r="N45" s="95"/>
      <c r="O45" s="91"/>
      <c r="P45" s="95"/>
      <c r="Q45" s="91" t="s">
        <v>74</v>
      </c>
      <c r="R45" s="95" t="s">
        <v>96</v>
      </c>
      <c r="S45" s="91"/>
      <c r="T45" s="95"/>
      <c r="U45" s="91"/>
      <c r="V45" s="95"/>
      <c r="W45" s="91"/>
      <c r="X45" s="95"/>
    </row>
    <row r="46" spans="1:24" x14ac:dyDescent="0.25">
      <c r="D46" s="138"/>
      <c r="E46" s="156" t="s">
        <v>299</v>
      </c>
      <c r="G46" s="68"/>
      <c r="H46" s="80">
        <v>5</v>
      </c>
      <c r="I46" s="91" t="s">
        <v>76</v>
      </c>
      <c r="J46" s="95" t="s">
        <v>86</v>
      </c>
      <c r="K46" s="91"/>
      <c r="L46" s="95"/>
      <c r="M46" s="91"/>
      <c r="N46" s="95"/>
      <c r="O46" s="91"/>
      <c r="P46" s="95"/>
      <c r="Q46" s="91" t="s">
        <v>76</v>
      </c>
      <c r="R46" s="95" t="s">
        <v>294</v>
      </c>
      <c r="S46" s="91"/>
      <c r="T46" s="95"/>
      <c r="U46" s="91"/>
      <c r="V46" s="95"/>
      <c r="W46" s="91"/>
      <c r="X46" s="95"/>
    </row>
    <row r="47" spans="1:24" x14ac:dyDescent="0.25">
      <c r="D47" s="136" t="s">
        <v>300</v>
      </c>
      <c r="E47" s="154" t="s">
        <v>301</v>
      </c>
      <c r="G47" s="68"/>
      <c r="H47" s="80">
        <v>6</v>
      </c>
      <c r="I47" s="91" t="s">
        <v>76</v>
      </c>
      <c r="J47" s="95" t="s">
        <v>100</v>
      </c>
      <c r="K47" s="91"/>
      <c r="L47" s="95"/>
      <c r="M47" s="91"/>
      <c r="N47" s="95"/>
      <c r="O47" s="91"/>
      <c r="P47" s="95"/>
      <c r="Q47" s="91" t="s">
        <v>76</v>
      </c>
      <c r="R47" s="95" t="s">
        <v>95</v>
      </c>
      <c r="S47" s="91"/>
      <c r="T47" s="95"/>
      <c r="U47" s="91"/>
      <c r="V47" s="95"/>
      <c r="W47" s="91"/>
      <c r="X47" s="95"/>
    </row>
    <row r="48" spans="1:24" x14ac:dyDescent="0.25">
      <c r="D48" s="137"/>
      <c r="E48" s="155" t="s">
        <v>330</v>
      </c>
      <c r="G48" s="68"/>
      <c r="H48" s="80">
        <v>7</v>
      </c>
      <c r="I48" s="91" t="s">
        <v>76</v>
      </c>
      <c r="J48" s="95" t="s">
        <v>87</v>
      </c>
      <c r="K48" s="91"/>
      <c r="L48" s="95"/>
      <c r="M48" s="91"/>
      <c r="N48" s="95"/>
      <c r="O48" s="91"/>
      <c r="P48" s="95"/>
      <c r="Q48" s="91" t="s">
        <v>76</v>
      </c>
      <c r="R48" s="95" t="s">
        <v>344</v>
      </c>
      <c r="S48" s="91"/>
      <c r="T48" s="95"/>
      <c r="U48" s="91"/>
      <c r="V48" s="95"/>
      <c r="W48" s="91"/>
      <c r="X48" s="95"/>
    </row>
    <row r="49" spans="4:24" x14ac:dyDescent="0.25">
      <c r="D49" s="137"/>
      <c r="E49" s="155" t="s">
        <v>266</v>
      </c>
      <c r="G49" s="68"/>
      <c r="H49" s="80">
        <v>8</v>
      </c>
      <c r="I49" s="91" t="s">
        <v>78</v>
      </c>
      <c r="J49" s="95" t="s">
        <v>120</v>
      </c>
      <c r="K49" s="91"/>
      <c r="L49" s="95"/>
      <c r="M49" s="91"/>
      <c r="N49" s="95"/>
      <c r="O49" s="91"/>
      <c r="P49" s="95"/>
      <c r="Q49" s="91" t="s">
        <v>78</v>
      </c>
      <c r="R49" s="95" t="s">
        <v>120</v>
      </c>
      <c r="S49" s="91"/>
      <c r="T49" s="95"/>
      <c r="U49" s="91"/>
      <c r="V49" s="95"/>
      <c r="W49" s="91"/>
      <c r="X49" s="95"/>
    </row>
    <row r="50" spans="4:24" x14ac:dyDescent="0.25">
      <c r="D50" s="137"/>
      <c r="E50" s="155" t="s">
        <v>289</v>
      </c>
      <c r="G50" s="68"/>
      <c r="H50" s="80">
        <v>9</v>
      </c>
      <c r="I50" s="93" t="s">
        <v>78</v>
      </c>
      <c r="J50" s="92" t="s">
        <v>95</v>
      </c>
      <c r="K50" s="93"/>
      <c r="L50" s="92"/>
      <c r="M50" s="93"/>
      <c r="N50" s="92"/>
      <c r="O50" s="93"/>
      <c r="P50" s="92"/>
      <c r="Q50" s="93" t="s">
        <v>78</v>
      </c>
      <c r="R50" s="92" t="s">
        <v>345</v>
      </c>
      <c r="S50" s="93"/>
      <c r="T50" s="92"/>
      <c r="U50" s="93"/>
      <c r="V50" s="92"/>
      <c r="W50" s="93"/>
      <c r="X50" s="92"/>
    </row>
    <row r="51" spans="4:24" x14ac:dyDescent="0.25">
      <c r="D51" s="137"/>
      <c r="E51" s="155" t="s">
        <v>268</v>
      </c>
    </row>
    <row r="52" spans="4:24" x14ac:dyDescent="0.25">
      <c r="D52" s="137"/>
      <c r="E52" s="155" t="s">
        <v>293</v>
      </c>
    </row>
    <row r="53" spans="4:24" x14ac:dyDescent="0.25">
      <c r="D53" s="138"/>
      <c r="E53" s="156" t="s">
        <v>297</v>
      </c>
    </row>
  </sheetData>
  <pageMargins left="0.7" right="0.7" top="0.75" bottom="0.75" header="0.3" footer="0.3"/>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D7" sqref="D7"/>
      <selection pane="topRight" activeCell="D7" sqref="D7"/>
      <selection pane="bottomLeft" activeCell="D7" sqref="D7"/>
      <selection pane="bottomRight" activeCell="D7" sqref="D7"/>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35">
        <f>COLUMN()</f>
        <v>1</v>
      </c>
      <c r="B1" s="235">
        <f>COLUMN()</f>
        <v>2</v>
      </c>
      <c r="C1" s="235">
        <f>COLUMN()</f>
        <v>3</v>
      </c>
      <c r="D1" s="235">
        <f>COLUMN()</f>
        <v>4</v>
      </c>
      <c r="E1" s="235">
        <f>COLUMN()</f>
        <v>5</v>
      </c>
      <c r="F1" s="235">
        <f>COLUMN()</f>
        <v>6</v>
      </c>
      <c r="G1" s="235">
        <f>COLUMN()</f>
        <v>7</v>
      </c>
      <c r="H1" s="235">
        <f>COLUMN()</f>
        <v>8</v>
      </c>
      <c r="I1" s="235">
        <f>COLUMN()</f>
        <v>9</v>
      </c>
      <c r="J1" s="235">
        <f>COLUMN()</f>
        <v>10</v>
      </c>
      <c r="K1" s="235">
        <f>COLUMN()</f>
        <v>11</v>
      </c>
      <c r="L1" s="235">
        <f>COLUMN()</f>
        <v>12</v>
      </c>
      <c r="M1" s="235">
        <f>COLUMN()</f>
        <v>13</v>
      </c>
      <c r="N1" s="235">
        <f>COLUMN()</f>
        <v>14</v>
      </c>
      <c r="O1" s="235">
        <f>COLUMN()</f>
        <v>15</v>
      </c>
      <c r="P1" s="235">
        <f>COLUMN()</f>
        <v>16</v>
      </c>
      <c r="Q1" s="235">
        <f>COLUMN()</f>
        <v>17</v>
      </c>
      <c r="R1" s="235">
        <f>COLUMN()</f>
        <v>18</v>
      </c>
      <c r="S1" s="235">
        <f>COLUMN()</f>
        <v>19</v>
      </c>
      <c r="T1" s="235">
        <f>COLUMN()</f>
        <v>20</v>
      </c>
      <c r="U1" s="235">
        <f>COLUMN()</f>
        <v>21</v>
      </c>
      <c r="V1" s="235">
        <f>COLUMN()</f>
        <v>22</v>
      </c>
      <c r="W1" s="235">
        <f>COLUMN()</f>
        <v>23</v>
      </c>
      <c r="X1" s="235">
        <f>COLUMN()</f>
        <v>24</v>
      </c>
      <c r="Y1" s="235">
        <f>COLUMN()</f>
        <v>25</v>
      </c>
      <c r="Z1" s="235">
        <f>COLUMN()</f>
        <v>26</v>
      </c>
      <c r="AA1" s="235">
        <f>COLUMN()</f>
        <v>27</v>
      </c>
      <c r="AB1" s="235">
        <f>COLUMN()</f>
        <v>28</v>
      </c>
      <c r="AC1" s="235">
        <f>COLUMN()</f>
        <v>29</v>
      </c>
    </row>
    <row r="2" spans="1:29" ht="72" x14ac:dyDescent="0.25">
      <c r="A2" s="236" t="s">
        <v>0</v>
      </c>
      <c r="B2" s="236" t="s">
        <v>1</v>
      </c>
      <c r="C2" s="236" t="s">
        <v>2</v>
      </c>
      <c r="D2" s="236" t="s">
        <v>347</v>
      </c>
      <c r="E2" s="236" t="s">
        <v>5</v>
      </c>
      <c r="F2" s="236" t="s">
        <v>348</v>
      </c>
      <c r="G2" s="238" t="s">
        <v>25</v>
      </c>
      <c r="H2" s="238" t="s">
        <v>26</v>
      </c>
      <c r="I2" s="238" t="s">
        <v>27</v>
      </c>
      <c r="J2" s="238" t="s">
        <v>28</v>
      </c>
      <c r="K2" s="236" t="s">
        <v>349</v>
      </c>
      <c r="L2" s="241" t="s">
        <v>123</v>
      </c>
      <c r="M2" s="238" t="s">
        <v>127</v>
      </c>
      <c r="N2" s="238" t="s">
        <v>128</v>
      </c>
      <c r="O2" s="238" t="s">
        <v>132</v>
      </c>
      <c r="P2" s="241" t="s">
        <v>94</v>
      </c>
      <c r="Q2" s="238" t="s">
        <v>97</v>
      </c>
      <c r="R2" s="238" t="s">
        <v>109</v>
      </c>
      <c r="S2" s="241" t="s">
        <v>89</v>
      </c>
      <c r="T2" s="238" t="s">
        <v>90</v>
      </c>
      <c r="U2" s="238" t="s">
        <v>70</v>
      </c>
      <c r="V2" s="238" t="s">
        <v>82</v>
      </c>
      <c r="W2" s="238" t="s">
        <v>102</v>
      </c>
      <c r="X2" s="238" t="s">
        <v>141</v>
      </c>
      <c r="Y2" s="238" t="s">
        <v>160</v>
      </c>
      <c r="Z2" s="241" t="s">
        <v>117</v>
      </c>
      <c r="AA2" s="238" t="s">
        <v>182</v>
      </c>
      <c r="AB2" s="238" t="s">
        <v>185</v>
      </c>
      <c r="AC2" s="238" t="s">
        <v>187</v>
      </c>
    </row>
    <row r="3" spans="1:29" x14ac:dyDescent="0.25">
      <c r="A3" s="2" t="s">
        <v>183</v>
      </c>
      <c r="B3" s="3"/>
      <c r="C3" s="3"/>
      <c r="D3" s="2" t="s">
        <v>350</v>
      </c>
      <c r="E3" s="3"/>
      <c r="F3" s="237"/>
      <c r="G3" s="239" t="str">
        <f>IFERROR(IF(VLOOKUP(TableHandbook[[#This Row],[UDC]],TableAvailabilities[],2,FALSE)&gt;0,"Y",""),"")</f>
        <v/>
      </c>
      <c r="H3" s="239" t="str">
        <f>IFERROR(IF(VLOOKUP(TableHandbook[[#This Row],[UDC]],TableAvailabilities[],3,FALSE)&gt;0,"Y",""),"")</f>
        <v/>
      </c>
      <c r="I3" s="239" t="str">
        <f>IFERROR(IF(VLOOKUP(TableHandbook[[#This Row],[UDC]],TableAvailabilities[],4,FALSE)&gt;0,"Y",""),"")</f>
        <v/>
      </c>
      <c r="J3" s="239" t="str">
        <f>IFERROR(IF(VLOOKUP(TableHandbook[[#This Row],[UDC]],TableAvailabilities[],5,FALSE)&gt;0,"Y",""),"")</f>
        <v/>
      </c>
      <c r="K3" s="2"/>
      <c r="L3" s="242" t="str">
        <f>IFERROR(VLOOKUP(TableHandbook[[#This Row],[UDC]],TableOMTEACH1[],7,FALSE),"")</f>
        <v/>
      </c>
      <c r="M3" s="240" t="str">
        <f>IFERROR(VLOOKUP(TableHandbook[[#This Row],[UDC]],TableOUMPTCHEC[],7,FALSE),"")</f>
        <v/>
      </c>
      <c r="N3" s="240" t="str">
        <f>IFERROR(VLOOKUP(TableHandbook[[#This Row],[UDC]],TableOUMPTCHPE[],7,FALSE),"")</f>
        <v/>
      </c>
      <c r="O3" s="240" t="str">
        <f>IFERROR(VLOOKUP(TableHandbook[[#This Row],[UDC]],TableOUMPTCHSE[],7,FALSE),"")</f>
        <v/>
      </c>
      <c r="P3" s="242" t="str">
        <f>IFERROR(VLOOKUP(TableHandbook[[#This Row],[UDC]],TableOCTESOL1[],7,FALSE),"")</f>
        <v/>
      </c>
      <c r="Q3" s="240" t="str">
        <f>IFERROR(VLOOKUP(TableHandbook[[#This Row],[UDC]],TableOCTESOL[],7,FALSE),"")</f>
        <v/>
      </c>
      <c r="R3" s="240" t="str">
        <f>IFERROR(VLOOKUP(TableHandbook[[#This Row],[UDC]],TableOMAPLING[],7,FALSE),"")</f>
        <v/>
      </c>
      <c r="S3" s="242" t="str">
        <f>IFERROR(VLOOKUP(TableHandbook[[#This Row],[UDC]],TableOCEDHE1[],7,FALSE),"")</f>
        <v/>
      </c>
      <c r="T3" s="240" t="str">
        <f>IFERROR(VLOOKUP(TableHandbook[[#This Row],[UDC]],TableOCEDHE[],7,FALSE),"")</f>
        <v/>
      </c>
      <c r="U3" s="240" t="str">
        <f>IFERROR(VLOOKUP(TableHandbook[[#This Row],[UDC]],TableOCEDUCS1[],7,FALSE),"")</f>
        <v/>
      </c>
      <c r="V3" s="240" t="str">
        <f>IFERROR(VLOOKUP(TableHandbook[[#This Row],[UDC]],TableOCEDUC[],7,FALSE),"")</f>
        <v/>
      </c>
      <c r="W3" s="240" t="str">
        <f>IFERROR(VLOOKUP(TableHandbook[[#This Row],[UDC]],TableOGEDUC[],7,FALSE),"")</f>
        <v/>
      </c>
      <c r="X3" s="240" t="str">
        <f>IFERROR(VLOOKUP(TableHandbook[[#This Row],[UDC]],TableOUMPEDUPR[],7,FALSE),"")</f>
        <v/>
      </c>
      <c r="Y3" s="240" t="str">
        <f>IFERROR(VLOOKUP(TableHandbook[[#This Row],[UDC]],TableOUMPEDUSC[],7,FALSE),"")</f>
        <v/>
      </c>
      <c r="Z3" s="242" t="str">
        <f>IFERROR(VLOOKUP(TableHandbook[[#This Row],[UDC]],TableOMEDUC[],7,FALSE),"")</f>
        <v/>
      </c>
      <c r="AA3" s="240" t="str">
        <f>IFERROR(VLOOKUP(TableHandbook[[#This Row],[UDC]],TableOSEPCULIN[],7,FALSE),"")</f>
        <v/>
      </c>
      <c r="AB3" s="240" t="str">
        <f>IFERROR(VLOOKUP(TableHandbook[[#This Row],[UDC]],TableOSEPLNTCH[],7,FALSE),"")</f>
        <v/>
      </c>
      <c r="AC3" s="240" t="str">
        <f>IFERROR(VLOOKUP(TableHandbook[[#This Row],[UDC]],TableOSEPSTEME[],7,FALSE),"")</f>
        <v/>
      </c>
    </row>
    <row r="4" spans="1:29" x14ac:dyDescent="0.25">
      <c r="A4" s="2" t="s">
        <v>135</v>
      </c>
      <c r="B4" s="3"/>
      <c r="C4" s="3"/>
      <c r="D4" s="2" t="s">
        <v>351</v>
      </c>
      <c r="E4" s="3"/>
      <c r="F4" s="237"/>
      <c r="G4" s="239" t="str">
        <f>IFERROR(IF(VLOOKUP(TableHandbook[[#This Row],[UDC]],TableAvailabilities[],2,FALSE)&gt;0,"Y",""),"")</f>
        <v/>
      </c>
      <c r="H4" s="239" t="str">
        <f>IFERROR(IF(VLOOKUP(TableHandbook[[#This Row],[UDC]],TableAvailabilities[],3,FALSE)&gt;0,"Y",""),"")</f>
        <v/>
      </c>
      <c r="I4" s="239" t="str">
        <f>IFERROR(IF(VLOOKUP(TableHandbook[[#This Row],[UDC]],TableAvailabilities[],4,FALSE)&gt;0,"Y",""),"")</f>
        <v/>
      </c>
      <c r="J4" s="239" t="str">
        <f>IFERROR(IF(VLOOKUP(TableHandbook[[#This Row],[UDC]],TableAvailabilities[],5,FALSE)&gt;0,"Y",""),"")</f>
        <v/>
      </c>
      <c r="K4" s="2"/>
      <c r="L4" s="242" t="str">
        <f>IFERROR(VLOOKUP(TableHandbook[[#This Row],[UDC]],TableOMTEACH1[],7,FALSE),"")</f>
        <v/>
      </c>
      <c r="M4" s="240" t="str">
        <f>IFERROR(VLOOKUP(TableHandbook[[#This Row],[UDC]],TableOUMPTCHEC[],7,FALSE),"")</f>
        <v/>
      </c>
      <c r="N4" s="240" t="str">
        <f>IFERROR(VLOOKUP(TableHandbook[[#This Row],[UDC]],TableOUMPTCHPE[],7,FALSE),"")</f>
        <v/>
      </c>
      <c r="O4" s="240" t="str">
        <f>IFERROR(VLOOKUP(TableHandbook[[#This Row],[UDC]],TableOUMPTCHSE[],7,FALSE),"")</f>
        <v/>
      </c>
      <c r="P4" s="242" t="str">
        <f>IFERROR(VLOOKUP(TableHandbook[[#This Row],[UDC]],TableOCTESOL1[],7,FALSE),"")</f>
        <v/>
      </c>
      <c r="Q4" s="240" t="str">
        <f>IFERROR(VLOOKUP(TableHandbook[[#This Row],[UDC]],TableOCTESOL[],7,FALSE),"")</f>
        <v/>
      </c>
      <c r="R4" s="240" t="str">
        <f>IFERROR(VLOOKUP(TableHandbook[[#This Row],[UDC]],TableOMAPLING[],7,FALSE),"")</f>
        <v/>
      </c>
      <c r="S4" s="242" t="str">
        <f>IFERROR(VLOOKUP(TableHandbook[[#This Row],[UDC]],TableOCEDHE1[],7,FALSE),"")</f>
        <v/>
      </c>
      <c r="T4" s="240" t="str">
        <f>IFERROR(VLOOKUP(TableHandbook[[#This Row],[UDC]],TableOCEDHE[],7,FALSE),"")</f>
        <v/>
      </c>
      <c r="U4" s="240" t="str">
        <f>IFERROR(VLOOKUP(TableHandbook[[#This Row],[UDC]],TableOCEDUCS1[],7,FALSE),"")</f>
        <v/>
      </c>
      <c r="V4" s="240" t="str">
        <f>IFERROR(VLOOKUP(TableHandbook[[#This Row],[UDC]],TableOCEDUC[],7,FALSE),"")</f>
        <v/>
      </c>
      <c r="W4" s="240" t="str">
        <f>IFERROR(VLOOKUP(TableHandbook[[#This Row],[UDC]],TableOGEDUC[],7,FALSE),"")</f>
        <v/>
      </c>
      <c r="X4" s="240" t="str">
        <f>IFERROR(VLOOKUP(TableHandbook[[#This Row],[UDC]],TableOUMPEDUPR[],7,FALSE),"")</f>
        <v/>
      </c>
      <c r="Y4" s="240" t="str">
        <f>IFERROR(VLOOKUP(TableHandbook[[#This Row],[UDC]],TableOUMPEDUSC[],7,FALSE),"")</f>
        <v/>
      </c>
      <c r="Z4" s="242" t="str">
        <f>IFERROR(VLOOKUP(TableHandbook[[#This Row],[UDC]],TableOMEDUC[],7,FALSE),"")</f>
        <v/>
      </c>
      <c r="AA4" s="240" t="str">
        <f>IFERROR(VLOOKUP(TableHandbook[[#This Row],[UDC]],TableOSEPCULIN[],7,FALSE),"")</f>
        <v/>
      </c>
      <c r="AB4" s="240" t="str">
        <f>IFERROR(VLOOKUP(TableHandbook[[#This Row],[UDC]],TableOSEPLNTCH[],7,FALSE),"")</f>
        <v/>
      </c>
      <c r="AC4" s="240" t="str">
        <f>IFERROR(VLOOKUP(TableHandbook[[#This Row],[UDC]],TableOSEPSTEME[],7,FALSE),"")</f>
        <v/>
      </c>
    </row>
    <row r="5" spans="1:29" x14ac:dyDescent="0.25">
      <c r="A5" s="2" t="s">
        <v>130</v>
      </c>
      <c r="B5" s="3"/>
      <c r="C5" s="3"/>
      <c r="D5" s="2" t="s">
        <v>352</v>
      </c>
      <c r="E5" s="3"/>
      <c r="F5" s="237"/>
      <c r="G5" s="239" t="str">
        <f>IFERROR(IF(VLOOKUP(TableHandbook[[#This Row],[UDC]],TableAvailabilities[],2,FALSE)&gt;0,"Y",""),"")</f>
        <v/>
      </c>
      <c r="H5" s="239" t="str">
        <f>IFERROR(IF(VLOOKUP(TableHandbook[[#This Row],[UDC]],TableAvailabilities[],3,FALSE)&gt;0,"Y",""),"")</f>
        <v/>
      </c>
      <c r="I5" s="239" t="str">
        <f>IFERROR(IF(VLOOKUP(TableHandbook[[#This Row],[UDC]],TableAvailabilities[],4,FALSE)&gt;0,"Y",""),"")</f>
        <v/>
      </c>
      <c r="J5" s="239" t="str">
        <f>IFERROR(IF(VLOOKUP(TableHandbook[[#This Row],[UDC]],TableAvailabilities[],5,FALSE)&gt;0,"Y",""),"")</f>
        <v/>
      </c>
      <c r="K5" s="2"/>
      <c r="L5" s="242" t="str">
        <f>IFERROR(VLOOKUP(TableHandbook[[#This Row],[UDC]],TableOMTEACH1[],7,FALSE),"")</f>
        <v/>
      </c>
      <c r="M5" s="240" t="str">
        <f>IFERROR(VLOOKUP(TableHandbook[[#This Row],[UDC]],TableOUMPTCHEC[],7,FALSE),"")</f>
        <v/>
      </c>
      <c r="N5" s="240" t="str">
        <f>IFERROR(VLOOKUP(TableHandbook[[#This Row],[UDC]],TableOUMPTCHPE[],7,FALSE),"")</f>
        <v/>
      </c>
      <c r="O5" s="240" t="str">
        <f>IFERROR(VLOOKUP(TableHandbook[[#This Row],[UDC]],TableOUMPTCHSE[],7,FALSE),"")</f>
        <v/>
      </c>
      <c r="P5" s="242" t="str">
        <f>IFERROR(VLOOKUP(TableHandbook[[#This Row],[UDC]],TableOCTESOL1[],7,FALSE),"")</f>
        <v/>
      </c>
      <c r="Q5" s="240" t="str">
        <f>IFERROR(VLOOKUP(TableHandbook[[#This Row],[UDC]],TableOCTESOL[],7,FALSE),"")</f>
        <v/>
      </c>
      <c r="R5" s="240" t="str">
        <f>IFERROR(VLOOKUP(TableHandbook[[#This Row],[UDC]],TableOMAPLING[],7,FALSE),"")</f>
        <v/>
      </c>
      <c r="S5" s="242" t="str">
        <f>IFERROR(VLOOKUP(TableHandbook[[#This Row],[UDC]],TableOCEDHE1[],7,FALSE),"")</f>
        <v/>
      </c>
      <c r="T5" s="240" t="str">
        <f>IFERROR(VLOOKUP(TableHandbook[[#This Row],[UDC]],TableOCEDHE[],7,FALSE),"")</f>
        <v/>
      </c>
      <c r="U5" s="240" t="str">
        <f>IFERROR(VLOOKUP(TableHandbook[[#This Row],[UDC]],TableOCEDUCS1[],7,FALSE),"")</f>
        <v/>
      </c>
      <c r="V5" s="240" t="str">
        <f>IFERROR(VLOOKUP(TableHandbook[[#This Row],[UDC]],TableOCEDUC[],7,FALSE),"")</f>
        <v/>
      </c>
      <c r="W5" s="240" t="str">
        <f>IFERROR(VLOOKUP(TableHandbook[[#This Row],[UDC]],TableOGEDUC[],7,FALSE),"")</f>
        <v/>
      </c>
      <c r="X5" s="240" t="str">
        <f>IFERROR(VLOOKUP(TableHandbook[[#This Row],[UDC]],TableOUMPEDUPR[],7,FALSE),"")</f>
        <v/>
      </c>
      <c r="Y5" s="240" t="str">
        <f>IFERROR(VLOOKUP(TableHandbook[[#This Row],[UDC]],TableOUMPEDUSC[],7,FALSE),"")</f>
        <v/>
      </c>
      <c r="Z5" s="242" t="str">
        <f>IFERROR(VLOOKUP(TableHandbook[[#This Row],[UDC]],TableOMEDUC[],7,FALSE),"")</f>
        <v/>
      </c>
      <c r="AA5" s="240" t="str">
        <f>IFERROR(VLOOKUP(TableHandbook[[#This Row],[UDC]],TableOSEPCULIN[],7,FALSE),"")</f>
        <v/>
      </c>
      <c r="AB5" s="240" t="str">
        <f>IFERROR(VLOOKUP(TableHandbook[[#This Row],[UDC]],TableOSEPLNTCH[],7,FALSE),"")</f>
        <v/>
      </c>
      <c r="AC5" s="240" t="str">
        <f>IFERROR(VLOOKUP(TableHandbook[[#This Row],[UDC]],TableOSEPSTEME[],7,FALSE),"")</f>
        <v/>
      </c>
    </row>
    <row r="6" spans="1:29" x14ac:dyDescent="0.25">
      <c r="A6" s="2" t="s">
        <v>228</v>
      </c>
      <c r="B6" s="3"/>
      <c r="C6" s="3"/>
      <c r="D6" s="2" t="s">
        <v>353</v>
      </c>
      <c r="E6" s="3">
        <v>25</v>
      </c>
      <c r="F6" s="237" t="s">
        <v>354</v>
      </c>
      <c r="G6" s="239" t="str">
        <f>IFERROR(IF(VLOOKUP(TableHandbook[[#This Row],[UDC]],TableAvailabilities[],2,FALSE)&gt;0,"Y",""),"")</f>
        <v/>
      </c>
      <c r="H6" s="239" t="str">
        <f>IFERROR(IF(VLOOKUP(TableHandbook[[#This Row],[UDC]],TableAvailabilities[],3,FALSE)&gt;0,"Y",""),"")</f>
        <v/>
      </c>
      <c r="I6" s="239" t="str">
        <f>IFERROR(IF(VLOOKUP(TableHandbook[[#This Row],[UDC]],TableAvailabilities[],4,FALSE)&gt;0,"Y",""),"")</f>
        <v/>
      </c>
      <c r="J6" s="239" t="str">
        <f>IFERROR(IF(VLOOKUP(TableHandbook[[#This Row],[UDC]],TableAvailabilities[],5,FALSE)&gt;0,"Y",""),"")</f>
        <v/>
      </c>
      <c r="K6" s="2"/>
      <c r="L6" s="242" t="str">
        <f>IFERROR(VLOOKUP(TableHandbook[[#This Row],[UDC]],TableOMTEACH1[],7,FALSE),"")</f>
        <v/>
      </c>
      <c r="M6" s="240" t="str">
        <f>IFERROR(VLOOKUP(TableHandbook[[#This Row],[UDC]],TableOUMPTCHEC[],7,FALSE),"")</f>
        <v/>
      </c>
      <c r="N6" s="240" t="str">
        <f>IFERROR(VLOOKUP(TableHandbook[[#This Row],[UDC]],TableOUMPTCHPE[],7,FALSE),"")</f>
        <v/>
      </c>
      <c r="O6" s="240" t="str">
        <f>IFERROR(VLOOKUP(TableHandbook[[#This Row],[UDC]],TableOUMPTCHSE[],7,FALSE),"")</f>
        <v/>
      </c>
      <c r="P6" s="242" t="str">
        <f>IFERROR(VLOOKUP(TableHandbook[[#This Row],[UDC]],TableOCTESOL1[],7,FALSE),"")</f>
        <v>AltCore</v>
      </c>
      <c r="Q6" s="240" t="str">
        <f>IFERROR(VLOOKUP(TableHandbook[[#This Row],[UDC]],TableOCTESOL[],7,FALSE),"")</f>
        <v>AltCore</v>
      </c>
      <c r="R6" s="240" t="str">
        <f>IFERROR(VLOOKUP(TableHandbook[[#This Row],[UDC]],TableOMAPLING[],7,FALSE),"")</f>
        <v/>
      </c>
      <c r="S6" s="242" t="str">
        <f>IFERROR(VLOOKUP(TableHandbook[[#This Row],[UDC]],TableOCEDHE1[],7,FALSE),"")</f>
        <v/>
      </c>
      <c r="T6" s="240" t="str">
        <f>IFERROR(VLOOKUP(TableHandbook[[#This Row],[UDC]],TableOCEDHE[],7,FALSE),"")</f>
        <v/>
      </c>
      <c r="U6" s="240" t="str">
        <f>IFERROR(VLOOKUP(TableHandbook[[#This Row],[UDC]],TableOCEDUCS1[],7,FALSE),"")</f>
        <v/>
      </c>
      <c r="V6" s="240" t="str">
        <f>IFERROR(VLOOKUP(TableHandbook[[#This Row],[UDC]],TableOCEDUC[],7,FALSE),"")</f>
        <v/>
      </c>
      <c r="W6" s="240" t="str">
        <f>IFERROR(VLOOKUP(TableHandbook[[#This Row],[UDC]],TableOGEDUC[],7,FALSE),"")</f>
        <v/>
      </c>
      <c r="X6" s="240" t="str">
        <f>IFERROR(VLOOKUP(TableHandbook[[#This Row],[UDC]],TableOUMPEDUPR[],7,FALSE),"")</f>
        <v/>
      </c>
      <c r="Y6" s="240" t="str">
        <f>IFERROR(VLOOKUP(TableHandbook[[#This Row],[UDC]],TableOUMPEDUSC[],7,FALSE),"")</f>
        <v/>
      </c>
      <c r="Z6" s="242" t="str">
        <f>IFERROR(VLOOKUP(TableHandbook[[#This Row],[UDC]],TableOMEDUC[],7,FALSE),"")</f>
        <v/>
      </c>
      <c r="AA6" s="240" t="str">
        <f>IFERROR(VLOOKUP(TableHandbook[[#This Row],[UDC]],TableOSEPCULIN[],7,FALSE),"")</f>
        <v/>
      </c>
      <c r="AB6" s="240" t="str">
        <f>IFERROR(VLOOKUP(TableHandbook[[#This Row],[UDC]],TableOSEPLNTCH[],7,FALSE),"")</f>
        <v/>
      </c>
      <c r="AC6" s="240" t="str">
        <f>IFERROR(VLOOKUP(TableHandbook[[#This Row],[UDC]],TableOSEPSTEME[],7,FALSE),"")</f>
        <v/>
      </c>
    </row>
    <row r="7" spans="1:29" x14ac:dyDescent="0.25">
      <c r="A7" s="2" t="s">
        <v>118</v>
      </c>
      <c r="B7" s="3">
        <v>1</v>
      </c>
      <c r="C7" s="3" t="s">
        <v>355</v>
      </c>
      <c r="D7" s="2" t="s">
        <v>356</v>
      </c>
      <c r="E7" s="3">
        <v>25</v>
      </c>
      <c r="F7" s="237" t="s">
        <v>357</v>
      </c>
      <c r="G7" s="239" t="str">
        <f>IFERROR(IF(VLOOKUP(TableHandbook[[#This Row],[UDC]],TableAvailabilities[],2,FALSE)&gt;0,"Y",""),"")</f>
        <v/>
      </c>
      <c r="H7" s="239" t="str">
        <f>IFERROR(IF(VLOOKUP(TableHandbook[[#This Row],[UDC]],TableAvailabilities[],3,FALSE)&gt;0,"Y",""),"")</f>
        <v>Y</v>
      </c>
      <c r="I7" s="239" t="str">
        <f>IFERROR(IF(VLOOKUP(TableHandbook[[#This Row],[UDC]],TableAvailabilities[],4,FALSE)&gt;0,"Y",""),"")</f>
        <v/>
      </c>
      <c r="J7" s="239" t="str">
        <f>IFERROR(IF(VLOOKUP(TableHandbook[[#This Row],[UDC]],TableAvailabilities[],5,FALSE)&gt;0,"Y",""),"")</f>
        <v/>
      </c>
      <c r="K7" s="2"/>
      <c r="L7" s="242" t="str">
        <f>IFERROR(VLOOKUP(TableHandbook[[#This Row],[UDC]],TableOMTEACH1[],7,FALSE),"")</f>
        <v/>
      </c>
      <c r="M7" s="240" t="str">
        <f>IFERROR(VLOOKUP(TableHandbook[[#This Row],[UDC]],TableOUMPTCHEC[],7,FALSE),"")</f>
        <v>Core</v>
      </c>
      <c r="N7" s="240" t="str">
        <f>IFERROR(VLOOKUP(TableHandbook[[#This Row],[UDC]],TableOUMPTCHPE[],7,FALSE),"")</f>
        <v/>
      </c>
      <c r="O7" s="240" t="str">
        <f>IFERROR(VLOOKUP(TableHandbook[[#This Row],[UDC]],TableOUMPTCHSE[],7,FALSE),"")</f>
        <v/>
      </c>
      <c r="P7" s="242" t="str">
        <f>IFERROR(VLOOKUP(TableHandbook[[#This Row],[UDC]],TableOCTESOL1[],7,FALSE),"")</f>
        <v/>
      </c>
      <c r="Q7" s="240" t="str">
        <f>IFERROR(VLOOKUP(TableHandbook[[#This Row],[UDC]],TableOCTESOL[],7,FALSE),"")</f>
        <v/>
      </c>
      <c r="R7" s="240" t="str">
        <f>IFERROR(VLOOKUP(TableHandbook[[#This Row],[UDC]],TableOMAPLING[],7,FALSE),"")</f>
        <v/>
      </c>
      <c r="S7" s="242" t="str">
        <f>IFERROR(VLOOKUP(TableHandbook[[#This Row],[UDC]],TableOCEDHE1[],7,FALSE),"")</f>
        <v/>
      </c>
      <c r="T7" s="240" t="str">
        <f>IFERROR(VLOOKUP(TableHandbook[[#This Row],[UDC]],TableOCEDHE[],7,FALSE),"")</f>
        <v/>
      </c>
      <c r="U7" s="240" t="str">
        <f>IFERROR(VLOOKUP(TableHandbook[[#This Row],[UDC]],TableOCEDUCS1[],7,FALSE),"")</f>
        <v/>
      </c>
      <c r="V7" s="240" t="str">
        <f>IFERROR(VLOOKUP(TableHandbook[[#This Row],[UDC]],TableOCEDUC[],7,FALSE),"")</f>
        <v/>
      </c>
      <c r="W7" s="240" t="str">
        <f>IFERROR(VLOOKUP(TableHandbook[[#This Row],[UDC]],TableOGEDUC[],7,FALSE),"")</f>
        <v/>
      </c>
      <c r="X7" s="240" t="str">
        <f>IFERROR(VLOOKUP(TableHandbook[[#This Row],[UDC]],TableOUMPEDUPR[],7,FALSE),"")</f>
        <v/>
      </c>
      <c r="Y7" s="240" t="str">
        <f>IFERROR(VLOOKUP(TableHandbook[[#This Row],[UDC]],TableOUMPEDUSC[],7,FALSE),"")</f>
        <v/>
      </c>
      <c r="Z7" s="242" t="str">
        <f>IFERROR(VLOOKUP(TableHandbook[[#This Row],[UDC]],TableOMEDUC[],7,FALSE),"")</f>
        <v/>
      </c>
      <c r="AA7" s="240" t="str">
        <f>IFERROR(VLOOKUP(TableHandbook[[#This Row],[UDC]],TableOSEPCULIN[],7,FALSE),"")</f>
        <v/>
      </c>
      <c r="AB7" s="240" t="str">
        <f>IFERROR(VLOOKUP(TableHandbook[[#This Row],[UDC]],TableOSEPLNTCH[],7,FALSE),"")</f>
        <v/>
      </c>
      <c r="AC7" s="240" t="str">
        <f>IFERROR(VLOOKUP(TableHandbook[[#This Row],[UDC]],TableOSEPSTEME[],7,FALSE),"")</f>
        <v/>
      </c>
    </row>
    <row r="8" spans="1:29" x14ac:dyDescent="0.25">
      <c r="A8" s="2" t="s">
        <v>91</v>
      </c>
      <c r="B8" s="3">
        <v>1</v>
      </c>
      <c r="C8" s="3" t="s">
        <v>358</v>
      </c>
      <c r="D8" s="2" t="s">
        <v>359</v>
      </c>
      <c r="E8" s="3">
        <v>25</v>
      </c>
      <c r="F8" s="275" t="s">
        <v>360</v>
      </c>
      <c r="G8" s="239" t="str">
        <f>IFERROR(IF(VLOOKUP(TableHandbook[[#This Row],[UDC]],TableAvailabilities[],2,FALSE)&gt;0,"Y",""),"")</f>
        <v/>
      </c>
      <c r="H8" s="239" t="str">
        <f>IFERROR(IF(VLOOKUP(TableHandbook[[#This Row],[UDC]],TableAvailabilities[],3,FALSE)&gt;0,"Y",""),"")</f>
        <v>Y</v>
      </c>
      <c r="I8" s="239" t="str">
        <f>IFERROR(IF(VLOOKUP(TableHandbook[[#This Row],[UDC]],TableAvailabilities[],4,FALSE)&gt;0,"Y",""),"")</f>
        <v/>
      </c>
      <c r="J8" s="239" t="str">
        <f>IFERROR(IF(VLOOKUP(TableHandbook[[#This Row],[UDC]],TableAvailabilities[],5,FALSE)&gt;0,"Y",""),"")</f>
        <v/>
      </c>
      <c r="K8" s="2"/>
      <c r="L8" s="242" t="str">
        <f>IFERROR(VLOOKUP(TableHandbook[[#This Row],[UDC]],TableOMTEACH1[],7,FALSE),"")</f>
        <v/>
      </c>
      <c r="M8" s="240" t="str">
        <f>IFERROR(VLOOKUP(TableHandbook[[#This Row],[UDC]],TableOUMPTCHEC[],7,FALSE),"")</f>
        <v>Core</v>
      </c>
      <c r="N8" s="240" t="str">
        <f>IFERROR(VLOOKUP(TableHandbook[[#This Row],[UDC]],TableOUMPTCHPE[],7,FALSE),"")</f>
        <v/>
      </c>
      <c r="O8" s="240" t="str">
        <f>IFERROR(VLOOKUP(TableHandbook[[#This Row],[UDC]],TableOUMPTCHSE[],7,FALSE),"")</f>
        <v/>
      </c>
      <c r="P8" s="242" t="str">
        <f>IFERROR(VLOOKUP(TableHandbook[[#This Row],[UDC]],TableOCTESOL1[],7,FALSE),"")</f>
        <v/>
      </c>
      <c r="Q8" s="240" t="str">
        <f>IFERROR(VLOOKUP(TableHandbook[[#This Row],[UDC]],TableOCTESOL[],7,FALSE),"")</f>
        <v/>
      </c>
      <c r="R8" s="240" t="str">
        <f>IFERROR(VLOOKUP(TableHandbook[[#This Row],[UDC]],TableOMAPLING[],7,FALSE),"")</f>
        <v/>
      </c>
      <c r="S8" s="242" t="str">
        <f>IFERROR(VLOOKUP(TableHandbook[[#This Row],[UDC]],TableOCEDHE1[],7,FALSE),"")</f>
        <v/>
      </c>
      <c r="T8" s="240" t="str">
        <f>IFERROR(VLOOKUP(TableHandbook[[#This Row],[UDC]],TableOCEDHE[],7,FALSE),"")</f>
        <v/>
      </c>
      <c r="U8" s="240" t="str">
        <f>IFERROR(VLOOKUP(TableHandbook[[#This Row],[UDC]],TableOCEDUCS1[],7,FALSE),"")</f>
        <v/>
      </c>
      <c r="V8" s="240" t="str">
        <f>IFERROR(VLOOKUP(TableHandbook[[#This Row],[UDC]],TableOCEDUC[],7,FALSE),"")</f>
        <v/>
      </c>
      <c r="W8" s="240" t="str">
        <f>IFERROR(VLOOKUP(TableHandbook[[#This Row],[UDC]],TableOGEDUC[],7,FALSE),"")</f>
        <v/>
      </c>
      <c r="X8" s="240" t="str">
        <f>IFERROR(VLOOKUP(TableHandbook[[#This Row],[UDC]],TableOUMPEDUPR[],7,FALSE),"")</f>
        <v/>
      </c>
      <c r="Y8" s="240" t="str">
        <f>IFERROR(VLOOKUP(TableHandbook[[#This Row],[UDC]],TableOUMPEDUSC[],7,FALSE),"")</f>
        <v/>
      </c>
      <c r="Z8" s="242" t="str">
        <f>IFERROR(VLOOKUP(TableHandbook[[#This Row],[UDC]],TableOMEDUC[],7,FALSE),"")</f>
        <v/>
      </c>
      <c r="AA8" s="240" t="str">
        <f>IFERROR(VLOOKUP(TableHandbook[[#This Row],[UDC]],TableOSEPCULIN[],7,FALSE),"")</f>
        <v/>
      </c>
      <c r="AB8" s="240" t="str">
        <f>IFERROR(VLOOKUP(TableHandbook[[#This Row],[UDC]],TableOSEPLNTCH[],7,FALSE),"")</f>
        <v/>
      </c>
      <c r="AC8" s="240" t="str">
        <f>IFERROR(VLOOKUP(TableHandbook[[#This Row],[UDC]],TableOSEPSTEME[],7,FALSE),"")</f>
        <v/>
      </c>
    </row>
    <row r="9" spans="1:29" x14ac:dyDescent="0.25">
      <c r="A9" s="2" t="s">
        <v>99</v>
      </c>
      <c r="B9" s="3">
        <v>2</v>
      </c>
      <c r="C9" s="3" t="s">
        <v>361</v>
      </c>
      <c r="D9" s="2" t="s">
        <v>362</v>
      </c>
      <c r="E9" s="3">
        <v>25</v>
      </c>
      <c r="F9" s="275" t="s">
        <v>363</v>
      </c>
      <c r="G9" s="239" t="str">
        <f>IFERROR(IF(VLOOKUP(TableHandbook[[#This Row],[UDC]],TableAvailabilities[],2,FALSE)&gt;0,"Y",""),"")</f>
        <v/>
      </c>
      <c r="H9" s="239" t="str">
        <f>IFERROR(IF(VLOOKUP(TableHandbook[[#This Row],[UDC]],TableAvailabilities[],3,FALSE)&gt;0,"Y",""),"")</f>
        <v/>
      </c>
      <c r="I9" s="239" t="str">
        <f>IFERROR(IF(VLOOKUP(TableHandbook[[#This Row],[UDC]],TableAvailabilities[],4,FALSE)&gt;0,"Y",""),"")</f>
        <v>Y</v>
      </c>
      <c r="J9" s="239" t="str">
        <f>IFERROR(IF(VLOOKUP(TableHandbook[[#This Row],[UDC]],TableAvailabilities[],5,FALSE)&gt;0,"Y",""),"")</f>
        <v/>
      </c>
      <c r="K9" s="276" t="s">
        <v>364</v>
      </c>
      <c r="L9" s="242" t="str">
        <f>IFERROR(VLOOKUP(TableHandbook[[#This Row],[UDC]],TableOMTEACH1[],7,FALSE),"")</f>
        <v/>
      </c>
      <c r="M9" s="240" t="str">
        <f>IFERROR(VLOOKUP(TableHandbook[[#This Row],[UDC]],TableOUMPTCHEC[],7,FALSE),"")</f>
        <v>Core</v>
      </c>
      <c r="N9" s="240" t="str">
        <f>IFERROR(VLOOKUP(TableHandbook[[#This Row],[UDC]],TableOUMPTCHPE[],7,FALSE),"")</f>
        <v/>
      </c>
      <c r="O9" s="240" t="str">
        <f>IFERROR(VLOOKUP(TableHandbook[[#This Row],[UDC]],TableOUMPTCHSE[],7,FALSE),"")</f>
        <v/>
      </c>
      <c r="P9" s="242" t="str">
        <f>IFERROR(VLOOKUP(TableHandbook[[#This Row],[UDC]],TableOCTESOL1[],7,FALSE),"")</f>
        <v/>
      </c>
      <c r="Q9" s="240" t="str">
        <f>IFERROR(VLOOKUP(TableHandbook[[#This Row],[UDC]],TableOCTESOL[],7,FALSE),"")</f>
        <v/>
      </c>
      <c r="R9" s="240" t="str">
        <f>IFERROR(VLOOKUP(TableHandbook[[#This Row],[UDC]],TableOMAPLING[],7,FALSE),"")</f>
        <v/>
      </c>
      <c r="S9" s="242" t="str">
        <f>IFERROR(VLOOKUP(TableHandbook[[#This Row],[UDC]],TableOCEDHE1[],7,FALSE),"")</f>
        <v/>
      </c>
      <c r="T9" s="240" t="str">
        <f>IFERROR(VLOOKUP(TableHandbook[[#This Row],[UDC]],TableOCEDHE[],7,FALSE),"")</f>
        <v/>
      </c>
      <c r="U9" s="240" t="str">
        <f>IFERROR(VLOOKUP(TableHandbook[[#This Row],[UDC]],TableOCEDUCS1[],7,FALSE),"")</f>
        <v/>
      </c>
      <c r="V9" s="240" t="str">
        <f>IFERROR(VLOOKUP(TableHandbook[[#This Row],[UDC]],TableOCEDUC[],7,FALSE),"")</f>
        <v/>
      </c>
      <c r="W9" s="240" t="str">
        <f>IFERROR(VLOOKUP(TableHandbook[[#This Row],[UDC]],TableOGEDUC[],7,FALSE),"")</f>
        <v/>
      </c>
      <c r="X9" s="240" t="str">
        <f>IFERROR(VLOOKUP(TableHandbook[[#This Row],[UDC]],TableOUMPEDUPR[],7,FALSE),"")</f>
        <v/>
      </c>
      <c r="Y9" s="240" t="str">
        <f>IFERROR(VLOOKUP(TableHandbook[[#This Row],[UDC]],TableOUMPEDUSC[],7,FALSE),"")</f>
        <v/>
      </c>
      <c r="Z9" s="242" t="str">
        <f>IFERROR(VLOOKUP(TableHandbook[[#This Row],[UDC]],TableOMEDUC[],7,FALSE),"")</f>
        <v/>
      </c>
      <c r="AA9" s="240" t="str">
        <f>IFERROR(VLOOKUP(TableHandbook[[#This Row],[UDC]],TableOSEPCULIN[],7,FALSE),"")</f>
        <v/>
      </c>
      <c r="AB9" s="240" t="str">
        <f>IFERROR(VLOOKUP(TableHandbook[[#This Row],[UDC]],TableOSEPLNTCH[],7,FALSE),"")</f>
        <v/>
      </c>
      <c r="AC9" s="240" t="str">
        <f>IFERROR(VLOOKUP(TableHandbook[[#This Row],[UDC]],TableOSEPSTEME[],7,FALSE),"")</f>
        <v/>
      </c>
    </row>
    <row r="10" spans="1:29" x14ac:dyDescent="0.25">
      <c r="A10" s="2" t="s">
        <v>84</v>
      </c>
      <c r="B10" s="3">
        <v>1</v>
      </c>
      <c r="C10" s="3" t="s">
        <v>365</v>
      </c>
      <c r="D10" s="2" t="s">
        <v>366</v>
      </c>
      <c r="E10" s="3">
        <v>25</v>
      </c>
      <c r="F10" s="237" t="s">
        <v>357</v>
      </c>
      <c r="G10" s="239" t="str">
        <f>IFERROR(IF(VLOOKUP(TableHandbook[[#This Row],[UDC]],TableAvailabilities[],2,FALSE)&gt;0,"Y",""),"")</f>
        <v/>
      </c>
      <c r="H10" s="239" t="str">
        <f>IFERROR(IF(VLOOKUP(TableHandbook[[#This Row],[UDC]],TableAvailabilities[],3,FALSE)&gt;0,"Y",""),"")</f>
        <v/>
      </c>
      <c r="I10" s="239" t="str">
        <f>IFERROR(IF(VLOOKUP(TableHandbook[[#This Row],[UDC]],TableAvailabilities[],4,FALSE)&gt;0,"Y",""),"")</f>
        <v>Y</v>
      </c>
      <c r="J10" s="239" t="str">
        <f>IFERROR(IF(VLOOKUP(TableHandbook[[#This Row],[UDC]],TableAvailabilities[],5,FALSE)&gt;0,"Y",""),"")</f>
        <v/>
      </c>
      <c r="K10" s="2"/>
      <c r="L10" s="242" t="str">
        <f>IFERROR(VLOOKUP(TableHandbook[[#This Row],[UDC]],TableOMTEACH1[],7,FALSE),"")</f>
        <v/>
      </c>
      <c r="M10" s="240" t="str">
        <f>IFERROR(VLOOKUP(TableHandbook[[#This Row],[UDC]],TableOUMPTCHEC[],7,FALSE),"")</f>
        <v>Core</v>
      </c>
      <c r="N10" s="240" t="str">
        <f>IFERROR(VLOOKUP(TableHandbook[[#This Row],[UDC]],TableOUMPTCHPE[],7,FALSE),"")</f>
        <v/>
      </c>
      <c r="O10" s="240" t="str">
        <f>IFERROR(VLOOKUP(TableHandbook[[#This Row],[UDC]],TableOUMPTCHSE[],7,FALSE),"")</f>
        <v/>
      </c>
      <c r="P10" s="242" t="str">
        <f>IFERROR(VLOOKUP(TableHandbook[[#This Row],[UDC]],TableOCTESOL1[],7,FALSE),"")</f>
        <v/>
      </c>
      <c r="Q10" s="240" t="str">
        <f>IFERROR(VLOOKUP(TableHandbook[[#This Row],[UDC]],TableOCTESOL[],7,FALSE),"")</f>
        <v/>
      </c>
      <c r="R10" s="240" t="str">
        <f>IFERROR(VLOOKUP(TableHandbook[[#This Row],[UDC]],TableOMAPLING[],7,FALSE),"")</f>
        <v/>
      </c>
      <c r="S10" s="242" t="str">
        <f>IFERROR(VLOOKUP(TableHandbook[[#This Row],[UDC]],TableOCEDHE1[],7,FALSE),"")</f>
        <v/>
      </c>
      <c r="T10" s="240" t="str">
        <f>IFERROR(VLOOKUP(TableHandbook[[#This Row],[UDC]],TableOCEDHE[],7,FALSE),"")</f>
        <v/>
      </c>
      <c r="U10" s="240" t="str">
        <f>IFERROR(VLOOKUP(TableHandbook[[#This Row],[UDC]],TableOCEDUCS1[],7,FALSE),"")</f>
        <v>Option</v>
      </c>
      <c r="V10" s="240" t="str">
        <f>IFERROR(VLOOKUP(TableHandbook[[#This Row],[UDC]],TableOCEDUC[],7,FALSE),"")</f>
        <v>Option</v>
      </c>
      <c r="W10" s="240" t="str">
        <f>IFERROR(VLOOKUP(TableHandbook[[#This Row],[UDC]],TableOGEDUC[],7,FALSE),"")</f>
        <v/>
      </c>
      <c r="X10" s="240" t="str">
        <f>IFERROR(VLOOKUP(TableHandbook[[#This Row],[UDC]],TableOUMPEDUPR[],7,FALSE),"")</f>
        <v/>
      </c>
      <c r="Y10" s="240" t="str">
        <f>IFERROR(VLOOKUP(TableHandbook[[#This Row],[UDC]],TableOUMPEDUSC[],7,FALSE),"")</f>
        <v/>
      </c>
      <c r="Z10" s="242" t="str">
        <f>IFERROR(VLOOKUP(TableHandbook[[#This Row],[UDC]],TableOMEDUC[],7,FALSE),"")</f>
        <v/>
      </c>
      <c r="AA10" s="240" t="str">
        <f>IFERROR(VLOOKUP(TableHandbook[[#This Row],[UDC]],TableOSEPCULIN[],7,FALSE),"")</f>
        <v/>
      </c>
      <c r="AB10" s="240" t="str">
        <f>IFERROR(VLOOKUP(TableHandbook[[#This Row],[UDC]],TableOSEPLNTCH[],7,FALSE),"")</f>
        <v/>
      </c>
      <c r="AC10" s="240" t="str">
        <f>IFERROR(VLOOKUP(TableHandbook[[#This Row],[UDC]],TableOSEPSTEME[],7,FALSE),"")</f>
        <v/>
      </c>
    </row>
    <row r="11" spans="1:29" x14ac:dyDescent="0.25">
      <c r="A11" s="2" t="s">
        <v>77</v>
      </c>
      <c r="B11" s="3">
        <v>1</v>
      </c>
      <c r="C11" s="3" t="s">
        <v>367</v>
      </c>
      <c r="D11" s="2" t="s">
        <v>368</v>
      </c>
      <c r="E11" s="3">
        <v>25</v>
      </c>
      <c r="F11" s="237" t="s">
        <v>357</v>
      </c>
      <c r="G11" s="239" t="str">
        <f>IFERROR(IF(VLOOKUP(TableHandbook[[#This Row],[UDC]],TableAvailabilities[],2,FALSE)&gt;0,"Y",""),"")</f>
        <v>Y</v>
      </c>
      <c r="H11" s="239" t="str">
        <f>IFERROR(IF(VLOOKUP(TableHandbook[[#This Row],[UDC]],TableAvailabilities[],3,FALSE)&gt;0,"Y",""),"")</f>
        <v>Y</v>
      </c>
      <c r="I11" s="239" t="str">
        <f>IFERROR(IF(VLOOKUP(TableHandbook[[#This Row],[UDC]],TableAvailabilities[],4,FALSE)&gt;0,"Y",""),"")</f>
        <v/>
      </c>
      <c r="J11" s="239" t="str">
        <f>IFERROR(IF(VLOOKUP(TableHandbook[[#This Row],[UDC]],TableAvailabilities[],5,FALSE)&gt;0,"Y",""),"")</f>
        <v/>
      </c>
      <c r="K11" s="2"/>
      <c r="L11" s="242" t="str">
        <f>IFERROR(VLOOKUP(TableHandbook[[#This Row],[UDC]],TableOMTEACH1[],7,FALSE),"")</f>
        <v/>
      </c>
      <c r="M11" s="240" t="str">
        <f>IFERROR(VLOOKUP(TableHandbook[[#This Row],[UDC]],TableOUMPTCHEC[],7,FALSE),"")</f>
        <v>Core</v>
      </c>
      <c r="N11" s="240" t="str">
        <f>IFERROR(VLOOKUP(TableHandbook[[#This Row],[UDC]],TableOUMPTCHPE[],7,FALSE),"")</f>
        <v/>
      </c>
      <c r="O11" s="240" t="str">
        <f>IFERROR(VLOOKUP(TableHandbook[[#This Row],[UDC]],TableOUMPTCHSE[],7,FALSE),"")</f>
        <v/>
      </c>
      <c r="P11" s="242" t="str">
        <f>IFERROR(VLOOKUP(TableHandbook[[#This Row],[UDC]],TableOCTESOL1[],7,FALSE),"")</f>
        <v/>
      </c>
      <c r="Q11" s="240" t="str">
        <f>IFERROR(VLOOKUP(TableHandbook[[#This Row],[UDC]],TableOCTESOL[],7,FALSE),"")</f>
        <v/>
      </c>
      <c r="R11" s="240" t="str">
        <f>IFERROR(VLOOKUP(TableHandbook[[#This Row],[UDC]],TableOMAPLING[],7,FALSE),"")</f>
        <v/>
      </c>
      <c r="S11" s="242" t="str">
        <f>IFERROR(VLOOKUP(TableHandbook[[#This Row],[UDC]],TableOCEDHE1[],7,FALSE),"")</f>
        <v/>
      </c>
      <c r="T11" s="240" t="str">
        <f>IFERROR(VLOOKUP(TableHandbook[[#This Row],[UDC]],TableOCEDHE[],7,FALSE),"")</f>
        <v/>
      </c>
      <c r="U11" s="240" t="str">
        <f>IFERROR(VLOOKUP(TableHandbook[[#This Row],[UDC]],TableOCEDUCS1[],7,FALSE),"")</f>
        <v/>
      </c>
      <c r="V11" s="240" t="str">
        <f>IFERROR(VLOOKUP(TableHandbook[[#This Row],[UDC]],TableOCEDUC[],7,FALSE),"")</f>
        <v/>
      </c>
      <c r="W11" s="240" t="str">
        <f>IFERROR(VLOOKUP(TableHandbook[[#This Row],[UDC]],TableOGEDUC[],7,FALSE),"")</f>
        <v/>
      </c>
      <c r="X11" s="240" t="str">
        <f>IFERROR(VLOOKUP(TableHandbook[[#This Row],[UDC]],TableOUMPEDUPR[],7,FALSE),"")</f>
        <v/>
      </c>
      <c r="Y11" s="240" t="str">
        <f>IFERROR(VLOOKUP(TableHandbook[[#This Row],[UDC]],TableOUMPEDUSC[],7,FALSE),"")</f>
        <v/>
      </c>
      <c r="Z11" s="242" t="str">
        <f>IFERROR(VLOOKUP(TableHandbook[[#This Row],[UDC]],TableOMEDUC[],7,FALSE),"")</f>
        <v/>
      </c>
      <c r="AA11" s="240" t="str">
        <f>IFERROR(VLOOKUP(TableHandbook[[#This Row],[UDC]],TableOSEPCULIN[],7,FALSE),"")</f>
        <v/>
      </c>
      <c r="AB11" s="240" t="str">
        <f>IFERROR(VLOOKUP(TableHandbook[[#This Row],[UDC]],TableOSEPLNTCH[],7,FALSE),"")</f>
        <v/>
      </c>
      <c r="AC11" s="240" t="str">
        <f>IFERROR(VLOOKUP(TableHandbook[[#This Row],[UDC]],TableOSEPSTEME[],7,FALSE),"")</f>
        <v/>
      </c>
    </row>
    <row r="12" spans="1:29" x14ac:dyDescent="0.25">
      <c r="A12" s="2" t="s">
        <v>107</v>
      </c>
      <c r="B12" s="3">
        <v>1</v>
      </c>
      <c r="C12" s="3" t="s">
        <v>369</v>
      </c>
      <c r="D12" s="2" t="s">
        <v>370</v>
      </c>
      <c r="E12" s="3">
        <v>25</v>
      </c>
      <c r="F12" s="237" t="s">
        <v>357</v>
      </c>
      <c r="G12" s="239" t="str">
        <f>IFERROR(IF(VLOOKUP(TableHandbook[[#This Row],[UDC]],TableAvailabilities[],2,FALSE)&gt;0,"Y",""),"")</f>
        <v>Y</v>
      </c>
      <c r="H12" s="239" t="str">
        <f>IFERROR(IF(VLOOKUP(TableHandbook[[#This Row],[UDC]],TableAvailabilities[],3,FALSE)&gt;0,"Y",""),"")</f>
        <v/>
      </c>
      <c r="I12" s="239" t="str">
        <f>IFERROR(IF(VLOOKUP(TableHandbook[[#This Row],[UDC]],TableAvailabilities[],4,FALSE)&gt;0,"Y",""),"")</f>
        <v/>
      </c>
      <c r="J12" s="239" t="str">
        <f>IFERROR(IF(VLOOKUP(TableHandbook[[#This Row],[UDC]],TableAvailabilities[],5,FALSE)&gt;0,"Y",""),"")</f>
        <v/>
      </c>
      <c r="K12" s="2"/>
      <c r="L12" s="242" t="str">
        <f>IFERROR(VLOOKUP(TableHandbook[[#This Row],[UDC]],TableOMTEACH1[],7,FALSE),"")</f>
        <v/>
      </c>
      <c r="M12" s="240" t="str">
        <f>IFERROR(VLOOKUP(TableHandbook[[#This Row],[UDC]],TableOUMPTCHEC[],7,FALSE),"")</f>
        <v>Core</v>
      </c>
      <c r="N12" s="240" t="str">
        <f>IFERROR(VLOOKUP(TableHandbook[[#This Row],[UDC]],TableOUMPTCHPE[],7,FALSE),"")</f>
        <v/>
      </c>
      <c r="O12" s="240" t="str">
        <f>IFERROR(VLOOKUP(TableHandbook[[#This Row],[UDC]],TableOUMPTCHSE[],7,FALSE),"")</f>
        <v/>
      </c>
      <c r="P12" s="242" t="str">
        <f>IFERROR(VLOOKUP(TableHandbook[[#This Row],[UDC]],TableOCTESOL1[],7,FALSE),"")</f>
        <v/>
      </c>
      <c r="Q12" s="240" t="str">
        <f>IFERROR(VLOOKUP(TableHandbook[[#This Row],[UDC]],TableOCTESOL[],7,FALSE),"")</f>
        <v/>
      </c>
      <c r="R12" s="240" t="str">
        <f>IFERROR(VLOOKUP(TableHandbook[[#This Row],[UDC]],TableOMAPLING[],7,FALSE),"")</f>
        <v/>
      </c>
      <c r="S12" s="242" t="str">
        <f>IFERROR(VLOOKUP(TableHandbook[[#This Row],[UDC]],TableOCEDHE1[],7,FALSE),"")</f>
        <v/>
      </c>
      <c r="T12" s="240" t="str">
        <f>IFERROR(VLOOKUP(TableHandbook[[#This Row],[UDC]],TableOCEDHE[],7,FALSE),"")</f>
        <v/>
      </c>
      <c r="U12" s="240" t="str">
        <f>IFERROR(VLOOKUP(TableHandbook[[#This Row],[UDC]],TableOCEDUCS1[],7,FALSE),"")</f>
        <v>Option</v>
      </c>
      <c r="V12" s="240" t="str">
        <f>IFERROR(VLOOKUP(TableHandbook[[#This Row],[UDC]],TableOCEDUC[],7,FALSE),"")</f>
        <v>Option</v>
      </c>
      <c r="W12" s="240" t="str">
        <f>IFERROR(VLOOKUP(TableHandbook[[#This Row],[UDC]],TableOGEDUC[],7,FALSE),"")</f>
        <v/>
      </c>
      <c r="X12" s="240" t="str">
        <f>IFERROR(VLOOKUP(TableHandbook[[#This Row],[UDC]],TableOUMPEDUPR[],7,FALSE),"")</f>
        <v/>
      </c>
      <c r="Y12" s="240" t="str">
        <f>IFERROR(VLOOKUP(TableHandbook[[#This Row],[UDC]],TableOUMPEDUSC[],7,FALSE),"")</f>
        <v/>
      </c>
      <c r="Z12" s="242" t="str">
        <f>IFERROR(VLOOKUP(TableHandbook[[#This Row],[UDC]],TableOMEDUC[],7,FALSE),"")</f>
        <v/>
      </c>
      <c r="AA12" s="240" t="str">
        <f>IFERROR(VLOOKUP(TableHandbook[[#This Row],[UDC]],TableOSEPCULIN[],7,FALSE),"")</f>
        <v/>
      </c>
      <c r="AB12" s="240" t="str">
        <f>IFERROR(VLOOKUP(TableHandbook[[#This Row],[UDC]],TableOSEPLNTCH[],7,FALSE),"")</f>
        <v/>
      </c>
      <c r="AC12" s="240" t="str">
        <f>IFERROR(VLOOKUP(TableHandbook[[#This Row],[UDC]],TableOSEPSTEME[],7,FALSE),"")</f>
        <v/>
      </c>
    </row>
    <row r="13" spans="1:29" x14ac:dyDescent="0.25">
      <c r="A13" s="2" t="s">
        <v>83</v>
      </c>
      <c r="B13" s="3">
        <v>1</v>
      </c>
      <c r="C13" s="3" t="s">
        <v>371</v>
      </c>
      <c r="D13" s="2" t="s">
        <v>372</v>
      </c>
      <c r="E13" s="3">
        <v>25</v>
      </c>
      <c r="F13" s="237" t="s">
        <v>357</v>
      </c>
      <c r="G13" s="239" t="str">
        <f>IFERROR(IF(VLOOKUP(TableHandbook[[#This Row],[UDC]],TableAvailabilities[],2,FALSE)&gt;0,"Y",""),"")</f>
        <v/>
      </c>
      <c r="H13" s="239" t="str">
        <f>IFERROR(IF(VLOOKUP(TableHandbook[[#This Row],[UDC]],TableAvailabilities[],3,FALSE)&gt;0,"Y",""),"")</f>
        <v>Y</v>
      </c>
      <c r="I13" s="239" t="str">
        <f>IFERROR(IF(VLOOKUP(TableHandbook[[#This Row],[UDC]],TableAvailabilities[],4,FALSE)&gt;0,"Y",""),"")</f>
        <v/>
      </c>
      <c r="J13" s="239" t="str">
        <f>IFERROR(IF(VLOOKUP(TableHandbook[[#This Row],[UDC]],TableAvailabilities[],5,FALSE)&gt;0,"Y",""),"")</f>
        <v/>
      </c>
      <c r="K13" s="2"/>
      <c r="L13" s="242" t="str">
        <f>IFERROR(VLOOKUP(TableHandbook[[#This Row],[UDC]],TableOMTEACH1[],7,FALSE),"")</f>
        <v/>
      </c>
      <c r="M13" s="240" t="str">
        <f>IFERROR(VLOOKUP(TableHandbook[[#This Row],[UDC]],TableOUMPTCHEC[],7,FALSE),"")</f>
        <v>Core</v>
      </c>
      <c r="N13" s="240" t="str">
        <f>IFERROR(VLOOKUP(TableHandbook[[#This Row],[UDC]],TableOUMPTCHPE[],7,FALSE),"")</f>
        <v/>
      </c>
      <c r="O13" s="240" t="str">
        <f>IFERROR(VLOOKUP(TableHandbook[[#This Row],[UDC]],TableOUMPTCHSE[],7,FALSE),"")</f>
        <v/>
      </c>
      <c r="P13" s="242" t="str">
        <f>IFERROR(VLOOKUP(TableHandbook[[#This Row],[UDC]],TableOCTESOL1[],7,FALSE),"")</f>
        <v/>
      </c>
      <c r="Q13" s="240" t="str">
        <f>IFERROR(VLOOKUP(TableHandbook[[#This Row],[UDC]],TableOCTESOL[],7,FALSE),"")</f>
        <v/>
      </c>
      <c r="R13" s="240" t="str">
        <f>IFERROR(VLOOKUP(TableHandbook[[#This Row],[UDC]],TableOMAPLING[],7,FALSE),"")</f>
        <v/>
      </c>
      <c r="S13" s="242" t="str">
        <f>IFERROR(VLOOKUP(TableHandbook[[#This Row],[UDC]],TableOCEDHE1[],7,FALSE),"")</f>
        <v/>
      </c>
      <c r="T13" s="240" t="str">
        <f>IFERROR(VLOOKUP(TableHandbook[[#This Row],[UDC]],TableOCEDHE[],7,FALSE),"")</f>
        <v/>
      </c>
      <c r="U13" s="240" t="str">
        <f>IFERROR(VLOOKUP(TableHandbook[[#This Row],[UDC]],TableOCEDUCS1[],7,FALSE),"")</f>
        <v>Option</v>
      </c>
      <c r="V13" s="240" t="str">
        <f>IFERROR(VLOOKUP(TableHandbook[[#This Row],[UDC]],TableOCEDUC[],7,FALSE),"")</f>
        <v>Option</v>
      </c>
      <c r="W13" s="240" t="str">
        <f>IFERROR(VLOOKUP(TableHandbook[[#This Row],[UDC]],TableOGEDUC[],7,FALSE),"")</f>
        <v/>
      </c>
      <c r="X13" s="240" t="str">
        <f>IFERROR(VLOOKUP(TableHandbook[[#This Row],[UDC]],TableOUMPEDUPR[],7,FALSE),"")</f>
        <v/>
      </c>
      <c r="Y13" s="240" t="str">
        <f>IFERROR(VLOOKUP(TableHandbook[[#This Row],[UDC]],TableOUMPEDUSC[],7,FALSE),"")</f>
        <v/>
      </c>
      <c r="Z13" s="242" t="str">
        <f>IFERROR(VLOOKUP(TableHandbook[[#This Row],[UDC]],TableOMEDUC[],7,FALSE),"")</f>
        <v/>
      </c>
      <c r="AA13" s="240" t="str">
        <f>IFERROR(VLOOKUP(TableHandbook[[#This Row],[UDC]],TableOSEPCULIN[],7,FALSE),"")</f>
        <v/>
      </c>
      <c r="AB13" s="240" t="str">
        <f>IFERROR(VLOOKUP(TableHandbook[[#This Row],[UDC]],TableOSEPLNTCH[],7,FALSE),"")</f>
        <v/>
      </c>
      <c r="AC13" s="240" t="str">
        <f>IFERROR(VLOOKUP(TableHandbook[[#This Row],[UDC]],TableOSEPSTEME[],7,FALSE),"")</f>
        <v/>
      </c>
    </row>
    <row r="14" spans="1:29" x14ac:dyDescent="0.25">
      <c r="A14" s="2" t="s">
        <v>85</v>
      </c>
      <c r="B14" s="3">
        <v>1</v>
      </c>
      <c r="C14" s="3" t="s">
        <v>373</v>
      </c>
      <c r="D14" s="2" t="s">
        <v>374</v>
      </c>
      <c r="E14" s="3">
        <v>25</v>
      </c>
      <c r="F14" s="237" t="s">
        <v>357</v>
      </c>
      <c r="G14" s="239" t="str">
        <f>IFERROR(IF(VLOOKUP(TableHandbook[[#This Row],[UDC]],TableAvailabilities[],2,FALSE)&gt;0,"Y",""),"")</f>
        <v/>
      </c>
      <c r="H14" s="239" t="str">
        <f>IFERROR(IF(VLOOKUP(TableHandbook[[#This Row],[UDC]],TableAvailabilities[],3,FALSE)&gt;0,"Y",""),"")</f>
        <v/>
      </c>
      <c r="I14" s="239" t="str">
        <f>IFERROR(IF(VLOOKUP(TableHandbook[[#This Row],[UDC]],TableAvailabilities[],4,FALSE)&gt;0,"Y",""),"")</f>
        <v/>
      </c>
      <c r="J14" s="239" t="str">
        <f>IFERROR(IF(VLOOKUP(TableHandbook[[#This Row],[UDC]],TableAvailabilities[],5,FALSE)&gt;0,"Y",""),"")</f>
        <v>Y</v>
      </c>
      <c r="K14" s="2"/>
      <c r="L14" s="242" t="str">
        <f>IFERROR(VLOOKUP(TableHandbook[[#This Row],[UDC]],TableOMTEACH1[],7,FALSE),"")</f>
        <v/>
      </c>
      <c r="M14" s="240" t="str">
        <f>IFERROR(VLOOKUP(TableHandbook[[#This Row],[UDC]],TableOUMPTCHEC[],7,FALSE),"")</f>
        <v>Core</v>
      </c>
      <c r="N14" s="240" t="str">
        <f>IFERROR(VLOOKUP(TableHandbook[[#This Row],[UDC]],TableOUMPTCHPE[],7,FALSE),"")</f>
        <v/>
      </c>
      <c r="O14" s="240" t="str">
        <f>IFERROR(VLOOKUP(TableHandbook[[#This Row],[UDC]],TableOUMPTCHSE[],7,FALSE),"")</f>
        <v/>
      </c>
      <c r="P14" s="242" t="str">
        <f>IFERROR(VLOOKUP(TableHandbook[[#This Row],[UDC]],TableOCTESOL1[],7,FALSE),"")</f>
        <v/>
      </c>
      <c r="Q14" s="240" t="str">
        <f>IFERROR(VLOOKUP(TableHandbook[[#This Row],[UDC]],TableOCTESOL[],7,FALSE),"")</f>
        <v/>
      </c>
      <c r="R14" s="240" t="str">
        <f>IFERROR(VLOOKUP(TableHandbook[[#This Row],[UDC]],TableOMAPLING[],7,FALSE),"")</f>
        <v/>
      </c>
      <c r="S14" s="242" t="str">
        <f>IFERROR(VLOOKUP(TableHandbook[[#This Row],[UDC]],TableOCEDHE1[],7,FALSE),"")</f>
        <v/>
      </c>
      <c r="T14" s="240" t="str">
        <f>IFERROR(VLOOKUP(TableHandbook[[#This Row],[UDC]],TableOCEDHE[],7,FALSE),"")</f>
        <v/>
      </c>
      <c r="U14" s="240" t="str">
        <f>IFERROR(VLOOKUP(TableHandbook[[#This Row],[UDC]],TableOCEDUCS1[],7,FALSE),"")</f>
        <v/>
      </c>
      <c r="V14" s="240" t="str">
        <f>IFERROR(VLOOKUP(TableHandbook[[#This Row],[UDC]],TableOCEDUC[],7,FALSE),"")</f>
        <v/>
      </c>
      <c r="W14" s="240" t="str">
        <f>IFERROR(VLOOKUP(TableHandbook[[#This Row],[UDC]],TableOGEDUC[],7,FALSE),"")</f>
        <v/>
      </c>
      <c r="X14" s="240" t="str">
        <f>IFERROR(VLOOKUP(TableHandbook[[#This Row],[UDC]],TableOUMPEDUPR[],7,FALSE),"")</f>
        <v/>
      </c>
      <c r="Y14" s="240" t="str">
        <f>IFERROR(VLOOKUP(TableHandbook[[#This Row],[UDC]],TableOUMPEDUSC[],7,FALSE),"")</f>
        <v/>
      </c>
      <c r="Z14" s="242" t="str">
        <f>IFERROR(VLOOKUP(TableHandbook[[#This Row],[UDC]],TableOMEDUC[],7,FALSE),"")</f>
        <v/>
      </c>
      <c r="AA14" s="240" t="str">
        <f>IFERROR(VLOOKUP(TableHandbook[[#This Row],[UDC]],TableOSEPCULIN[],7,FALSE),"")</f>
        <v/>
      </c>
      <c r="AB14" s="240" t="str">
        <f>IFERROR(VLOOKUP(TableHandbook[[#This Row],[UDC]],TableOSEPLNTCH[],7,FALSE),"")</f>
        <v/>
      </c>
      <c r="AC14" s="240" t="str">
        <f>IFERROR(VLOOKUP(TableHandbook[[#This Row],[UDC]],TableOSEPSTEME[],7,FALSE),"")</f>
        <v/>
      </c>
    </row>
    <row r="15" spans="1:29" x14ac:dyDescent="0.25">
      <c r="A15" s="2" t="s">
        <v>114</v>
      </c>
      <c r="B15" s="3">
        <v>1</v>
      </c>
      <c r="C15" s="3" t="s">
        <v>375</v>
      </c>
      <c r="D15" s="2" t="s">
        <v>376</v>
      </c>
      <c r="E15" s="3">
        <v>25</v>
      </c>
      <c r="F15" s="237" t="s">
        <v>357</v>
      </c>
      <c r="G15" s="239" t="str">
        <f>IFERROR(IF(VLOOKUP(TableHandbook[[#This Row],[UDC]],TableAvailabilities[],2,FALSE)&gt;0,"Y",""),"")</f>
        <v/>
      </c>
      <c r="H15" s="239" t="str">
        <f>IFERROR(IF(VLOOKUP(TableHandbook[[#This Row],[UDC]],TableAvailabilities[],3,FALSE)&gt;0,"Y",""),"")</f>
        <v/>
      </c>
      <c r="I15" s="239" t="str">
        <f>IFERROR(IF(VLOOKUP(TableHandbook[[#This Row],[UDC]],TableAvailabilities[],4,FALSE)&gt;0,"Y",""),"")</f>
        <v/>
      </c>
      <c r="J15" s="239" t="str">
        <f>IFERROR(IF(VLOOKUP(TableHandbook[[#This Row],[UDC]],TableAvailabilities[],5,FALSE)&gt;0,"Y",""),"")</f>
        <v>Y</v>
      </c>
      <c r="K15" s="2"/>
      <c r="L15" s="242" t="str">
        <f>IFERROR(VLOOKUP(TableHandbook[[#This Row],[UDC]],TableOMTEACH1[],7,FALSE),"")</f>
        <v/>
      </c>
      <c r="M15" s="240" t="str">
        <f>IFERROR(VLOOKUP(TableHandbook[[#This Row],[UDC]],TableOUMPTCHEC[],7,FALSE),"")</f>
        <v>Core</v>
      </c>
      <c r="N15" s="240" t="str">
        <f>IFERROR(VLOOKUP(TableHandbook[[#This Row],[UDC]],TableOUMPTCHPE[],7,FALSE),"")</f>
        <v/>
      </c>
      <c r="O15" s="240" t="str">
        <f>IFERROR(VLOOKUP(TableHandbook[[#This Row],[UDC]],TableOUMPTCHSE[],7,FALSE),"")</f>
        <v/>
      </c>
      <c r="P15" s="242" t="str">
        <f>IFERROR(VLOOKUP(TableHandbook[[#This Row],[UDC]],TableOCTESOL1[],7,FALSE),"")</f>
        <v/>
      </c>
      <c r="Q15" s="240" t="str">
        <f>IFERROR(VLOOKUP(TableHandbook[[#This Row],[UDC]],TableOCTESOL[],7,FALSE),"")</f>
        <v/>
      </c>
      <c r="R15" s="240" t="str">
        <f>IFERROR(VLOOKUP(TableHandbook[[#This Row],[UDC]],TableOMAPLING[],7,FALSE),"")</f>
        <v/>
      </c>
      <c r="S15" s="242" t="str">
        <f>IFERROR(VLOOKUP(TableHandbook[[#This Row],[UDC]],TableOCEDHE1[],7,FALSE),"")</f>
        <v/>
      </c>
      <c r="T15" s="240" t="str">
        <f>IFERROR(VLOOKUP(TableHandbook[[#This Row],[UDC]],TableOCEDHE[],7,FALSE),"")</f>
        <v/>
      </c>
      <c r="U15" s="240" t="str">
        <f>IFERROR(VLOOKUP(TableHandbook[[#This Row],[UDC]],TableOCEDUCS1[],7,FALSE),"")</f>
        <v/>
      </c>
      <c r="V15" s="240" t="str">
        <f>IFERROR(VLOOKUP(TableHandbook[[#This Row],[UDC]],TableOCEDUC[],7,FALSE),"")</f>
        <v/>
      </c>
      <c r="W15" s="240" t="str">
        <f>IFERROR(VLOOKUP(TableHandbook[[#This Row],[UDC]],TableOGEDUC[],7,FALSE),"")</f>
        <v/>
      </c>
      <c r="X15" s="240" t="str">
        <f>IFERROR(VLOOKUP(TableHandbook[[#This Row],[UDC]],TableOUMPEDUPR[],7,FALSE),"")</f>
        <v/>
      </c>
      <c r="Y15" s="240" t="str">
        <f>IFERROR(VLOOKUP(TableHandbook[[#This Row],[UDC]],TableOUMPEDUSC[],7,FALSE),"")</f>
        <v/>
      </c>
      <c r="Z15" s="242" t="str">
        <f>IFERROR(VLOOKUP(TableHandbook[[#This Row],[UDC]],TableOMEDUC[],7,FALSE),"")</f>
        <v/>
      </c>
      <c r="AA15" s="240" t="str">
        <f>IFERROR(VLOOKUP(TableHandbook[[#This Row],[UDC]],TableOSEPCULIN[],7,FALSE),"")</f>
        <v/>
      </c>
      <c r="AB15" s="240" t="str">
        <f>IFERROR(VLOOKUP(TableHandbook[[#This Row],[UDC]],TableOSEPLNTCH[],7,FALSE),"")</f>
        <v/>
      </c>
      <c r="AC15" s="240" t="str">
        <f>IFERROR(VLOOKUP(TableHandbook[[#This Row],[UDC]],TableOSEPSTEME[],7,FALSE),"")</f>
        <v/>
      </c>
    </row>
    <row r="16" spans="1:29" x14ac:dyDescent="0.25">
      <c r="A16" s="2" t="s">
        <v>119</v>
      </c>
      <c r="B16" s="3">
        <v>1</v>
      </c>
      <c r="C16" s="3" t="s">
        <v>377</v>
      </c>
      <c r="D16" s="2" t="s">
        <v>378</v>
      </c>
      <c r="E16" s="3">
        <v>25</v>
      </c>
      <c r="F16" s="237" t="s">
        <v>357</v>
      </c>
      <c r="G16" s="239" t="str">
        <f>IFERROR(IF(VLOOKUP(TableHandbook[[#This Row],[UDC]],TableAvailabilities[],2,FALSE)&gt;0,"Y",""),"")</f>
        <v/>
      </c>
      <c r="H16" s="239" t="str">
        <f>IFERROR(IF(VLOOKUP(TableHandbook[[#This Row],[UDC]],TableAvailabilities[],3,FALSE)&gt;0,"Y",""),"")</f>
        <v/>
      </c>
      <c r="I16" s="239" t="str">
        <f>IFERROR(IF(VLOOKUP(TableHandbook[[#This Row],[UDC]],TableAvailabilities[],4,FALSE)&gt;0,"Y",""),"")</f>
        <v>Y</v>
      </c>
      <c r="J16" s="239" t="str">
        <f>IFERROR(IF(VLOOKUP(TableHandbook[[#This Row],[UDC]],TableAvailabilities[],5,FALSE)&gt;0,"Y",""),"")</f>
        <v/>
      </c>
      <c r="K16" s="2"/>
      <c r="L16" s="242" t="str">
        <f>IFERROR(VLOOKUP(TableHandbook[[#This Row],[UDC]],TableOMTEACH1[],7,FALSE),"")</f>
        <v/>
      </c>
      <c r="M16" s="240" t="str">
        <f>IFERROR(VLOOKUP(TableHandbook[[#This Row],[UDC]],TableOUMPTCHEC[],7,FALSE),"")</f>
        <v>Core</v>
      </c>
      <c r="N16" s="240" t="str">
        <f>IFERROR(VLOOKUP(TableHandbook[[#This Row],[UDC]],TableOUMPTCHPE[],7,FALSE),"")</f>
        <v/>
      </c>
      <c r="O16" s="240" t="str">
        <f>IFERROR(VLOOKUP(TableHandbook[[#This Row],[UDC]],TableOUMPTCHSE[],7,FALSE),"")</f>
        <v/>
      </c>
      <c r="P16" s="242" t="str">
        <f>IFERROR(VLOOKUP(TableHandbook[[#This Row],[UDC]],TableOCTESOL1[],7,FALSE),"")</f>
        <v/>
      </c>
      <c r="Q16" s="240" t="str">
        <f>IFERROR(VLOOKUP(TableHandbook[[#This Row],[UDC]],TableOCTESOL[],7,FALSE),"")</f>
        <v/>
      </c>
      <c r="R16" s="240" t="str">
        <f>IFERROR(VLOOKUP(TableHandbook[[#This Row],[UDC]],TableOMAPLING[],7,FALSE),"")</f>
        <v/>
      </c>
      <c r="S16" s="242" t="str">
        <f>IFERROR(VLOOKUP(TableHandbook[[#This Row],[UDC]],TableOCEDHE1[],7,FALSE),"")</f>
        <v/>
      </c>
      <c r="T16" s="240" t="str">
        <f>IFERROR(VLOOKUP(TableHandbook[[#This Row],[UDC]],TableOCEDHE[],7,FALSE),"")</f>
        <v/>
      </c>
      <c r="U16" s="240" t="str">
        <f>IFERROR(VLOOKUP(TableHandbook[[#This Row],[UDC]],TableOCEDUCS1[],7,FALSE),"")</f>
        <v/>
      </c>
      <c r="V16" s="240" t="str">
        <f>IFERROR(VLOOKUP(TableHandbook[[#This Row],[UDC]],TableOCEDUC[],7,FALSE),"")</f>
        <v/>
      </c>
      <c r="W16" s="240" t="str">
        <f>IFERROR(VLOOKUP(TableHandbook[[#This Row],[UDC]],TableOGEDUC[],7,FALSE),"")</f>
        <v/>
      </c>
      <c r="X16" s="240" t="str">
        <f>IFERROR(VLOOKUP(TableHandbook[[#This Row],[UDC]],TableOUMPEDUPR[],7,FALSE),"")</f>
        <v/>
      </c>
      <c r="Y16" s="240" t="str">
        <f>IFERROR(VLOOKUP(TableHandbook[[#This Row],[UDC]],TableOUMPEDUSC[],7,FALSE),"")</f>
        <v/>
      </c>
      <c r="Z16" s="242" t="str">
        <f>IFERROR(VLOOKUP(TableHandbook[[#This Row],[UDC]],TableOMEDUC[],7,FALSE),"")</f>
        <v/>
      </c>
      <c r="AA16" s="240" t="str">
        <f>IFERROR(VLOOKUP(TableHandbook[[#This Row],[UDC]],TableOSEPCULIN[],7,FALSE),"")</f>
        <v/>
      </c>
      <c r="AB16" s="240" t="str">
        <f>IFERROR(VLOOKUP(TableHandbook[[#This Row],[UDC]],TableOSEPLNTCH[],7,FALSE),"")</f>
        <v/>
      </c>
      <c r="AC16" s="240" t="str">
        <f>IFERROR(VLOOKUP(TableHandbook[[#This Row],[UDC]],TableOSEPSTEME[],7,FALSE),"")</f>
        <v/>
      </c>
    </row>
    <row r="17" spans="1:29" x14ac:dyDescent="0.25">
      <c r="A17" s="2" t="s">
        <v>252</v>
      </c>
      <c r="B17" s="3">
        <v>1</v>
      </c>
      <c r="C17" s="3" t="s">
        <v>379</v>
      </c>
      <c r="D17" s="2" t="s">
        <v>380</v>
      </c>
      <c r="E17" s="3">
        <v>25</v>
      </c>
      <c r="F17" s="237" t="s">
        <v>357</v>
      </c>
      <c r="G17" s="239" t="str">
        <f>IFERROR(IF(VLOOKUP(TableHandbook[[#This Row],[UDC]],TableAvailabilities[],2,FALSE)&gt;0,"Y",""),"")</f>
        <v>Y</v>
      </c>
      <c r="H17" s="239" t="str">
        <f>IFERROR(IF(VLOOKUP(TableHandbook[[#This Row],[UDC]],TableAvailabilities[],3,FALSE)&gt;0,"Y",""),"")</f>
        <v/>
      </c>
      <c r="I17" s="239" t="str">
        <f>IFERROR(IF(VLOOKUP(TableHandbook[[#This Row],[UDC]],TableAvailabilities[],4,FALSE)&gt;0,"Y",""),"")</f>
        <v>Y</v>
      </c>
      <c r="J17" s="239" t="str">
        <f>IFERROR(IF(VLOOKUP(TableHandbook[[#This Row],[UDC]],TableAvailabilities[],5,FALSE)&gt;0,"Y",""),"")</f>
        <v/>
      </c>
      <c r="K17" s="2"/>
      <c r="L17" s="242" t="str">
        <f>IFERROR(VLOOKUP(TableHandbook[[#This Row],[UDC]],TableOMTEACH1[],7,FALSE),"")</f>
        <v/>
      </c>
      <c r="M17" s="240" t="str">
        <f>IFERROR(VLOOKUP(TableHandbook[[#This Row],[UDC]],TableOUMPTCHEC[],7,FALSE),"")</f>
        <v/>
      </c>
      <c r="N17" s="240" t="str">
        <f>IFERROR(VLOOKUP(TableHandbook[[#This Row],[UDC]],TableOUMPTCHPE[],7,FALSE),"")</f>
        <v/>
      </c>
      <c r="O17" s="240" t="str">
        <f>IFERROR(VLOOKUP(TableHandbook[[#This Row],[UDC]],TableOUMPTCHSE[],7,FALSE),"")</f>
        <v/>
      </c>
      <c r="P17" s="242" t="str">
        <f>IFERROR(VLOOKUP(TableHandbook[[#This Row],[UDC]],TableOCTESOL1[],7,FALSE),"")</f>
        <v/>
      </c>
      <c r="Q17" s="240" t="str">
        <f>IFERROR(VLOOKUP(TableHandbook[[#This Row],[UDC]],TableOCTESOL[],7,FALSE),"")</f>
        <v/>
      </c>
      <c r="R17" s="240" t="str">
        <f>IFERROR(VLOOKUP(TableHandbook[[#This Row],[UDC]],TableOMAPLING[],7,FALSE),"")</f>
        <v/>
      </c>
      <c r="S17" s="242" t="str">
        <f>IFERROR(VLOOKUP(TableHandbook[[#This Row],[UDC]],TableOCEDHE1[],7,FALSE),"")</f>
        <v>Core</v>
      </c>
      <c r="T17" s="240" t="str">
        <f>IFERROR(VLOOKUP(TableHandbook[[#This Row],[UDC]],TableOCEDHE[],7,FALSE),"")</f>
        <v>Core</v>
      </c>
      <c r="U17" s="240" t="str">
        <f>IFERROR(VLOOKUP(TableHandbook[[#This Row],[UDC]],TableOCEDUCS1[],7,FALSE),"")</f>
        <v/>
      </c>
      <c r="V17" s="240" t="str">
        <f>IFERROR(VLOOKUP(TableHandbook[[#This Row],[UDC]],TableOCEDUC[],7,FALSE),"")</f>
        <v/>
      </c>
      <c r="W17" s="240" t="str">
        <f>IFERROR(VLOOKUP(TableHandbook[[#This Row],[UDC]],TableOGEDUC[],7,FALSE),"")</f>
        <v/>
      </c>
      <c r="X17" s="240" t="str">
        <f>IFERROR(VLOOKUP(TableHandbook[[#This Row],[UDC]],TableOUMPEDUPR[],7,FALSE),"")</f>
        <v/>
      </c>
      <c r="Y17" s="240" t="str">
        <f>IFERROR(VLOOKUP(TableHandbook[[#This Row],[UDC]],TableOUMPEDUSC[],7,FALSE),"")</f>
        <v/>
      </c>
      <c r="Z17" s="242" t="str">
        <f>IFERROR(VLOOKUP(TableHandbook[[#This Row],[UDC]],TableOMEDUC[],7,FALSE),"")</f>
        <v/>
      </c>
      <c r="AA17" s="240" t="str">
        <f>IFERROR(VLOOKUP(TableHandbook[[#This Row],[UDC]],TableOSEPCULIN[],7,FALSE),"")</f>
        <v/>
      </c>
      <c r="AB17" s="240" t="str">
        <f>IFERROR(VLOOKUP(TableHandbook[[#This Row],[UDC]],TableOSEPLNTCH[],7,FALSE),"")</f>
        <v/>
      </c>
      <c r="AC17" s="240" t="str">
        <f>IFERROR(VLOOKUP(TableHandbook[[#This Row],[UDC]],TableOSEPSTEME[],7,FALSE),"")</f>
        <v/>
      </c>
    </row>
    <row r="18" spans="1:29" x14ac:dyDescent="0.25">
      <c r="A18" s="2" t="s">
        <v>253</v>
      </c>
      <c r="B18" s="3">
        <v>1</v>
      </c>
      <c r="C18" s="3" t="s">
        <v>381</v>
      </c>
      <c r="D18" s="2" t="s">
        <v>382</v>
      </c>
      <c r="E18" s="3">
        <v>25</v>
      </c>
      <c r="F18" s="237" t="s">
        <v>357</v>
      </c>
      <c r="G18" s="239" t="str">
        <f>IFERROR(IF(VLOOKUP(TableHandbook[[#This Row],[UDC]],TableAvailabilities[],2,FALSE)&gt;0,"Y",""),"")</f>
        <v/>
      </c>
      <c r="H18" s="239" t="str">
        <f>IFERROR(IF(VLOOKUP(TableHandbook[[#This Row],[UDC]],TableAvailabilities[],3,FALSE)&gt;0,"Y",""),"")</f>
        <v>Y</v>
      </c>
      <c r="I18" s="239" t="str">
        <f>IFERROR(IF(VLOOKUP(TableHandbook[[#This Row],[UDC]],TableAvailabilities[],4,FALSE)&gt;0,"Y",""),"")</f>
        <v/>
      </c>
      <c r="J18" s="239" t="str">
        <f>IFERROR(IF(VLOOKUP(TableHandbook[[#This Row],[UDC]],TableAvailabilities[],5,FALSE)&gt;0,"Y",""),"")</f>
        <v>Y</v>
      </c>
      <c r="K18" s="2"/>
      <c r="L18" s="242" t="str">
        <f>IFERROR(VLOOKUP(TableHandbook[[#This Row],[UDC]],TableOMTEACH1[],7,FALSE),"")</f>
        <v/>
      </c>
      <c r="M18" s="240" t="str">
        <f>IFERROR(VLOOKUP(TableHandbook[[#This Row],[UDC]],TableOUMPTCHEC[],7,FALSE),"")</f>
        <v/>
      </c>
      <c r="N18" s="240" t="str">
        <f>IFERROR(VLOOKUP(TableHandbook[[#This Row],[UDC]],TableOUMPTCHPE[],7,FALSE),"")</f>
        <v/>
      </c>
      <c r="O18" s="240" t="str">
        <f>IFERROR(VLOOKUP(TableHandbook[[#This Row],[UDC]],TableOUMPTCHSE[],7,FALSE),"")</f>
        <v/>
      </c>
      <c r="P18" s="242" t="str">
        <f>IFERROR(VLOOKUP(TableHandbook[[#This Row],[UDC]],TableOCTESOL1[],7,FALSE),"")</f>
        <v/>
      </c>
      <c r="Q18" s="240" t="str">
        <f>IFERROR(VLOOKUP(TableHandbook[[#This Row],[UDC]],TableOCTESOL[],7,FALSE),"")</f>
        <v/>
      </c>
      <c r="R18" s="240" t="str">
        <f>IFERROR(VLOOKUP(TableHandbook[[#This Row],[UDC]],TableOMAPLING[],7,FALSE),"")</f>
        <v/>
      </c>
      <c r="S18" s="242" t="str">
        <f>IFERROR(VLOOKUP(TableHandbook[[#This Row],[UDC]],TableOCEDHE1[],7,FALSE),"")</f>
        <v>Core</v>
      </c>
      <c r="T18" s="240" t="str">
        <f>IFERROR(VLOOKUP(TableHandbook[[#This Row],[UDC]],TableOCEDHE[],7,FALSE),"")</f>
        <v>Core</v>
      </c>
      <c r="U18" s="240" t="str">
        <f>IFERROR(VLOOKUP(TableHandbook[[#This Row],[UDC]],TableOCEDUCS1[],7,FALSE),"")</f>
        <v/>
      </c>
      <c r="V18" s="240" t="str">
        <f>IFERROR(VLOOKUP(TableHandbook[[#This Row],[UDC]],TableOCEDUC[],7,FALSE),"")</f>
        <v/>
      </c>
      <c r="W18" s="240" t="str">
        <f>IFERROR(VLOOKUP(TableHandbook[[#This Row],[UDC]],TableOGEDUC[],7,FALSE),"")</f>
        <v/>
      </c>
      <c r="X18" s="240" t="str">
        <f>IFERROR(VLOOKUP(TableHandbook[[#This Row],[UDC]],TableOUMPEDUPR[],7,FALSE),"")</f>
        <v/>
      </c>
      <c r="Y18" s="240" t="str">
        <f>IFERROR(VLOOKUP(TableHandbook[[#This Row],[UDC]],TableOUMPEDUSC[],7,FALSE),"")</f>
        <v/>
      </c>
      <c r="Z18" s="242" t="str">
        <f>IFERROR(VLOOKUP(TableHandbook[[#This Row],[UDC]],TableOMEDUC[],7,FALSE),"")</f>
        <v/>
      </c>
      <c r="AA18" s="240" t="str">
        <f>IFERROR(VLOOKUP(TableHandbook[[#This Row],[UDC]],TableOSEPCULIN[],7,FALSE),"")</f>
        <v/>
      </c>
      <c r="AB18" s="240" t="str">
        <f>IFERROR(VLOOKUP(TableHandbook[[#This Row],[UDC]],TableOSEPLNTCH[],7,FALSE),"")</f>
        <v/>
      </c>
      <c r="AC18" s="240" t="str">
        <f>IFERROR(VLOOKUP(TableHandbook[[#This Row],[UDC]],TableOSEPSTEME[],7,FALSE),"")</f>
        <v/>
      </c>
    </row>
    <row r="19" spans="1:29" x14ac:dyDescent="0.25">
      <c r="A19" s="2" t="s">
        <v>254</v>
      </c>
      <c r="B19" s="3">
        <v>1</v>
      </c>
      <c r="C19" s="3" t="s">
        <v>383</v>
      </c>
      <c r="D19" s="2" t="s">
        <v>384</v>
      </c>
      <c r="E19" s="3">
        <v>25</v>
      </c>
      <c r="F19" s="237" t="s">
        <v>357</v>
      </c>
      <c r="G19" s="239" t="str">
        <f>IFERROR(IF(VLOOKUP(TableHandbook[[#This Row],[UDC]],TableAvailabilities[],2,FALSE)&gt;0,"Y",""),"")</f>
        <v>Y</v>
      </c>
      <c r="H19" s="239" t="str">
        <f>IFERROR(IF(VLOOKUP(TableHandbook[[#This Row],[UDC]],TableAvailabilities[],3,FALSE)&gt;0,"Y",""),"")</f>
        <v/>
      </c>
      <c r="I19" s="239" t="str">
        <f>IFERROR(IF(VLOOKUP(TableHandbook[[#This Row],[UDC]],TableAvailabilities[],4,FALSE)&gt;0,"Y",""),"")</f>
        <v>Y</v>
      </c>
      <c r="J19" s="239" t="str">
        <f>IFERROR(IF(VLOOKUP(TableHandbook[[#This Row],[UDC]],TableAvailabilities[],5,FALSE)&gt;0,"Y",""),"")</f>
        <v/>
      </c>
      <c r="K19" s="2"/>
      <c r="L19" s="242" t="str">
        <f>IFERROR(VLOOKUP(TableHandbook[[#This Row],[UDC]],TableOMTEACH1[],7,FALSE),"")</f>
        <v/>
      </c>
      <c r="M19" s="240" t="str">
        <f>IFERROR(VLOOKUP(TableHandbook[[#This Row],[UDC]],TableOUMPTCHEC[],7,FALSE),"")</f>
        <v/>
      </c>
      <c r="N19" s="240" t="str">
        <f>IFERROR(VLOOKUP(TableHandbook[[#This Row],[UDC]],TableOUMPTCHPE[],7,FALSE),"")</f>
        <v/>
      </c>
      <c r="O19" s="240" t="str">
        <f>IFERROR(VLOOKUP(TableHandbook[[#This Row],[UDC]],TableOUMPTCHSE[],7,FALSE),"")</f>
        <v/>
      </c>
      <c r="P19" s="242" t="str">
        <f>IFERROR(VLOOKUP(TableHandbook[[#This Row],[UDC]],TableOCTESOL1[],7,FALSE),"")</f>
        <v/>
      </c>
      <c r="Q19" s="240" t="str">
        <f>IFERROR(VLOOKUP(TableHandbook[[#This Row],[UDC]],TableOCTESOL[],7,FALSE),"")</f>
        <v/>
      </c>
      <c r="R19" s="240" t="str">
        <f>IFERROR(VLOOKUP(TableHandbook[[#This Row],[UDC]],TableOMAPLING[],7,FALSE),"")</f>
        <v/>
      </c>
      <c r="S19" s="242" t="str">
        <f>IFERROR(VLOOKUP(TableHandbook[[#This Row],[UDC]],TableOCEDHE1[],7,FALSE),"")</f>
        <v>Core</v>
      </c>
      <c r="T19" s="240" t="str">
        <f>IFERROR(VLOOKUP(TableHandbook[[#This Row],[UDC]],TableOCEDHE[],7,FALSE),"")</f>
        <v>Core</v>
      </c>
      <c r="U19" s="240" t="str">
        <f>IFERROR(VLOOKUP(TableHandbook[[#This Row],[UDC]],TableOCEDUCS1[],7,FALSE),"")</f>
        <v/>
      </c>
      <c r="V19" s="240" t="str">
        <f>IFERROR(VLOOKUP(TableHandbook[[#This Row],[UDC]],TableOCEDUC[],7,FALSE),"")</f>
        <v/>
      </c>
      <c r="W19" s="240" t="str">
        <f>IFERROR(VLOOKUP(TableHandbook[[#This Row],[UDC]],TableOGEDUC[],7,FALSE),"")</f>
        <v/>
      </c>
      <c r="X19" s="240" t="str">
        <f>IFERROR(VLOOKUP(TableHandbook[[#This Row],[UDC]],TableOUMPEDUPR[],7,FALSE),"")</f>
        <v/>
      </c>
      <c r="Y19" s="240" t="str">
        <f>IFERROR(VLOOKUP(TableHandbook[[#This Row],[UDC]],TableOUMPEDUSC[],7,FALSE),"")</f>
        <v/>
      </c>
      <c r="Z19" s="242" t="str">
        <f>IFERROR(VLOOKUP(TableHandbook[[#This Row],[UDC]],TableOMEDUC[],7,FALSE),"")</f>
        <v/>
      </c>
      <c r="AA19" s="240" t="str">
        <f>IFERROR(VLOOKUP(TableHandbook[[#This Row],[UDC]],TableOSEPCULIN[],7,FALSE),"")</f>
        <v/>
      </c>
      <c r="AB19" s="240" t="str">
        <f>IFERROR(VLOOKUP(TableHandbook[[#This Row],[UDC]],TableOSEPLNTCH[],7,FALSE),"")</f>
        <v/>
      </c>
      <c r="AC19" s="240" t="str">
        <f>IFERROR(VLOOKUP(TableHandbook[[#This Row],[UDC]],TableOSEPSTEME[],7,FALSE),"")</f>
        <v/>
      </c>
    </row>
    <row r="20" spans="1:29" x14ac:dyDescent="0.25">
      <c r="A20" s="2" t="s">
        <v>255</v>
      </c>
      <c r="B20" s="3">
        <v>1</v>
      </c>
      <c r="C20" s="3" t="s">
        <v>385</v>
      </c>
      <c r="D20" s="2" t="s">
        <v>386</v>
      </c>
      <c r="E20" s="3">
        <v>25</v>
      </c>
      <c r="F20" s="237" t="s">
        <v>357</v>
      </c>
      <c r="G20" s="239" t="str">
        <f>IFERROR(IF(VLOOKUP(TableHandbook[[#This Row],[UDC]],TableAvailabilities[],2,FALSE)&gt;0,"Y",""),"")</f>
        <v/>
      </c>
      <c r="H20" s="239" t="str">
        <f>IFERROR(IF(VLOOKUP(TableHandbook[[#This Row],[UDC]],TableAvailabilities[],3,FALSE)&gt;0,"Y",""),"")</f>
        <v>Y</v>
      </c>
      <c r="I20" s="239" t="str">
        <f>IFERROR(IF(VLOOKUP(TableHandbook[[#This Row],[UDC]],TableAvailabilities[],4,FALSE)&gt;0,"Y",""),"")</f>
        <v/>
      </c>
      <c r="J20" s="239" t="str">
        <f>IFERROR(IF(VLOOKUP(TableHandbook[[#This Row],[UDC]],TableAvailabilities[],5,FALSE)&gt;0,"Y",""),"")</f>
        <v>Y</v>
      </c>
      <c r="K20" s="2"/>
      <c r="L20" s="242" t="str">
        <f>IFERROR(VLOOKUP(TableHandbook[[#This Row],[UDC]],TableOMTEACH1[],7,FALSE),"")</f>
        <v/>
      </c>
      <c r="M20" s="240" t="str">
        <f>IFERROR(VLOOKUP(TableHandbook[[#This Row],[UDC]],TableOUMPTCHEC[],7,FALSE),"")</f>
        <v/>
      </c>
      <c r="N20" s="240" t="str">
        <f>IFERROR(VLOOKUP(TableHandbook[[#This Row],[UDC]],TableOUMPTCHPE[],7,FALSE),"")</f>
        <v/>
      </c>
      <c r="O20" s="240" t="str">
        <f>IFERROR(VLOOKUP(TableHandbook[[#This Row],[UDC]],TableOUMPTCHSE[],7,FALSE),"")</f>
        <v/>
      </c>
      <c r="P20" s="242" t="str">
        <f>IFERROR(VLOOKUP(TableHandbook[[#This Row],[UDC]],TableOCTESOL1[],7,FALSE),"")</f>
        <v/>
      </c>
      <c r="Q20" s="240" t="str">
        <f>IFERROR(VLOOKUP(TableHandbook[[#This Row],[UDC]],TableOCTESOL[],7,FALSE),"")</f>
        <v/>
      </c>
      <c r="R20" s="240" t="str">
        <f>IFERROR(VLOOKUP(TableHandbook[[#This Row],[UDC]],TableOMAPLING[],7,FALSE),"")</f>
        <v/>
      </c>
      <c r="S20" s="242" t="str">
        <f>IFERROR(VLOOKUP(TableHandbook[[#This Row],[UDC]],TableOCEDHE1[],7,FALSE),"")</f>
        <v>Core</v>
      </c>
      <c r="T20" s="240" t="str">
        <f>IFERROR(VLOOKUP(TableHandbook[[#This Row],[UDC]],TableOCEDHE[],7,FALSE),"")</f>
        <v>Core</v>
      </c>
      <c r="U20" s="240" t="str">
        <f>IFERROR(VLOOKUP(TableHandbook[[#This Row],[UDC]],TableOCEDUCS1[],7,FALSE),"")</f>
        <v/>
      </c>
      <c r="V20" s="240" t="str">
        <f>IFERROR(VLOOKUP(TableHandbook[[#This Row],[UDC]],TableOCEDUC[],7,FALSE),"")</f>
        <v/>
      </c>
      <c r="W20" s="240" t="str">
        <f>IFERROR(VLOOKUP(TableHandbook[[#This Row],[UDC]],TableOGEDUC[],7,FALSE),"")</f>
        <v/>
      </c>
      <c r="X20" s="240" t="str">
        <f>IFERROR(VLOOKUP(TableHandbook[[#This Row],[UDC]],TableOUMPEDUPR[],7,FALSE),"")</f>
        <v/>
      </c>
      <c r="Y20" s="240" t="str">
        <f>IFERROR(VLOOKUP(TableHandbook[[#This Row],[UDC]],TableOUMPEDUSC[],7,FALSE),"")</f>
        <v/>
      </c>
      <c r="Z20" s="242" t="str">
        <f>IFERROR(VLOOKUP(TableHandbook[[#This Row],[UDC]],TableOMEDUC[],7,FALSE),"")</f>
        <v/>
      </c>
      <c r="AA20" s="240" t="str">
        <f>IFERROR(VLOOKUP(TableHandbook[[#This Row],[UDC]],TableOSEPCULIN[],7,FALSE),"")</f>
        <v/>
      </c>
      <c r="AB20" s="240" t="str">
        <f>IFERROR(VLOOKUP(TableHandbook[[#This Row],[UDC]],TableOSEPLNTCH[],7,FALSE),"")</f>
        <v/>
      </c>
      <c r="AC20" s="240" t="str">
        <f>IFERROR(VLOOKUP(TableHandbook[[#This Row],[UDC]],TableOSEPSTEME[],7,FALSE),"")</f>
        <v/>
      </c>
    </row>
    <row r="21" spans="1:29" x14ac:dyDescent="0.25">
      <c r="A21" s="2" t="s">
        <v>87</v>
      </c>
      <c r="B21" s="3">
        <v>1</v>
      </c>
      <c r="C21" s="3" t="s">
        <v>387</v>
      </c>
      <c r="D21" s="2" t="s">
        <v>388</v>
      </c>
      <c r="E21" s="3">
        <v>25</v>
      </c>
      <c r="F21" s="237" t="s">
        <v>357</v>
      </c>
      <c r="G21" s="239" t="str">
        <f>IFERROR(IF(VLOOKUP(TableHandbook[[#This Row],[UDC]],TableAvailabilities[],2,FALSE)&gt;0,"Y",""),"")</f>
        <v/>
      </c>
      <c r="H21" s="239" t="str">
        <f>IFERROR(IF(VLOOKUP(TableHandbook[[#This Row],[UDC]],TableAvailabilities[],3,FALSE)&gt;0,"Y",""),"")</f>
        <v>Y</v>
      </c>
      <c r="I21" s="239" t="str">
        <f>IFERROR(IF(VLOOKUP(TableHandbook[[#This Row],[UDC]],TableAvailabilities[],4,FALSE)&gt;0,"Y",""),"")</f>
        <v/>
      </c>
      <c r="J21" s="239" t="str">
        <f>IFERROR(IF(VLOOKUP(TableHandbook[[#This Row],[UDC]],TableAvailabilities[],5,FALSE)&gt;0,"Y",""),"")</f>
        <v>Y</v>
      </c>
      <c r="K21" s="2"/>
      <c r="L21" s="242" t="str">
        <f>IFERROR(VLOOKUP(TableHandbook[[#This Row],[UDC]],TableOMTEACH1[],7,FALSE),"")</f>
        <v/>
      </c>
      <c r="M21" s="240" t="str">
        <f>IFERROR(VLOOKUP(TableHandbook[[#This Row],[UDC]],TableOUMPTCHEC[],7,FALSE),"")</f>
        <v/>
      </c>
      <c r="N21" s="240" t="str">
        <f>IFERROR(VLOOKUP(TableHandbook[[#This Row],[UDC]],TableOUMPTCHPE[],7,FALSE),"")</f>
        <v>Core</v>
      </c>
      <c r="O21" s="240" t="str">
        <f>IFERROR(VLOOKUP(TableHandbook[[#This Row],[UDC]],TableOUMPTCHSE[],7,FALSE),"")</f>
        <v/>
      </c>
      <c r="P21" s="242" t="str">
        <f>IFERROR(VLOOKUP(TableHandbook[[#This Row],[UDC]],TableOCTESOL1[],7,FALSE),"")</f>
        <v/>
      </c>
      <c r="Q21" s="240" t="str">
        <f>IFERROR(VLOOKUP(TableHandbook[[#This Row],[UDC]],TableOCTESOL[],7,FALSE),"")</f>
        <v/>
      </c>
      <c r="R21" s="240" t="str">
        <f>IFERROR(VLOOKUP(TableHandbook[[#This Row],[UDC]],TableOMAPLING[],7,FALSE),"")</f>
        <v/>
      </c>
      <c r="S21" s="242" t="str">
        <f>IFERROR(VLOOKUP(TableHandbook[[#This Row],[UDC]],TableOCEDHE1[],7,FALSE),"")</f>
        <v/>
      </c>
      <c r="T21" s="240" t="str">
        <f>IFERROR(VLOOKUP(TableHandbook[[#This Row],[UDC]],TableOCEDHE[],7,FALSE),"")</f>
        <v/>
      </c>
      <c r="U21" s="240" t="str">
        <f>IFERROR(VLOOKUP(TableHandbook[[#This Row],[UDC]],TableOCEDUCS1[],7,FALSE),"")</f>
        <v>Option</v>
      </c>
      <c r="V21" s="240" t="str">
        <f>IFERROR(VLOOKUP(TableHandbook[[#This Row],[UDC]],TableOCEDUC[],7,FALSE),"")</f>
        <v>Option</v>
      </c>
      <c r="W21" s="240" t="str">
        <f>IFERROR(VLOOKUP(TableHandbook[[#This Row],[UDC]],TableOGEDUC[],7,FALSE),"")</f>
        <v/>
      </c>
      <c r="X21" s="240" t="str">
        <f>IFERROR(VLOOKUP(TableHandbook[[#This Row],[UDC]],TableOUMPEDUPR[],7,FALSE),"")</f>
        <v>Core</v>
      </c>
      <c r="Y21" s="240" t="str">
        <f>IFERROR(VLOOKUP(TableHandbook[[#This Row],[UDC]],TableOUMPEDUSC[],7,FALSE),"")</f>
        <v/>
      </c>
      <c r="Z21" s="242" t="str">
        <f>IFERROR(VLOOKUP(TableHandbook[[#This Row],[UDC]],TableOMEDUC[],7,FALSE),"")</f>
        <v/>
      </c>
      <c r="AA21" s="240" t="str">
        <f>IFERROR(VLOOKUP(TableHandbook[[#This Row],[UDC]],TableOSEPCULIN[],7,FALSE),"")</f>
        <v/>
      </c>
      <c r="AB21" s="240" t="str">
        <f>IFERROR(VLOOKUP(TableHandbook[[#This Row],[UDC]],TableOSEPLNTCH[],7,FALSE),"")</f>
        <v/>
      </c>
      <c r="AC21" s="240" t="str">
        <f>IFERROR(VLOOKUP(TableHandbook[[#This Row],[UDC]],TableOSEPSTEME[],7,FALSE),"")</f>
        <v/>
      </c>
    </row>
    <row r="22" spans="1:29" x14ac:dyDescent="0.25">
      <c r="A22" s="2" t="s">
        <v>92</v>
      </c>
      <c r="B22" s="3">
        <v>3</v>
      </c>
      <c r="C22" s="3" t="s">
        <v>389</v>
      </c>
      <c r="D22" s="2" t="s">
        <v>390</v>
      </c>
      <c r="E22" s="3">
        <v>25</v>
      </c>
      <c r="F22" s="237" t="s">
        <v>357</v>
      </c>
      <c r="G22" s="239" t="str">
        <f>IFERROR(IF(VLOOKUP(TableHandbook[[#This Row],[UDC]],TableAvailabilities[],2,FALSE)&gt;0,"Y",""),"")</f>
        <v>Y</v>
      </c>
      <c r="H22" s="239" t="str">
        <f>IFERROR(IF(VLOOKUP(TableHandbook[[#This Row],[UDC]],TableAvailabilities[],3,FALSE)&gt;0,"Y",""),"")</f>
        <v>Y</v>
      </c>
      <c r="I22" s="239" t="str">
        <f>IFERROR(IF(VLOOKUP(TableHandbook[[#This Row],[UDC]],TableAvailabilities[],4,FALSE)&gt;0,"Y",""),"")</f>
        <v/>
      </c>
      <c r="J22" s="239" t="str">
        <f>IFERROR(IF(VLOOKUP(TableHandbook[[#This Row],[UDC]],TableAvailabilities[],5,FALSE)&gt;0,"Y",""),"")</f>
        <v/>
      </c>
      <c r="K22" s="2"/>
      <c r="L22" s="242" t="str">
        <f>IFERROR(VLOOKUP(TableHandbook[[#This Row],[UDC]],TableOMTEACH1[],7,FALSE),"")</f>
        <v/>
      </c>
      <c r="M22" s="240" t="str">
        <f>IFERROR(VLOOKUP(TableHandbook[[#This Row],[UDC]],TableOUMPTCHEC[],7,FALSE),"")</f>
        <v/>
      </c>
      <c r="N22" s="240" t="str">
        <f>IFERROR(VLOOKUP(TableHandbook[[#This Row],[UDC]],TableOUMPTCHPE[],7,FALSE),"")</f>
        <v>Core</v>
      </c>
      <c r="O22" s="240" t="str">
        <f>IFERROR(VLOOKUP(TableHandbook[[#This Row],[UDC]],TableOUMPTCHSE[],7,FALSE),"")</f>
        <v/>
      </c>
      <c r="P22" s="242" t="str">
        <f>IFERROR(VLOOKUP(TableHandbook[[#This Row],[UDC]],TableOCTESOL1[],7,FALSE),"")</f>
        <v/>
      </c>
      <c r="Q22" s="240" t="str">
        <f>IFERROR(VLOOKUP(TableHandbook[[#This Row],[UDC]],TableOCTESOL[],7,FALSE),"")</f>
        <v/>
      </c>
      <c r="R22" s="240" t="str">
        <f>IFERROR(VLOOKUP(TableHandbook[[#This Row],[UDC]],TableOMAPLING[],7,FALSE),"")</f>
        <v/>
      </c>
      <c r="S22" s="242" t="str">
        <f>IFERROR(VLOOKUP(TableHandbook[[#This Row],[UDC]],TableOCEDHE1[],7,FALSE),"")</f>
        <v/>
      </c>
      <c r="T22" s="240" t="str">
        <f>IFERROR(VLOOKUP(TableHandbook[[#This Row],[UDC]],TableOCEDHE[],7,FALSE),"")</f>
        <v/>
      </c>
      <c r="U22" s="240" t="str">
        <f>IFERROR(VLOOKUP(TableHandbook[[#This Row],[UDC]],TableOCEDUCS1[],7,FALSE),"")</f>
        <v/>
      </c>
      <c r="V22" s="240" t="str">
        <f>IFERROR(VLOOKUP(TableHandbook[[#This Row],[UDC]],TableOCEDUC[],7,FALSE),"")</f>
        <v/>
      </c>
      <c r="W22" s="240" t="str">
        <f>IFERROR(VLOOKUP(TableHandbook[[#This Row],[UDC]],TableOGEDUC[],7,FALSE),"")</f>
        <v/>
      </c>
      <c r="X22" s="240" t="str">
        <f>IFERROR(VLOOKUP(TableHandbook[[#This Row],[UDC]],TableOUMPEDUPR[],7,FALSE),"")</f>
        <v>Core</v>
      </c>
      <c r="Y22" s="240" t="str">
        <f>IFERROR(VLOOKUP(TableHandbook[[#This Row],[UDC]],TableOUMPEDUSC[],7,FALSE),"")</f>
        <v/>
      </c>
      <c r="Z22" s="242" t="str">
        <f>IFERROR(VLOOKUP(TableHandbook[[#This Row],[UDC]],TableOMEDUC[],7,FALSE),"")</f>
        <v/>
      </c>
      <c r="AA22" s="240" t="str">
        <f>IFERROR(VLOOKUP(TableHandbook[[#This Row],[UDC]],TableOSEPCULIN[],7,FALSE),"")</f>
        <v/>
      </c>
      <c r="AB22" s="240" t="str">
        <f>IFERROR(VLOOKUP(TableHandbook[[#This Row],[UDC]],TableOSEPLNTCH[],7,FALSE),"")</f>
        <v/>
      </c>
      <c r="AC22" s="240" t="str">
        <f>IFERROR(VLOOKUP(TableHandbook[[#This Row],[UDC]],TableOSEPSTEME[],7,FALSE),"")</f>
        <v/>
      </c>
    </row>
    <row r="23" spans="1:29" x14ac:dyDescent="0.25">
      <c r="A23" s="2" t="s">
        <v>86</v>
      </c>
      <c r="B23" s="3">
        <v>1</v>
      </c>
      <c r="C23" s="3" t="s">
        <v>391</v>
      </c>
      <c r="D23" s="2" t="s">
        <v>392</v>
      </c>
      <c r="E23" s="3">
        <v>25</v>
      </c>
      <c r="F23" s="237" t="s">
        <v>357</v>
      </c>
      <c r="G23" s="239" t="str">
        <f>IFERROR(IF(VLOOKUP(TableHandbook[[#This Row],[UDC]],TableAvailabilities[],2,FALSE)&gt;0,"Y",""),"")</f>
        <v/>
      </c>
      <c r="H23" s="239" t="str">
        <f>IFERROR(IF(VLOOKUP(TableHandbook[[#This Row],[UDC]],TableAvailabilities[],3,FALSE)&gt;0,"Y",""),"")</f>
        <v>Y</v>
      </c>
      <c r="I23" s="239" t="str">
        <f>IFERROR(IF(VLOOKUP(TableHandbook[[#This Row],[UDC]],TableAvailabilities[],4,FALSE)&gt;0,"Y",""),"")</f>
        <v/>
      </c>
      <c r="J23" s="239" t="str">
        <f>IFERROR(IF(VLOOKUP(TableHandbook[[#This Row],[UDC]],TableAvailabilities[],5,FALSE)&gt;0,"Y",""),"")</f>
        <v/>
      </c>
      <c r="K23" s="2"/>
      <c r="L23" s="242" t="str">
        <f>IFERROR(VLOOKUP(TableHandbook[[#This Row],[UDC]],TableOMTEACH1[],7,FALSE),"")</f>
        <v/>
      </c>
      <c r="M23" s="240" t="str">
        <f>IFERROR(VLOOKUP(TableHandbook[[#This Row],[UDC]],TableOUMPTCHEC[],7,FALSE),"")</f>
        <v/>
      </c>
      <c r="N23" s="240" t="str">
        <f>IFERROR(VLOOKUP(TableHandbook[[#This Row],[UDC]],TableOUMPTCHPE[],7,FALSE),"")</f>
        <v>Core</v>
      </c>
      <c r="O23" s="240" t="str">
        <f>IFERROR(VLOOKUP(TableHandbook[[#This Row],[UDC]],TableOUMPTCHSE[],7,FALSE),"")</f>
        <v/>
      </c>
      <c r="P23" s="242" t="str">
        <f>IFERROR(VLOOKUP(TableHandbook[[#This Row],[UDC]],TableOCTESOL1[],7,FALSE),"")</f>
        <v/>
      </c>
      <c r="Q23" s="240" t="str">
        <f>IFERROR(VLOOKUP(TableHandbook[[#This Row],[UDC]],TableOCTESOL[],7,FALSE),"")</f>
        <v/>
      </c>
      <c r="R23" s="240" t="str">
        <f>IFERROR(VLOOKUP(TableHandbook[[#This Row],[UDC]],TableOMAPLING[],7,FALSE),"")</f>
        <v/>
      </c>
      <c r="S23" s="242" t="str">
        <f>IFERROR(VLOOKUP(TableHandbook[[#This Row],[UDC]],TableOCEDHE1[],7,FALSE),"")</f>
        <v/>
      </c>
      <c r="T23" s="240" t="str">
        <f>IFERROR(VLOOKUP(TableHandbook[[#This Row],[UDC]],TableOCEDHE[],7,FALSE),"")</f>
        <v/>
      </c>
      <c r="U23" s="240" t="str">
        <f>IFERROR(VLOOKUP(TableHandbook[[#This Row],[UDC]],TableOCEDUCS1[],7,FALSE),"")</f>
        <v>Option</v>
      </c>
      <c r="V23" s="240" t="str">
        <f>IFERROR(VLOOKUP(TableHandbook[[#This Row],[UDC]],TableOCEDUC[],7,FALSE),"")</f>
        <v>Option</v>
      </c>
      <c r="W23" s="240" t="str">
        <f>IFERROR(VLOOKUP(TableHandbook[[#This Row],[UDC]],TableOGEDUC[],7,FALSE),"")</f>
        <v/>
      </c>
      <c r="X23" s="240" t="str">
        <f>IFERROR(VLOOKUP(TableHandbook[[#This Row],[UDC]],TableOUMPEDUPR[],7,FALSE),"")</f>
        <v>Core</v>
      </c>
      <c r="Y23" s="240" t="str">
        <f>IFERROR(VLOOKUP(TableHandbook[[#This Row],[UDC]],TableOUMPEDUSC[],7,FALSE),"")</f>
        <v/>
      </c>
      <c r="Z23" s="242" t="str">
        <f>IFERROR(VLOOKUP(TableHandbook[[#This Row],[UDC]],TableOMEDUC[],7,FALSE),"")</f>
        <v/>
      </c>
      <c r="AA23" s="240" t="str">
        <f>IFERROR(VLOOKUP(TableHandbook[[#This Row],[UDC]],TableOSEPCULIN[],7,FALSE),"")</f>
        <v/>
      </c>
      <c r="AB23" s="240" t="str">
        <f>IFERROR(VLOOKUP(TableHandbook[[#This Row],[UDC]],TableOSEPLNTCH[],7,FALSE),"")</f>
        <v/>
      </c>
      <c r="AC23" s="240" t="str">
        <f>IFERROR(VLOOKUP(TableHandbook[[#This Row],[UDC]],TableOSEPSTEME[],7,FALSE),"")</f>
        <v/>
      </c>
    </row>
    <row r="24" spans="1:29" x14ac:dyDescent="0.25">
      <c r="A24" s="2" t="s">
        <v>100</v>
      </c>
      <c r="B24" s="3">
        <v>1</v>
      </c>
      <c r="C24" s="3" t="s">
        <v>393</v>
      </c>
      <c r="D24" s="2" t="s">
        <v>394</v>
      </c>
      <c r="E24" s="3">
        <v>25</v>
      </c>
      <c r="F24" s="275" t="s">
        <v>389</v>
      </c>
      <c r="G24" s="239" t="str">
        <f>IFERROR(IF(VLOOKUP(TableHandbook[[#This Row],[UDC]],TableAvailabilities[],2,FALSE)&gt;0,"Y",""),"")</f>
        <v/>
      </c>
      <c r="H24" s="239" t="str">
        <f>IFERROR(IF(VLOOKUP(TableHandbook[[#This Row],[UDC]],TableAvailabilities[],3,FALSE)&gt;0,"Y",""),"")</f>
        <v>Y</v>
      </c>
      <c r="I24" s="239" t="str">
        <f>IFERROR(IF(VLOOKUP(TableHandbook[[#This Row],[UDC]],TableAvailabilities[],4,FALSE)&gt;0,"Y",""),"")</f>
        <v>Y</v>
      </c>
      <c r="J24" s="239" t="str">
        <f>IFERROR(IF(VLOOKUP(TableHandbook[[#This Row],[UDC]],TableAvailabilities[],5,FALSE)&gt;0,"Y",""),"")</f>
        <v/>
      </c>
      <c r="K24" s="2"/>
      <c r="L24" s="242" t="str">
        <f>IFERROR(VLOOKUP(TableHandbook[[#This Row],[UDC]],TableOMTEACH1[],7,FALSE),"")</f>
        <v/>
      </c>
      <c r="M24" s="240" t="str">
        <f>IFERROR(VLOOKUP(TableHandbook[[#This Row],[UDC]],TableOUMPTCHEC[],7,FALSE),"")</f>
        <v/>
      </c>
      <c r="N24" s="240" t="str">
        <f>IFERROR(VLOOKUP(TableHandbook[[#This Row],[UDC]],TableOUMPTCHPE[],7,FALSE),"")</f>
        <v>Core</v>
      </c>
      <c r="O24" s="240" t="str">
        <f>IFERROR(VLOOKUP(TableHandbook[[#This Row],[UDC]],TableOUMPTCHSE[],7,FALSE),"")</f>
        <v/>
      </c>
      <c r="P24" s="242" t="str">
        <f>IFERROR(VLOOKUP(TableHandbook[[#This Row],[UDC]],TableOCTESOL1[],7,FALSE),"")</f>
        <v/>
      </c>
      <c r="Q24" s="240" t="str">
        <f>IFERROR(VLOOKUP(TableHandbook[[#This Row],[UDC]],TableOCTESOL[],7,FALSE),"")</f>
        <v/>
      </c>
      <c r="R24" s="240" t="str">
        <f>IFERROR(VLOOKUP(TableHandbook[[#This Row],[UDC]],TableOMAPLING[],7,FALSE),"")</f>
        <v/>
      </c>
      <c r="S24" s="242" t="str">
        <f>IFERROR(VLOOKUP(TableHandbook[[#This Row],[UDC]],TableOCEDHE1[],7,FALSE),"")</f>
        <v/>
      </c>
      <c r="T24" s="240" t="str">
        <f>IFERROR(VLOOKUP(TableHandbook[[#This Row],[UDC]],TableOCEDHE[],7,FALSE),"")</f>
        <v/>
      </c>
      <c r="U24" s="240" t="str">
        <f>IFERROR(VLOOKUP(TableHandbook[[#This Row],[UDC]],TableOCEDUCS1[],7,FALSE),"")</f>
        <v/>
      </c>
      <c r="V24" s="240" t="str">
        <f>IFERROR(VLOOKUP(TableHandbook[[#This Row],[UDC]],TableOCEDUC[],7,FALSE),"")</f>
        <v/>
      </c>
      <c r="W24" s="240" t="str">
        <f>IFERROR(VLOOKUP(TableHandbook[[#This Row],[UDC]],TableOGEDUC[],7,FALSE),"")</f>
        <v/>
      </c>
      <c r="X24" s="240" t="str">
        <f>IFERROR(VLOOKUP(TableHandbook[[#This Row],[UDC]],TableOUMPEDUPR[],7,FALSE),"")</f>
        <v>Core</v>
      </c>
      <c r="Y24" s="240" t="str">
        <f>IFERROR(VLOOKUP(TableHandbook[[#This Row],[UDC]],TableOUMPEDUSC[],7,FALSE),"")</f>
        <v/>
      </c>
      <c r="Z24" s="242" t="str">
        <f>IFERROR(VLOOKUP(TableHandbook[[#This Row],[UDC]],TableOMEDUC[],7,FALSE),"")</f>
        <v/>
      </c>
      <c r="AA24" s="240" t="str">
        <f>IFERROR(VLOOKUP(TableHandbook[[#This Row],[UDC]],TableOSEPCULIN[],7,FALSE),"")</f>
        <v/>
      </c>
      <c r="AB24" s="240" t="str">
        <f>IFERROR(VLOOKUP(TableHandbook[[#This Row],[UDC]],TableOSEPLNTCH[],7,FALSE),"")</f>
        <v/>
      </c>
      <c r="AC24" s="240" t="str">
        <f>IFERROR(VLOOKUP(TableHandbook[[#This Row],[UDC]],TableOSEPSTEME[],7,FALSE),"")</f>
        <v/>
      </c>
    </row>
    <row r="25" spans="1:29" x14ac:dyDescent="0.25">
      <c r="A25" s="2" t="s">
        <v>116</v>
      </c>
      <c r="B25" s="3">
        <v>2</v>
      </c>
      <c r="C25" s="3" t="s">
        <v>395</v>
      </c>
      <c r="D25" s="2" t="s">
        <v>396</v>
      </c>
      <c r="E25" s="3">
        <v>25</v>
      </c>
      <c r="F25" s="237" t="s">
        <v>357</v>
      </c>
      <c r="G25" s="239" t="str">
        <f>IFERROR(IF(VLOOKUP(TableHandbook[[#This Row],[UDC]],TableAvailabilities[],2,FALSE)&gt;0,"Y",""),"")</f>
        <v/>
      </c>
      <c r="H25" s="239" t="str">
        <f>IFERROR(IF(VLOOKUP(TableHandbook[[#This Row],[UDC]],TableAvailabilities[],3,FALSE)&gt;0,"Y",""),"")</f>
        <v>Y</v>
      </c>
      <c r="I25" s="239" t="str">
        <f>IFERROR(IF(VLOOKUP(TableHandbook[[#This Row],[UDC]],TableAvailabilities[],4,FALSE)&gt;0,"Y",""),"")</f>
        <v/>
      </c>
      <c r="J25" s="239" t="str">
        <f>IFERROR(IF(VLOOKUP(TableHandbook[[#This Row],[UDC]],TableAvailabilities[],5,FALSE)&gt;0,"Y",""),"")</f>
        <v/>
      </c>
      <c r="K25" s="2"/>
      <c r="L25" s="242" t="str">
        <f>IFERROR(VLOOKUP(TableHandbook[[#This Row],[UDC]],TableOMTEACH1[],7,FALSE),"")</f>
        <v/>
      </c>
      <c r="M25" s="240" t="str">
        <f>IFERROR(VLOOKUP(TableHandbook[[#This Row],[UDC]],TableOUMPTCHEC[],7,FALSE),"")</f>
        <v/>
      </c>
      <c r="N25" s="240" t="str">
        <f>IFERROR(VLOOKUP(TableHandbook[[#This Row],[UDC]],TableOUMPTCHPE[],7,FALSE),"")</f>
        <v>Core</v>
      </c>
      <c r="O25" s="240" t="str">
        <f>IFERROR(VLOOKUP(TableHandbook[[#This Row],[UDC]],TableOUMPTCHSE[],7,FALSE),"")</f>
        <v/>
      </c>
      <c r="P25" s="242" t="str">
        <f>IFERROR(VLOOKUP(TableHandbook[[#This Row],[UDC]],TableOCTESOL1[],7,FALSE),"")</f>
        <v/>
      </c>
      <c r="Q25" s="240" t="str">
        <f>IFERROR(VLOOKUP(TableHandbook[[#This Row],[UDC]],TableOCTESOL[],7,FALSE),"")</f>
        <v/>
      </c>
      <c r="R25" s="240" t="str">
        <f>IFERROR(VLOOKUP(TableHandbook[[#This Row],[UDC]],TableOMAPLING[],7,FALSE),"")</f>
        <v/>
      </c>
      <c r="S25" s="242" t="str">
        <f>IFERROR(VLOOKUP(TableHandbook[[#This Row],[UDC]],TableOCEDHE1[],7,FALSE),"")</f>
        <v/>
      </c>
      <c r="T25" s="240" t="str">
        <f>IFERROR(VLOOKUP(TableHandbook[[#This Row],[UDC]],TableOCEDHE[],7,FALSE),"")</f>
        <v/>
      </c>
      <c r="U25" s="240" t="str">
        <f>IFERROR(VLOOKUP(TableHandbook[[#This Row],[UDC]],TableOCEDUCS1[],7,FALSE),"")</f>
        <v/>
      </c>
      <c r="V25" s="240" t="str">
        <f>IFERROR(VLOOKUP(TableHandbook[[#This Row],[UDC]],TableOCEDUC[],7,FALSE),"")</f>
        <v/>
      </c>
      <c r="W25" s="240" t="str">
        <f>IFERROR(VLOOKUP(TableHandbook[[#This Row],[UDC]],TableOGEDUC[],7,FALSE),"")</f>
        <v/>
      </c>
      <c r="X25" s="240" t="str">
        <f>IFERROR(VLOOKUP(TableHandbook[[#This Row],[UDC]],TableOUMPEDUPR[],7,FALSE),"")</f>
        <v/>
      </c>
      <c r="Y25" s="240" t="str">
        <f>IFERROR(VLOOKUP(TableHandbook[[#This Row],[UDC]],TableOUMPEDUSC[],7,FALSE),"")</f>
        <v/>
      </c>
      <c r="Z25" s="242" t="str">
        <f>IFERROR(VLOOKUP(TableHandbook[[#This Row],[UDC]],TableOMEDUC[],7,FALSE),"")</f>
        <v/>
      </c>
      <c r="AA25" s="240" t="str">
        <f>IFERROR(VLOOKUP(TableHandbook[[#This Row],[UDC]],TableOSEPCULIN[],7,FALSE),"")</f>
        <v/>
      </c>
      <c r="AB25" s="240" t="str">
        <f>IFERROR(VLOOKUP(TableHandbook[[#This Row],[UDC]],TableOSEPLNTCH[],7,FALSE),"")</f>
        <v/>
      </c>
      <c r="AC25" s="240" t="str">
        <f>IFERROR(VLOOKUP(TableHandbook[[#This Row],[UDC]],TableOSEPSTEME[],7,FALSE),"")</f>
        <v/>
      </c>
    </row>
    <row r="26" spans="1:29" x14ac:dyDescent="0.25">
      <c r="A26" s="2" t="s">
        <v>115</v>
      </c>
      <c r="B26" s="3">
        <v>1</v>
      </c>
      <c r="C26" s="3" t="s">
        <v>397</v>
      </c>
      <c r="D26" s="2" t="s">
        <v>398</v>
      </c>
      <c r="E26" s="3">
        <v>25</v>
      </c>
      <c r="F26" s="237" t="s">
        <v>357</v>
      </c>
      <c r="G26" s="239" t="str">
        <f>IFERROR(IF(VLOOKUP(TableHandbook[[#This Row],[UDC]],TableAvailabilities[],2,FALSE)&gt;0,"Y",""),"")</f>
        <v>Y</v>
      </c>
      <c r="H26" s="239" t="str">
        <f>IFERROR(IF(VLOOKUP(TableHandbook[[#This Row],[UDC]],TableAvailabilities[],3,FALSE)&gt;0,"Y",""),"")</f>
        <v/>
      </c>
      <c r="I26" s="239" t="str">
        <f>IFERROR(IF(VLOOKUP(TableHandbook[[#This Row],[UDC]],TableAvailabilities[],4,FALSE)&gt;0,"Y",""),"")</f>
        <v/>
      </c>
      <c r="J26" s="239" t="str">
        <f>IFERROR(IF(VLOOKUP(TableHandbook[[#This Row],[UDC]],TableAvailabilities[],5,FALSE)&gt;0,"Y",""),"")</f>
        <v/>
      </c>
      <c r="K26" s="2"/>
      <c r="L26" s="242" t="str">
        <f>IFERROR(VLOOKUP(TableHandbook[[#This Row],[UDC]],TableOMTEACH1[],7,FALSE),"")</f>
        <v/>
      </c>
      <c r="M26" s="240" t="str">
        <f>IFERROR(VLOOKUP(TableHandbook[[#This Row],[UDC]],TableOUMPTCHEC[],7,FALSE),"")</f>
        <v/>
      </c>
      <c r="N26" s="240" t="str">
        <f>IFERROR(VLOOKUP(TableHandbook[[#This Row],[UDC]],TableOUMPTCHPE[],7,FALSE),"")</f>
        <v>Core</v>
      </c>
      <c r="O26" s="240" t="str">
        <f>IFERROR(VLOOKUP(TableHandbook[[#This Row],[UDC]],TableOUMPTCHSE[],7,FALSE),"")</f>
        <v/>
      </c>
      <c r="P26" s="242" t="str">
        <f>IFERROR(VLOOKUP(TableHandbook[[#This Row],[UDC]],TableOCTESOL1[],7,FALSE),"")</f>
        <v/>
      </c>
      <c r="Q26" s="240" t="str">
        <f>IFERROR(VLOOKUP(TableHandbook[[#This Row],[UDC]],TableOCTESOL[],7,FALSE),"")</f>
        <v/>
      </c>
      <c r="R26" s="240" t="str">
        <f>IFERROR(VLOOKUP(TableHandbook[[#This Row],[UDC]],TableOMAPLING[],7,FALSE),"")</f>
        <v/>
      </c>
      <c r="S26" s="242" t="str">
        <f>IFERROR(VLOOKUP(TableHandbook[[#This Row],[UDC]],TableOCEDHE1[],7,FALSE),"")</f>
        <v/>
      </c>
      <c r="T26" s="240" t="str">
        <f>IFERROR(VLOOKUP(TableHandbook[[#This Row],[UDC]],TableOCEDHE[],7,FALSE),"")</f>
        <v/>
      </c>
      <c r="U26" s="240" t="str">
        <f>IFERROR(VLOOKUP(TableHandbook[[#This Row],[UDC]],TableOCEDUCS1[],7,FALSE),"")</f>
        <v>Option</v>
      </c>
      <c r="V26" s="240" t="str">
        <f>IFERROR(VLOOKUP(TableHandbook[[#This Row],[UDC]],TableOCEDUC[],7,FALSE),"")</f>
        <v>Option</v>
      </c>
      <c r="W26" s="240" t="str">
        <f>IFERROR(VLOOKUP(TableHandbook[[#This Row],[UDC]],TableOGEDUC[],7,FALSE),"")</f>
        <v/>
      </c>
      <c r="X26" s="240" t="str">
        <f>IFERROR(VLOOKUP(TableHandbook[[#This Row],[UDC]],TableOUMPEDUPR[],7,FALSE),"")</f>
        <v/>
      </c>
      <c r="Y26" s="240" t="str">
        <f>IFERROR(VLOOKUP(TableHandbook[[#This Row],[UDC]],TableOUMPEDUSC[],7,FALSE),"")</f>
        <v/>
      </c>
      <c r="Z26" s="242" t="str">
        <f>IFERROR(VLOOKUP(TableHandbook[[#This Row],[UDC]],TableOMEDUC[],7,FALSE),"")</f>
        <v/>
      </c>
      <c r="AA26" s="240" t="str">
        <f>IFERROR(VLOOKUP(TableHandbook[[#This Row],[UDC]],TableOSEPCULIN[],7,FALSE),"")</f>
        <v/>
      </c>
      <c r="AB26" s="240" t="str">
        <f>IFERROR(VLOOKUP(TableHandbook[[#This Row],[UDC]],TableOSEPLNTCH[],7,FALSE),"")</f>
        <v/>
      </c>
      <c r="AC26" s="240" t="str">
        <f>IFERROR(VLOOKUP(TableHandbook[[#This Row],[UDC]],TableOSEPSTEME[],7,FALSE),"")</f>
        <v/>
      </c>
    </row>
    <row r="27" spans="1:29" x14ac:dyDescent="0.25">
      <c r="A27" s="2" t="s">
        <v>108</v>
      </c>
      <c r="B27" s="3">
        <v>1</v>
      </c>
      <c r="C27" s="3" t="s">
        <v>399</v>
      </c>
      <c r="D27" s="2" t="s">
        <v>400</v>
      </c>
      <c r="E27" s="3">
        <v>25</v>
      </c>
      <c r="F27" s="237" t="s">
        <v>357</v>
      </c>
      <c r="G27" s="239" t="str">
        <f>IFERROR(IF(VLOOKUP(TableHandbook[[#This Row],[UDC]],TableAvailabilities[],2,FALSE)&gt;0,"Y",""),"")</f>
        <v/>
      </c>
      <c r="H27" s="239" t="str">
        <f>IFERROR(IF(VLOOKUP(TableHandbook[[#This Row],[UDC]],TableAvailabilities[],3,FALSE)&gt;0,"Y",""),"")</f>
        <v/>
      </c>
      <c r="I27" s="239" t="str">
        <f>IFERROR(IF(VLOOKUP(TableHandbook[[#This Row],[UDC]],TableAvailabilities[],4,FALSE)&gt;0,"Y",""),"")</f>
        <v/>
      </c>
      <c r="J27" s="239" t="str">
        <f>IFERROR(IF(VLOOKUP(TableHandbook[[#This Row],[UDC]],TableAvailabilities[],5,FALSE)&gt;0,"Y",""),"")</f>
        <v>Y</v>
      </c>
      <c r="K27" s="2"/>
      <c r="L27" s="242" t="str">
        <f>IFERROR(VLOOKUP(TableHandbook[[#This Row],[UDC]],TableOMTEACH1[],7,FALSE),"")</f>
        <v/>
      </c>
      <c r="M27" s="240" t="str">
        <f>IFERROR(VLOOKUP(TableHandbook[[#This Row],[UDC]],TableOUMPTCHEC[],7,FALSE),"")</f>
        <v/>
      </c>
      <c r="N27" s="240" t="str">
        <f>IFERROR(VLOOKUP(TableHandbook[[#This Row],[UDC]],TableOUMPTCHPE[],7,FALSE),"")</f>
        <v>Core</v>
      </c>
      <c r="O27" s="240" t="str">
        <f>IFERROR(VLOOKUP(TableHandbook[[#This Row],[UDC]],TableOUMPTCHSE[],7,FALSE),"")</f>
        <v/>
      </c>
      <c r="P27" s="242" t="str">
        <f>IFERROR(VLOOKUP(TableHandbook[[#This Row],[UDC]],TableOCTESOL1[],7,FALSE),"")</f>
        <v/>
      </c>
      <c r="Q27" s="240" t="str">
        <f>IFERROR(VLOOKUP(TableHandbook[[#This Row],[UDC]],TableOCTESOL[],7,FALSE),"")</f>
        <v/>
      </c>
      <c r="R27" s="240" t="str">
        <f>IFERROR(VLOOKUP(TableHandbook[[#This Row],[UDC]],TableOMAPLING[],7,FALSE),"")</f>
        <v/>
      </c>
      <c r="S27" s="242" t="str">
        <f>IFERROR(VLOOKUP(TableHandbook[[#This Row],[UDC]],TableOCEDHE1[],7,FALSE),"")</f>
        <v/>
      </c>
      <c r="T27" s="240" t="str">
        <f>IFERROR(VLOOKUP(TableHandbook[[#This Row],[UDC]],TableOCEDHE[],7,FALSE),"")</f>
        <v/>
      </c>
      <c r="U27" s="240" t="str">
        <f>IFERROR(VLOOKUP(TableHandbook[[#This Row],[UDC]],TableOCEDUCS1[],7,FALSE),"")</f>
        <v>Option</v>
      </c>
      <c r="V27" s="240" t="str">
        <f>IFERROR(VLOOKUP(TableHandbook[[#This Row],[UDC]],TableOCEDUC[],7,FALSE),"")</f>
        <v>Option</v>
      </c>
      <c r="W27" s="240" t="str">
        <f>IFERROR(VLOOKUP(TableHandbook[[#This Row],[UDC]],TableOGEDUC[],7,FALSE),"")</f>
        <v/>
      </c>
      <c r="X27" s="240" t="str">
        <f>IFERROR(VLOOKUP(TableHandbook[[#This Row],[UDC]],TableOUMPEDUPR[],7,FALSE),"")</f>
        <v/>
      </c>
      <c r="Y27" s="240" t="str">
        <f>IFERROR(VLOOKUP(TableHandbook[[#This Row],[UDC]],TableOUMPEDUSC[],7,FALSE),"")</f>
        <v/>
      </c>
      <c r="Z27" s="242" t="str">
        <f>IFERROR(VLOOKUP(TableHandbook[[#This Row],[UDC]],TableOMEDUC[],7,FALSE),"")</f>
        <v/>
      </c>
      <c r="AA27" s="240" t="str">
        <f>IFERROR(VLOOKUP(TableHandbook[[#This Row],[UDC]],TableOSEPCULIN[],7,FALSE),"")</f>
        <v/>
      </c>
      <c r="AB27" s="240" t="str">
        <f>IFERROR(VLOOKUP(TableHandbook[[#This Row],[UDC]],TableOSEPLNTCH[],7,FALSE),"")</f>
        <v/>
      </c>
      <c r="AC27" s="240" t="str">
        <f>IFERROR(VLOOKUP(TableHandbook[[#This Row],[UDC]],TableOSEPSTEME[],7,FALSE),"")</f>
        <v/>
      </c>
    </row>
    <row r="28" spans="1:29" x14ac:dyDescent="0.25">
      <c r="A28" s="2" t="s">
        <v>121</v>
      </c>
      <c r="B28" s="3">
        <v>1</v>
      </c>
      <c r="C28" s="3" t="s">
        <v>401</v>
      </c>
      <c r="D28" s="2" t="s">
        <v>402</v>
      </c>
      <c r="E28" s="3">
        <v>25</v>
      </c>
      <c r="F28" s="275" t="s">
        <v>389</v>
      </c>
      <c r="G28" s="239" t="str">
        <f>IFERROR(IF(VLOOKUP(TableHandbook[[#This Row],[UDC]],TableAvailabilities[],2,FALSE)&gt;0,"Y",""),"")</f>
        <v/>
      </c>
      <c r="H28" s="239" t="str">
        <f>IFERROR(IF(VLOOKUP(TableHandbook[[#This Row],[UDC]],TableAvailabilities[],3,FALSE)&gt;0,"Y",""),"")</f>
        <v/>
      </c>
      <c r="I28" s="239" t="str">
        <f>IFERROR(IF(VLOOKUP(TableHandbook[[#This Row],[UDC]],TableAvailabilities[],4,FALSE)&gt;0,"Y",""),"")</f>
        <v>Y</v>
      </c>
      <c r="J28" s="239" t="str">
        <f>IFERROR(IF(VLOOKUP(TableHandbook[[#This Row],[UDC]],TableAvailabilities[],5,FALSE)&gt;0,"Y",""),"")</f>
        <v/>
      </c>
      <c r="K28" s="2"/>
      <c r="L28" s="242" t="str">
        <f>IFERROR(VLOOKUP(TableHandbook[[#This Row],[UDC]],TableOMTEACH1[],7,FALSE),"")</f>
        <v/>
      </c>
      <c r="M28" s="240" t="str">
        <f>IFERROR(VLOOKUP(TableHandbook[[#This Row],[UDC]],TableOUMPTCHEC[],7,FALSE),"")</f>
        <v/>
      </c>
      <c r="N28" s="240" t="str">
        <f>IFERROR(VLOOKUP(TableHandbook[[#This Row],[UDC]],TableOUMPTCHPE[],7,FALSE),"")</f>
        <v>Core</v>
      </c>
      <c r="O28" s="240" t="str">
        <f>IFERROR(VLOOKUP(TableHandbook[[#This Row],[UDC]],TableOUMPTCHSE[],7,FALSE),"")</f>
        <v/>
      </c>
      <c r="P28" s="242" t="str">
        <f>IFERROR(VLOOKUP(TableHandbook[[#This Row],[UDC]],TableOCTESOL1[],7,FALSE),"")</f>
        <v/>
      </c>
      <c r="Q28" s="240" t="str">
        <f>IFERROR(VLOOKUP(TableHandbook[[#This Row],[UDC]],TableOCTESOL[],7,FALSE),"")</f>
        <v/>
      </c>
      <c r="R28" s="240" t="str">
        <f>IFERROR(VLOOKUP(TableHandbook[[#This Row],[UDC]],TableOMAPLING[],7,FALSE),"")</f>
        <v/>
      </c>
      <c r="S28" s="242" t="str">
        <f>IFERROR(VLOOKUP(TableHandbook[[#This Row],[UDC]],TableOCEDHE1[],7,FALSE),"")</f>
        <v/>
      </c>
      <c r="T28" s="240" t="str">
        <f>IFERROR(VLOOKUP(TableHandbook[[#This Row],[UDC]],TableOCEDHE[],7,FALSE),"")</f>
        <v/>
      </c>
      <c r="U28" s="240" t="str">
        <f>IFERROR(VLOOKUP(TableHandbook[[#This Row],[UDC]],TableOCEDUCS1[],7,FALSE),"")</f>
        <v/>
      </c>
      <c r="V28" s="240" t="str">
        <f>IFERROR(VLOOKUP(TableHandbook[[#This Row],[UDC]],TableOCEDUC[],7,FALSE),"")</f>
        <v/>
      </c>
      <c r="W28" s="240" t="str">
        <f>IFERROR(VLOOKUP(TableHandbook[[#This Row],[UDC]],TableOGEDUC[],7,FALSE),"")</f>
        <v/>
      </c>
      <c r="X28" s="240" t="str">
        <f>IFERROR(VLOOKUP(TableHandbook[[#This Row],[UDC]],TableOUMPEDUPR[],7,FALSE),"")</f>
        <v/>
      </c>
      <c r="Y28" s="240" t="str">
        <f>IFERROR(VLOOKUP(TableHandbook[[#This Row],[UDC]],TableOUMPEDUSC[],7,FALSE),"")</f>
        <v/>
      </c>
      <c r="Z28" s="242" t="str">
        <f>IFERROR(VLOOKUP(TableHandbook[[#This Row],[UDC]],TableOMEDUC[],7,FALSE),"")</f>
        <v/>
      </c>
      <c r="AA28" s="240" t="str">
        <f>IFERROR(VLOOKUP(TableHandbook[[#This Row],[UDC]],TableOSEPCULIN[],7,FALSE),"")</f>
        <v/>
      </c>
      <c r="AB28" s="240" t="str">
        <f>IFERROR(VLOOKUP(TableHandbook[[#This Row],[UDC]],TableOSEPLNTCH[],7,FALSE),"")</f>
        <v/>
      </c>
      <c r="AC28" s="240" t="str">
        <f>IFERROR(VLOOKUP(TableHandbook[[#This Row],[UDC]],TableOSEPSTEME[],7,FALSE),"")</f>
        <v/>
      </c>
    </row>
    <row r="29" spans="1:29" x14ac:dyDescent="0.25">
      <c r="A29" s="2" t="s">
        <v>281</v>
      </c>
      <c r="B29" s="3">
        <v>1</v>
      </c>
      <c r="C29" s="3" t="s">
        <v>403</v>
      </c>
      <c r="D29" s="2" t="s">
        <v>404</v>
      </c>
      <c r="E29" s="3">
        <v>25</v>
      </c>
      <c r="F29" s="237" t="s">
        <v>357</v>
      </c>
      <c r="G29" s="239" t="str">
        <f>IFERROR(IF(VLOOKUP(TableHandbook[[#This Row],[UDC]],TableAvailabilities[],2,FALSE)&gt;0,"Y",""),"")</f>
        <v>Y</v>
      </c>
      <c r="H29" s="239" t="str">
        <f>IFERROR(IF(VLOOKUP(TableHandbook[[#This Row],[UDC]],TableAvailabilities[],3,FALSE)&gt;0,"Y",""),"")</f>
        <v>Y</v>
      </c>
      <c r="I29" s="239" t="str">
        <f>IFERROR(IF(VLOOKUP(TableHandbook[[#This Row],[UDC]],TableAvailabilities[],4,FALSE)&gt;0,"Y",""),"")</f>
        <v/>
      </c>
      <c r="J29" s="239" t="str">
        <f>IFERROR(IF(VLOOKUP(TableHandbook[[#This Row],[UDC]],TableAvailabilities[],5,FALSE)&gt;0,"Y",""),"")</f>
        <v/>
      </c>
      <c r="K29" s="2"/>
      <c r="L29" s="242" t="str">
        <f>IFERROR(VLOOKUP(TableHandbook[[#This Row],[UDC]],TableOMTEACH1[],7,FALSE),"")</f>
        <v/>
      </c>
      <c r="M29" s="240" t="str">
        <f>IFERROR(VLOOKUP(TableHandbook[[#This Row],[UDC]],TableOUMPTCHEC[],7,FALSE),"")</f>
        <v/>
      </c>
      <c r="N29" s="240" t="str">
        <f>IFERROR(VLOOKUP(TableHandbook[[#This Row],[UDC]],TableOUMPTCHPE[],7,FALSE),"")</f>
        <v/>
      </c>
      <c r="O29" s="240" t="str">
        <f>IFERROR(VLOOKUP(TableHandbook[[#This Row],[UDC]],TableOUMPTCHSE[],7,FALSE),"")</f>
        <v>Core</v>
      </c>
      <c r="P29" s="242" t="str">
        <f>IFERROR(VLOOKUP(TableHandbook[[#This Row],[UDC]],TableOCTESOL1[],7,FALSE),"")</f>
        <v/>
      </c>
      <c r="Q29" s="240" t="str">
        <f>IFERROR(VLOOKUP(TableHandbook[[#This Row],[UDC]],TableOCTESOL[],7,FALSE),"")</f>
        <v/>
      </c>
      <c r="R29" s="240" t="str">
        <f>IFERROR(VLOOKUP(TableHandbook[[#This Row],[UDC]],TableOMAPLING[],7,FALSE),"")</f>
        <v/>
      </c>
      <c r="S29" s="242" t="str">
        <f>IFERROR(VLOOKUP(TableHandbook[[#This Row],[UDC]],TableOCEDHE1[],7,FALSE),"")</f>
        <v/>
      </c>
      <c r="T29" s="240" t="str">
        <f>IFERROR(VLOOKUP(TableHandbook[[#This Row],[UDC]],TableOCEDHE[],7,FALSE),"")</f>
        <v/>
      </c>
      <c r="U29" s="240" t="str">
        <f>IFERROR(VLOOKUP(TableHandbook[[#This Row],[UDC]],TableOCEDUCS1[],7,FALSE),"")</f>
        <v/>
      </c>
      <c r="V29" s="240" t="str">
        <f>IFERROR(VLOOKUP(TableHandbook[[#This Row],[UDC]],TableOCEDUC[],7,FALSE),"")</f>
        <v/>
      </c>
      <c r="W29" s="240" t="str">
        <f>IFERROR(VLOOKUP(TableHandbook[[#This Row],[UDC]],TableOGEDUC[],7,FALSE),"")</f>
        <v/>
      </c>
      <c r="X29" s="240" t="str">
        <f>IFERROR(VLOOKUP(TableHandbook[[#This Row],[UDC]],TableOUMPEDUPR[],7,FALSE),"")</f>
        <v/>
      </c>
      <c r="Y29" s="240" t="str">
        <f>IFERROR(VLOOKUP(TableHandbook[[#This Row],[UDC]],TableOUMPEDUSC[],7,FALSE),"")</f>
        <v>Core</v>
      </c>
      <c r="Z29" s="242" t="str">
        <f>IFERROR(VLOOKUP(TableHandbook[[#This Row],[UDC]],TableOMEDUC[],7,FALSE),"")</f>
        <v/>
      </c>
      <c r="AA29" s="240" t="str">
        <f>IFERROR(VLOOKUP(TableHandbook[[#This Row],[UDC]],TableOSEPCULIN[],7,FALSE),"")</f>
        <v/>
      </c>
      <c r="AB29" s="240" t="str">
        <f>IFERROR(VLOOKUP(TableHandbook[[#This Row],[UDC]],TableOSEPLNTCH[],7,FALSE),"")</f>
        <v/>
      </c>
      <c r="AC29" s="240" t="str">
        <f>IFERROR(VLOOKUP(TableHandbook[[#This Row],[UDC]],TableOSEPSTEME[],7,FALSE),"")</f>
        <v/>
      </c>
    </row>
    <row r="30" spans="1:29" x14ac:dyDescent="0.25">
      <c r="A30" s="2" t="s">
        <v>282</v>
      </c>
      <c r="B30" s="3">
        <v>1</v>
      </c>
      <c r="C30" s="3" t="s">
        <v>405</v>
      </c>
      <c r="D30" s="2" t="s">
        <v>406</v>
      </c>
      <c r="E30" s="3">
        <v>25</v>
      </c>
      <c r="F30" s="237" t="s">
        <v>357</v>
      </c>
      <c r="G30" s="239" t="str">
        <f>IFERROR(IF(VLOOKUP(TableHandbook[[#This Row],[UDC]],TableAvailabilities[],2,FALSE)&gt;0,"Y",""),"")</f>
        <v/>
      </c>
      <c r="H30" s="239" t="str">
        <f>IFERROR(IF(VLOOKUP(TableHandbook[[#This Row],[UDC]],TableAvailabilities[],3,FALSE)&gt;0,"Y",""),"")</f>
        <v>Y</v>
      </c>
      <c r="I30" s="239" t="str">
        <f>IFERROR(IF(VLOOKUP(TableHandbook[[#This Row],[UDC]],TableAvailabilities[],4,FALSE)&gt;0,"Y",""),"")</f>
        <v/>
      </c>
      <c r="J30" s="239" t="str">
        <f>IFERROR(IF(VLOOKUP(TableHandbook[[#This Row],[UDC]],TableAvailabilities[],5,FALSE)&gt;0,"Y",""),"")</f>
        <v>Y</v>
      </c>
      <c r="K30" s="2"/>
      <c r="L30" s="242" t="str">
        <f>IFERROR(VLOOKUP(TableHandbook[[#This Row],[UDC]],TableOMTEACH1[],7,FALSE),"")</f>
        <v/>
      </c>
      <c r="M30" s="240" t="str">
        <f>IFERROR(VLOOKUP(TableHandbook[[#This Row],[UDC]],TableOUMPTCHEC[],7,FALSE),"")</f>
        <v/>
      </c>
      <c r="N30" s="240" t="str">
        <f>IFERROR(VLOOKUP(TableHandbook[[#This Row],[UDC]],TableOUMPTCHPE[],7,FALSE),"")</f>
        <v/>
      </c>
      <c r="O30" s="240" t="str">
        <f>IFERROR(VLOOKUP(TableHandbook[[#This Row],[UDC]],TableOUMPTCHSE[],7,FALSE),"")</f>
        <v>Core</v>
      </c>
      <c r="P30" s="242" t="str">
        <f>IFERROR(VLOOKUP(TableHandbook[[#This Row],[UDC]],TableOCTESOL1[],7,FALSE),"")</f>
        <v/>
      </c>
      <c r="Q30" s="240" t="str">
        <f>IFERROR(VLOOKUP(TableHandbook[[#This Row],[UDC]],TableOCTESOL[],7,FALSE),"")</f>
        <v/>
      </c>
      <c r="R30" s="240" t="str">
        <f>IFERROR(VLOOKUP(TableHandbook[[#This Row],[UDC]],TableOMAPLING[],7,FALSE),"")</f>
        <v/>
      </c>
      <c r="S30" s="242" t="str">
        <f>IFERROR(VLOOKUP(TableHandbook[[#This Row],[UDC]],TableOCEDHE1[],7,FALSE),"")</f>
        <v/>
      </c>
      <c r="T30" s="240" t="str">
        <f>IFERROR(VLOOKUP(TableHandbook[[#This Row],[UDC]],TableOCEDHE[],7,FALSE),"")</f>
        <v/>
      </c>
      <c r="U30" s="240" t="str">
        <f>IFERROR(VLOOKUP(TableHandbook[[#This Row],[UDC]],TableOCEDUCS1[],7,FALSE),"")</f>
        <v/>
      </c>
      <c r="V30" s="240" t="str">
        <f>IFERROR(VLOOKUP(TableHandbook[[#This Row],[UDC]],TableOCEDUC[],7,FALSE),"")</f>
        <v/>
      </c>
      <c r="W30" s="240" t="str">
        <f>IFERROR(VLOOKUP(TableHandbook[[#This Row],[UDC]],TableOGEDUC[],7,FALSE),"")</f>
        <v/>
      </c>
      <c r="X30" s="240" t="str">
        <f>IFERROR(VLOOKUP(TableHandbook[[#This Row],[UDC]],TableOUMPEDUPR[],7,FALSE),"")</f>
        <v/>
      </c>
      <c r="Y30" s="240" t="str">
        <f>IFERROR(VLOOKUP(TableHandbook[[#This Row],[UDC]],TableOUMPEDUSC[],7,FALSE),"")</f>
        <v/>
      </c>
      <c r="Z30" s="242" t="str">
        <f>IFERROR(VLOOKUP(TableHandbook[[#This Row],[UDC]],TableOMEDUC[],7,FALSE),"")</f>
        <v/>
      </c>
      <c r="AA30" s="240" t="str">
        <f>IFERROR(VLOOKUP(TableHandbook[[#This Row],[UDC]],TableOSEPCULIN[],7,FALSE),"")</f>
        <v/>
      </c>
      <c r="AB30" s="240" t="str">
        <f>IFERROR(VLOOKUP(TableHandbook[[#This Row],[UDC]],TableOSEPLNTCH[],7,FALSE),"")</f>
        <v/>
      </c>
      <c r="AC30" s="240" t="str">
        <f>IFERROR(VLOOKUP(TableHandbook[[#This Row],[UDC]],TableOSEPSTEME[],7,FALSE),"")</f>
        <v/>
      </c>
    </row>
    <row r="31" spans="1:29" x14ac:dyDescent="0.25">
      <c r="A31" s="2" t="s">
        <v>290</v>
      </c>
      <c r="B31" s="3">
        <v>1</v>
      </c>
      <c r="C31" s="3" t="s">
        <v>407</v>
      </c>
      <c r="D31" s="2" t="s">
        <v>408</v>
      </c>
      <c r="E31" s="3">
        <v>25</v>
      </c>
      <c r="F31" s="237" t="s">
        <v>357</v>
      </c>
      <c r="G31" s="239" t="str">
        <f>IFERROR(IF(VLOOKUP(TableHandbook[[#This Row],[UDC]],TableAvailabilities[],2,FALSE)&gt;0,"Y",""),"")</f>
        <v>Y</v>
      </c>
      <c r="H31" s="239" t="str">
        <f>IFERROR(IF(VLOOKUP(TableHandbook[[#This Row],[UDC]],TableAvailabilities[],3,FALSE)&gt;0,"Y",""),"")</f>
        <v>Y</v>
      </c>
      <c r="I31" s="239" t="str">
        <f>IFERROR(IF(VLOOKUP(TableHandbook[[#This Row],[UDC]],TableAvailabilities[],4,FALSE)&gt;0,"Y",""),"")</f>
        <v/>
      </c>
      <c r="J31" s="239" t="str">
        <f>IFERROR(IF(VLOOKUP(TableHandbook[[#This Row],[UDC]],TableAvailabilities[],5,FALSE)&gt;0,"Y",""),"")</f>
        <v/>
      </c>
      <c r="K31" s="2"/>
      <c r="L31" s="242" t="str">
        <f>IFERROR(VLOOKUP(TableHandbook[[#This Row],[UDC]],TableOMTEACH1[],7,FALSE),"")</f>
        <v/>
      </c>
      <c r="M31" s="240" t="str">
        <f>IFERROR(VLOOKUP(TableHandbook[[#This Row],[UDC]],TableOUMPTCHEC[],7,FALSE),"")</f>
        <v/>
      </c>
      <c r="N31" s="240" t="str">
        <f>IFERROR(VLOOKUP(TableHandbook[[#This Row],[UDC]],TableOUMPTCHPE[],7,FALSE),"")</f>
        <v/>
      </c>
      <c r="O31" s="240" t="str">
        <f>IFERROR(VLOOKUP(TableHandbook[[#This Row],[UDC]],TableOUMPTCHSE[],7,FALSE),"")</f>
        <v>Core</v>
      </c>
      <c r="P31" s="242" t="str">
        <f>IFERROR(VLOOKUP(TableHandbook[[#This Row],[UDC]],TableOCTESOL1[],7,FALSE),"")</f>
        <v/>
      </c>
      <c r="Q31" s="240" t="str">
        <f>IFERROR(VLOOKUP(TableHandbook[[#This Row],[UDC]],TableOCTESOL[],7,FALSE),"")</f>
        <v/>
      </c>
      <c r="R31" s="240" t="str">
        <f>IFERROR(VLOOKUP(TableHandbook[[#This Row],[UDC]],TableOMAPLING[],7,FALSE),"")</f>
        <v/>
      </c>
      <c r="S31" s="242" t="str">
        <f>IFERROR(VLOOKUP(TableHandbook[[#This Row],[UDC]],TableOCEDHE1[],7,FALSE),"")</f>
        <v/>
      </c>
      <c r="T31" s="240" t="str">
        <f>IFERROR(VLOOKUP(TableHandbook[[#This Row],[UDC]],TableOCEDHE[],7,FALSE),"")</f>
        <v/>
      </c>
      <c r="U31" s="240" t="str">
        <f>IFERROR(VLOOKUP(TableHandbook[[#This Row],[UDC]],TableOCEDUCS1[],7,FALSE),"")</f>
        <v/>
      </c>
      <c r="V31" s="240" t="str">
        <f>IFERROR(VLOOKUP(TableHandbook[[#This Row],[UDC]],TableOCEDUC[],7,FALSE),"")</f>
        <v/>
      </c>
      <c r="W31" s="240" t="str">
        <f>IFERROR(VLOOKUP(TableHandbook[[#This Row],[UDC]],TableOGEDUC[],7,FALSE),"")</f>
        <v/>
      </c>
      <c r="X31" s="240" t="str">
        <f>IFERROR(VLOOKUP(TableHandbook[[#This Row],[UDC]],TableOUMPEDUPR[],7,FALSE),"")</f>
        <v/>
      </c>
      <c r="Y31" s="240" t="str">
        <f>IFERROR(VLOOKUP(TableHandbook[[#This Row],[UDC]],TableOUMPEDUSC[],7,FALSE),"")</f>
        <v>Core</v>
      </c>
      <c r="Z31" s="242" t="str">
        <f>IFERROR(VLOOKUP(TableHandbook[[#This Row],[UDC]],TableOMEDUC[],7,FALSE),"")</f>
        <v/>
      </c>
      <c r="AA31" s="240" t="str">
        <f>IFERROR(VLOOKUP(TableHandbook[[#This Row],[UDC]],TableOSEPCULIN[],7,FALSE),"")</f>
        <v/>
      </c>
      <c r="AB31" s="240" t="str">
        <f>IFERROR(VLOOKUP(TableHandbook[[#This Row],[UDC]],TableOSEPLNTCH[],7,FALSE),"")</f>
        <v/>
      </c>
      <c r="AC31" s="240" t="str">
        <f>IFERROR(VLOOKUP(TableHandbook[[#This Row],[UDC]],TableOSEPSTEME[],7,FALSE),"")</f>
        <v/>
      </c>
    </row>
    <row r="32" spans="1:29" x14ac:dyDescent="0.25">
      <c r="A32" s="2" t="s">
        <v>262</v>
      </c>
      <c r="B32" s="3">
        <v>1</v>
      </c>
      <c r="C32" s="3" t="s">
        <v>409</v>
      </c>
      <c r="D32" s="2" t="s">
        <v>410</v>
      </c>
      <c r="E32" s="3">
        <v>25</v>
      </c>
      <c r="F32" s="237" t="s">
        <v>357</v>
      </c>
      <c r="G32" s="239" t="str">
        <f>IFERROR(IF(VLOOKUP(TableHandbook[[#This Row],[UDC]],TableAvailabilities[],2,FALSE)&gt;0,"Y",""),"")</f>
        <v>Y</v>
      </c>
      <c r="H32" s="239" t="str">
        <f>IFERROR(IF(VLOOKUP(TableHandbook[[#This Row],[UDC]],TableAvailabilities[],3,FALSE)&gt;0,"Y",""),"")</f>
        <v/>
      </c>
      <c r="I32" s="239" t="str">
        <f>IFERROR(IF(VLOOKUP(TableHandbook[[#This Row],[UDC]],TableAvailabilities[],4,FALSE)&gt;0,"Y",""),"")</f>
        <v>Y</v>
      </c>
      <c r="J32" s="239" t="str">
        <f>IFERROR(IF(VLOOKUP(TableHandbook[[#This Row],[UDC]],TableAvailabilities[],5,FALSE)&gt;0,"Y",""),"")</f>
        <v/>
      </c>
      <c r="K32" s="2"/>
      <c r="L32" s="242" t="str">
        <f>IFERROR(VLOOKUP(TableHandbook[[#This Row],[UDC]],TableOMTEACH1[],7,FALSE),"")</f>
        <v/>
      </c>
      <c r="M32" s="240" t="str">
        <f>IFERROR(VLOOKUP(TableHandbook[[#This Row],[UDC]],TableOUMPTCHEC[],7,FALSE),"")</f>
        <v/>
      </c>
      <c r="N32" s="240" t="str">
        <f>IFERROR(VLOOKUP(TableHandbook[[#This Row],[UDC]],TableOUMPTCHPE[],7,FALSE),"")</f>
        <v/>
      </c>
      <c r="O32" s="240" t="str">
        <f>IFERROR(VLOOKUP(TableHandbook[[#This Row],[UDC]],TableOUMPTCHSE[],7,FALSE),"")</f>
        <v>Core</v>
      </c>
      <c r="P32" s="242" t="str">
        <f>IFERROR(VLOOKUP(TableHandbook[[#This Row],[UDC]],TableOCTESOL1[],7,FALSE),"")</f>
        <v/>
      </c>
      <c r="Q32" s="240" t="str">
        <f>IFERROR(VLOOKUP(TableHandbook[[#This Row],[UDC]],TableOCTESOL[],7,FALSE),"")</f>
        <v/>
      </c>
      <c r="R32" s="240" t="str">
        <f>IFERROR(VLOOKUP(TableHandbook[[#This Row],[UDC]],TableOMAPLING[],7,FALSE),"")</f>
        <v/>
      </c>
      <c r="S32" s="242" t="str">
        <f>IFERROR(VLOOKUP(TableHandbook[[#This Row],[UDC]],TableOCEDHE1[],7,FALSE),"")</f>
        <v/>
      </c>
      <c r="T32" s="240" t="str">
        <f>IFERROR(VLOOKUP(TableHandbook[[#This Row],[UDC]],TableOCEDHE[],7,FALSE),"")</f>
        <v/>
      </c>
      <c r="U32" s="240" t="str">
        <f>IFERROR(VLOOKUP(TableHandbook[[#This Row],[UDC]],TableOCEDUCS1[],7,FALSE),"")</f>
        <v>Option</v>
      </c>
      <c r="V32" s="240" t="str">
        <f>IFERROR(VLOOKUP(TableHandbook[[#This Row],[UDC]],TableOCEDUC[],7,FALSE),"")</f>
        <v>Option</v>
      </c>
      <c r="W32" s="240" t="str">
        <f>IFERROR(VLOOKUP(TableHandbook[[#This Row],[UDC]],TableOGEDUC[],7,FALSE),"")</f>
        <v/>
      </c>
      <c r="X32" s="240" t="str">
        <f>IFERROR(VLOOKUP(TableHandbook[[#This Row],[UDC]],TableOUMPEDUPR[],7,FALSE),"")</f>
        <v/>
      </c>
      <c r="Y32" s="240" t="str">
        <f>IFERROR(VLOOKUP(TableHandbook[[#This Row],[UDC]],TableOUMPEDUSC[],7,FALSE),"")</f>
        <v/>
      </c>
      <c r="Z32" s="242" t="str">
        <f>IFERROR(VLOOKUP(TableHandbook[[#This Row],[UDC]],TableOMEDUC[],7,FALSE),"")</f>
        <v/>
      </c>
      <c r="AA32" s="240" t="str">
        <f>IFERROR(VLOOKUP(TableHandbook[[#This Row],[UDC]],TableOSEPCULIN[],7,FALSE),"")</f>
        <v/>
      </c>
      <c r="AB32" s="240" t="str">
        <f>IFERROR(VLOOKUP(TableHandbook[[#This Row],[UDC]],TableOSEPLNTCH[],7,FALSE),"")</f>
        <v/>
      </c>
      <c r="AC32" s="240" t="str">
        <f>IFERROR(VLOOKUP(TableHandbook[[#This Row],[UDC]],TableOSEPSTEME[],7,FALSE),"")</f>
        <v/>
      </c>
    </row>
    <row r="33" spans="1:29" x14ac:dyDescent="0.25">
      <c r="A33" s="2" t="s">
        <v>315</v>
      </c>
      <c r="B33" s="3">
        <v>1</v>
      </c>
      <c r="C33" s="3" t="s">
        <v>411</v>
      </c>
      <c r="D33" s="2" t="s">
        <v>412</v>
      </c>
      <c r="E33" s="3">
        <v>25</v>
      </c>
      <c r="F33" s="237" t="s">
        <v>357</v>
      </c>
      <c r="G33" s="239" t="str">
        <f>IFERROR(IF(VLOOKUP(TableHandbook[[#This Row],[UDC]],TableAvailabilities[],2,FALSE)&gt;0,"Y",""),"")</f>
        <v/>
      </c>
      <c r="H33" s="239" t="str">
        <f>IFERROR(IF(VLOOKUP(TableHandbook[[#This Row],[UDC]],TableAvailabilities[],3,FALSE)&gt;0,"Y",""),"")</f>
        <v>Y</v>
      </c>
      <c r="I33" s="239" t="str">
        <f>IFERROR(IF(VLOOKUP(TableHandbook[[#This Row],[UDC]],TableAvailabilities[],4,FALSE)&gt;0,"Y",""),"")</f>
        <v/>
      </c>
      <c r="J33" s="239" t="str">
        <f>IFERROR(IF(VLOOKUP(TableHandbook[[#This Row],[UDC]],TableAvailabilities[],5,FALSE)&gt;0,"Y",""),"")</f>
        <v>Y</v>
      </c>
      <c r="K33" s="2"/>
      <c r="L33" s="242" t="str">
        <f>IFERROR(VLOOKUP(TableHandbook[[#This Row],[UDC]],TableOMTEACH1[],7,FALSE),"")</f>
        <v/>
      </c>
      <c r="M33" s="240" t="str">
        <f>IFERROR(VLOOKUP(TableHandbook[[#This Row],[UDC]],TableOUMPTCHEC[],7,FALSE),"")</f>
        <v/>
      </c>
      <c r="N33" s="240" t="str">
        <f>IFERROR(VLOOKUP(TableHandbook[[#This Row],[UDC]],TableOUMPTCHPE[],7,FALSE),"")</f>
        <v/>
      </c>
      <c r="O33" s="240" t="str">
        <f>IFERROR(VLOOKUP(TableHandbook[[#This Row],[UDC]],TableOUMPTCHSE[],7,FALSE),"")</f>
        <v>Option</v>
      </c>
      <c r="P33" s="242" t="str">
        <f>IFERROR(VLOOKUP(TableHandbook[[#This Row],[UDC]],TableOCTESOL1[],7,FALSE),"")</f>
        <v/>
      </c>
      <c r="Q33" s="240" t="str">
        <f>IFERROR(VLOOKUP(TableHandbook[[#This Row],[UDC]],TableOCTESOL[],7,FALSE),"")</f>
        <v/>
      </c>
      <c r="R33" s="240" t="str">
        <f>IFERROR(VLOOKUP(TableHandbook[[#This Row],[UDC]],TableOMAPLING[],7,FALSE),"")</f>
        <v/>
      </c>
      <c r="S33" s="242" t="str">
        <f>IFERROR(VLOOKUP(TableHandbook[[#This Row],[UDC]],TableOCEDHE1[],7,FALSE),"")</f>
        <v/>
      </c>
      <c r="T33" s="240" t="str">
        <f>IFERROR(VLOOKUP(TableHandbook[[#This Row],[UDC]],TableOCEDHE[],7,FALSE),"")</f>
        <v/>
      </c>
      <c r="U33" s="240" t="str">
        <f>IFERROR(VLOOKUP(TableHandbook[[#This Row],[UDC]],TableOCEDUCS1[],7,FALSE),"")</f>
        <v/>
      </c>
      <c r="V33" s="240" t="str">
        <f>IFERROR(VLOOKUP(TableHandbook[[#This Row],[UDC]],TableOCEDUC[],7,FALSE),"")</f>
        <v/>
      </c>
      <c r="W33" s="240" t="str">
        <f>IFERROR(VLOOKUP(TableHandbook[[#This Row],[UDC]],TableOGEDUC[],7,FALSE),"")</f>
        <v/>
      </c>
      <c r="X33" s="240" t="str">
        <f>IFERROR(VLOOKUP(TableHandbook[[#This Row],[UDC]],TableOUMPEDUPR[],7,FALSE),"")</f>
        <v/>
      </c>
      <c r="Y33" s="240" t="str">
        <f>IFERROR(VLOOKUP(TableHandbook[[#This Row],[UDC]],TableOUMPEDUSC[],7,FALSE),"")</f>
        <v>Option</v>
      </c>
      <c r="Z33" s="242" t="str">
        <f>IFERROR(VLOOKUP(TableHandbook[[#This Row],[UDC]],TableOMEDUC[],7,FALSE),"")</f>
        <v/>
      </c>
      <c r="AA33" s="240" t="str">
        <f>IFERROR(VLOOKUP(TableHandbook[[#This Row],[UDC]],TableOSEPCULIN[],7,FALSE),"")</f>
        <v/>
      </c>
      <c r="AB33" s="240" t="str">
        <f>IFERROR(VLOOKUP(TableHandbook[[#This Row],[UDC]],TableOSEPLNTCH[],7,FALSE),"")</f>
        <v/>
      </c>
      <c r="AC33" s="240" t="str">
        <f>IFERROR(VLOOKUP(TableHandbook[[#This Row],[UDC]],TableOSEPSTEME[],7,FALSE),"")</f>
        <v/>
      </c>
    </row>
    <row r="34" spans="1:29" x14ac:dyDescent="0.25">
      <c r="A34" s="2" t="s">
        <v>316</v>
      </c>
      <c r="B34" s="3">
        <v>1</v>
      </c>
      <c r="C34" s="3" t="s">
        <v>413</v>
      </c>
      <c r="D34" s="2" t="s">
        <v>414</v>
      </c>
      <c r="E34" s="3">
        <v>25</v>
      </c>
      <c r="F34" s="237" t="s">
        <v>357</v>
      </c>
      <c r="G34" s="239" t="str">
        <f>IFERROR(IF(VLOOKUP(TableHandbook[[#This Row],[UDC]],TableAvailabilities[],2,FALSE)&gt;0,"Y",""),"")</f>
        <v/>
      </c>
      <c r="H34" s="239" t="str">
        <f>IFERROR(IF(VLOOKUP(TableHandbook[[#This Row],[UDC]],TableAvailabilities[],3,FALSE)&gt;0,"Y",""),"")</f>
        <v>Y</v>
      </c>
      <c r="I34" s="239" t="str">
        <f>IFERROR(IF(VLOOKUP(TableHandbook[[#This Row],[UDC]],TableAvailabilities[],4,FALSE)&gt;0,"Y",""),"")</f>
        <v/>
      </c>
      <c r="J34" s="239" t="str">
        <f>IFERROR(IF(VLOOKUP(TableHandbook[[#This Row],[UDC]],TableAvailabilities[],5,FALSE)&gt;0,"Y",""),"")</f>
        <v>Y</v>
      </c>
      <c r="K34" s="2"/>
      <c r="L34" s="242" t="str">
        <f>IFERROR(VLOOKUP(TableHandbook[[#This Row],[UDC]],TableOMTEACH1[],7,FALSE),"")</f>
        <v/>
      </c>
      <c r="M34" s="240" t="str">
        <f>IFERROR(VLOOKUP(TableHandbook[[#This Row],[UDC]],TableOUMPTCHEC[],7,FALSE),"")</f>
        <v/>
      </c>
      <c r="N34" s="240" t="str">
        <f>IFERROR(VLOOKUP(TableHandbook[[#This Row],[UDC]],TableOUMPTCHPE[],7,FALSE),"")</f>
        <v/>
      </c>
      <c r="O34" s="240" t="str">
        <f>IFERROR(VLOOKUP(TableHandbook[[#This Row],[UDC]],TableOUMPTCHSE[],7,FALSE),"")</f>
        <v>Option</v>
      </c>
      <c r="P34" s="242" t="str">
        <f>IFERROR(VLOOKUP(TableHandbook[[#This Row],[UDC]],TableOCTESOL1[],7,FALSE),"")</f>
        <v/>
      </c>
      <c r="Q34" s="240" t="str">
        <f>IFERROR(VLOOKUP(TableHandbook[[#This Row],[UDC]],TableOCTESOL[],7,FALSE),"")</f>
        <v/>
      </c>
      <c r="R34" s="240" t="str">
        <f>IFERROR(VLOOKUP(TableHandbook[[#This Row],[UDC]],TableOMAPLING[],7,FALSE),"")</f>
        <v/>
      </c>
      <c r="S34" s="242" t="str">
        <f>IFERROR(VLOOKUP(TableHandbook[[#This Row],[UDC]],TableOCEDHE1[],7,FALSE),"")</f>
        <v/>
      </c>
      <c r="T34" s="240" t="str">
        <f>IFERROR(VLOOKUP(TableHandbook[[#This Row],[UDC]],TableOCEDHE[],7,FALSE),"")</f>
        <v/>
      </c>
      <c r="U34" s="240" t="str">
        <f>IFERROR(VLOOKUP(TableHandbook[[#This Row],[UDC]],TableOCEDUCS1[],7,FALSE),"")</f>
        <v/>
      </c>
      <c r="V34" s="240" t="str">
        <f>IFERROR(VLOOKUP(TableHandbook[[#This Row],[UDC]],TableOCEDUC[],7,FALSE),"")</f>
        <v/>
      </c>
      <c r="W34" s="240" t="str">
        <f>IFERROR(VLOOKUP(TableHandbook[[#This Row],[UDC]],TableOGEDUC[],7,FALSE),"")</f>
        <v/>
      </c>
      <c r="X34" s="240" t="str">
        <f>IFERROR(VLOOKUP(TableHandbook[[#This Row],[UDC]],TableOUMPEDUPR[],7,FALSE),"")</f>
        <v/>
      </c>
      <c r="Y34" s="240" t="str">
        <f>IFERROR(VLOOKUP(TableHandbook[[#This Row],[UDC]],TableOUMPEDUSC[],7,FALSE),"")</f>
        <v>Option</v>
      </c>
      <c r="Z34" s="242" t="str">
        <f>IFERROR(VLOOKUP(TableHandbook[[#This Row],[UDC]],TableOMEDUC[],7,FALSE),"")</f>
        <v/>
      </c>
      <c r="AA34" s="240" t="str">
        <f>IFERROR(VLOOKUP(TableHandbook[[#This Row],[UDC]],TableOSEPCULIN[],7,FALSE),"")</f>
        <v/>
      </c>
      <c r="AB34" s="240" t="str">
        <f>IFERROR(VLOOKUP(TableHandbook[[#This Row],[UDC]],TableOSEPLNTCH[],7,FALSE),"")</f>
        <v/>
      </c>
      <c r="AC34" s="240" t="str">
        <f>IFERROR(VLOOKUP(TableHandbook[[#This Row],[UDC]],TableOSEPSTEME[],7,FALSE),"")</f>
        <v/>
      </c>
    </row>
    <row r="35" spans="1:29" x14ac:dyDescent="0.25">
      <c r="A35" s="2" t="s">
        <v>318</v>
      </c>
      <c r="B35" s="3">
        <v>1</v>
      </c>
      <c r="C35" s="3" t="s">
        <v>415</v>
      </c>
      <c r="D35" s="2" t="s">
        <v>416</v>
      </c>
      <c r="E35" s="3">
        <v>25</v>
      </c>
      <c r="F35" s="237" t="s">
        <v>357</v>
      </c>
      <c r="G35" s="239" t="str">
        <f>IFERROR(IF(VLOOKUP(TableHandbook[[#This Row],[UDC]],TableAvailabilities[],2,FALSE)&gt;0,"Y",""),"")</f>
        <v/>
      </c>
      <c r="H35" s="239" t="str">
        <f>IFERROR(IF(VLOOKUP(TableHandbook[[#This Row],[UDC]],TableAvailabilities[],3,FALSE)&gt;0,"Y",""),"")</f>
        <v>Y</v>
      </c>
      <c r="I35" s="239" t="str">
        <f>IFERROR(IF(VLOOKUP(TableHandbook[[#This Row],[UDC]],TableAvailabilities[],4,FALSE)&gt;0,"Y",""),"")</f>
        <v/>
      </c>
      <c r="J35" s="239" t="str">
        <f>IFERROR(IF(VLOOKUP(TableHandbook[[#This Row],[UDC]],TableAvailabilities[],5,FALSE)&gt;0,"Y",""),"")</f>
        <v>Y</v>
      </c>
      <c r="K35" s="2"/>
      <c r="L35" s="242" t="str">
        <f>IFERROR(VLOOKUP(TableHandbook[[#This Row],[UDC]],TableOMTEACH1[],7,FALSE),"")</f>
        <v/>
      </c>
      <c r="M35" s="240" t="str">
        <f>IFERROR(VLOOKUP(TableHandbook[[#This Row],[UDC]],TableOUMPTCHEC[],7,FALSE),"")</f>
        <v/>
      </c>
      <c r="N35" s="240" t="str">
        <f>IFERROR(VLOOKUP(TableHandbook[[#This Row],[UDC]],TableOUMPTCHPE[],7,FALSE),"")</f>
        <v/>
      </c>
      <c r="O35" s="240" t="str">
        <f>IFERROR(VLOOKUP(TableHandbook[[#This Row],[UDC]],TableOUMPTCHSE[],7,FALSE),"")</f>
        <v>Option</v>
      </c>
      <c r="P35" s="242" t="str">
        <f>IFERROR(VLOOKUP(TableHandbook[[#This Row],[UDC]],TableOCTESOL1[],7,FALSE),"")</f>
        <v/>
      </c>
      <c r="Q35" s="240" t="str">
        <f>IFERROR(VLOOKUP(TableHandbook[[#This Row],[UDC]],TableOCTESOL[],7,FALSE),"")</f>
        <v/>
      </c>
      <c r="R35" s="240" t="str">
        <f>IFERROR(VLOOKUP(TableHandbook[[#This Row],[UDC]],TableOMAPLING[],7,FALSE),"")</f>
        <v/>
      </c>
      <c r="S35" s="242" t="str">
        <f>IFERROR(VLOOKUP(TableHandbook[[#This Row],[UDC]],TableOCEDHE1[],7,FALSE),"")</f>
        <v/>
      </c>
      <c r="T35" s="240" t="str">
        <f>IFERROR(VLOOKUP(TableHandbook[[#This Row],[UDC]],TableOCEDHE[],7,FALSE),"")</f>
        <v/>
      </c>
      <c r="U35" s="240" t="str">
        <f>IFERROR(VLOOKUP(TableHandbook[[#This Row],[UDC]],TableOCEDUCS1[],7,FALSE),"")</f>
        <v/>
      </c>
      <c r="V35" s="240" t="str">
        <f>IFERROR(VLOOKUP(TableHandbook[[#This Row],[UDC]],TableOCEDUC[],7,FALSE),"")</f>
        <v/>
      </c>
      <c r="W35" s="240" t="str">
        <f>IFERROR(VLOOKUP(TableHandbook[[#This Row],[UDC]],TableOGEDUC[],7,FALSE),"")</f>
        <v/>
      </c>
      <c r="X35" s="240" t="str">
        <f>IFERROR(VLOOKUP(TableHandbook[[#This Row],[UDC]],TableOUMPEDUPR[],7,FALSE),"")</f>
        <v/>
      </c>
      <c r="Y35" s="240" t="str">
        <f>IFERROR(VLOOKUP(TableHandbook[[#This Row],[UDC]],TableOUMPEDUSC[],7,FALSE),"")</f>
        <v>Option</v>
      </c>
      <c r="Z35" s="242" t="str">
        <f>IFERROR(VLOOKUP(TableHandbook[[#This Row],[UDC]],TableOMEDUC[],7,FALSE),"")</f>
        <v/>
      </c>
      <c r="AA35" s="240" t="str">
        <f>IFERROR(VLOOKUP(TableHandbook[[#This Row],[UDC]],TableOSEPCULIN[],7,FALSE),"")</f>
        <v/>
      </c>
      <c r="AB35" s="240" t="str">
        <f>IFERROR(VLOOKUP(TableHandbook[[#This Row],[UDC]],TableOSEPLNTCH[],7,FALSE),"")</f>
        <v/>
      </c>
      <c r="AC35" s="240" t="str">
        <f>IFERROR(VLOOKUP(TableHandbook[[#This Row],[UDC]],TableOSEPSTEME[],7,FALSE),"")</f>
        <v/>
      </c>
    </row>
    <row r="36" spans="1:29" x14ac:dyDescent="0.25">
      <c r="A36" s="2" t="s">
        <v>319</v>
      </c>
      <c r="B36" s="3">
        <v>1</v>
      </c>
      <c r="C36" s="3" t="s">
        <v>417</v>
      </c>
      <c r="D36" s="2" t="s">
        <v>418</v>
      </c>
      <c r="E36" s="3">
        <v>25</v>
      </c>
      <c r="F36" s="237" t="s">
        <v>357</v>
      </c>
      <c r="G36" s="239" t="str">
        <f>IFERROR(IF(VLOOKUP(TableHandbook[[#This Row],[UDC]],TableAvailabilities[],2,FALSE)&gt;0,"Y",""),"")</f>
        <v/>
      </c>
      <c r="H36" s="239" t="str">
        <f>IFERROR(IF(VLOOKUP(TableHandbook[[#This Row],[UDC]],TableAvailabilities[],3,FALSE)&gt;0,"Y",""),"")</f>
        <v>Y</v>
      </c>
      <c r="I36" s="239" t="str">
        <f>IFERROR(IF(VLOOKUP(TableHandbook[[#This Row],[UDC]],TableAvailabilities[],4,FALSE)&gt;0,"Y",""),"")</f>
        <v/>
      </c>
      <c r="J36" s="239" t="str">
        <f>IFERROR(IF(VLOOKUP(TableHandbook[[#This Row],[UDC]],TableAvailabilities[],5,FALSE)&gt;0,"Y",""),"")</f>
        <v>Y</v>
      </c>
      <c r="K36" s="2"/>
      <c r="L36" s="242" t="str">
        <f>IFERROR(VLOOKUP(TableHandbook[[#This Row],[UDC]],TableOMTEACH1[],7,FALSE),"")</f>
        <v/>
      </c>
      <c r="M36" s="240" t="str">
        <f>IFERROR(VLOOKUP(TableHandbook[[#This Row],[UDC]],TableOUMPTCHEC[],7,FALSE),"")</f>
        <v/>
      </c>
      <c r="N36" s="240" t="str">
        <f>IFERROR(VLOOKUP(TableHandbook[[#This Row],[UDC]],TableOUMPTCHPE[],7,FALSE),"")</f>
        <v/>
      </c>
      <c r="O36" s="240" t="str">
        <f>IFERROR(VLOOKUP(TableHandbook[[#This Row],[UDC]],TableOUMPTCHSE[],7,FALSE),"")</f>
        <v>Option</v>
      </c>
      <c r="P36" s="242" t="str">
        <f>IFERROR(VLOOKUP(TableHandbook[[#This Row],[UDC]],TableOCTESOL1[],7,FALSE),"")</f>
        <v/>
      </c>
      <c r="Q36" s="240" t="str">
        <f>IFERROR(VLOOKUP(TableHandbook[[#This Row],[UDC]],TableOCTESOL[],7,FALSE),"")</f>
        <v/>
      </c>
      <c r="R36" s="240" t="str">
        <f>IFERROR(VLOOKUP(TableHandbook[[#This Row],[UDC]],TableOMAPLING[],7,FALSE),"")</f>
        <v/>
      </c>
      <c r="S36" s="242" t="str">
        <f>IFERROR(VLOOKUP(TableHandbook[[#This Row],[UDC]],TableOCEDHE1[],7,FALSE),"")</f>
        <v/>
      </c>
      <c r="T36" s="240" t="str">
        <f>IFERROR(VLOOKUP(TableHandbook[[#This Row],[UDC]],TableOCEDHE[],7,FALSE),"")</f>
        <v/>
      </c>
      <c r="U36" s="240" t="str">
        <f>IFERROR(VLOOKUP(TableHandbook[[#This Row],[UDC]],TableOCEDUCS1[],7,FALSE),"")</f>
        <v/>
      </c>
      <c r="V36" s="240" t="str">
        <f>IFERROR(VLOOKUP(TableHandbook[[#This Row],[UDC]],TableOCEDUC[],7,FALSE),"")</f>
        <v/>
      </c>
      <c r="W36" s="240" t="str">
        <f>IFERROR(VLOOKUP(TableHandbook[[#This Row],[UDC]],TableOGEDUC[],7,FALSE),"")</f>
        <v/>
      </c>
      <c r="X36" s="240" t="str">
        <f>IFERROR(VLOOKUP(TableHandbook[[#This Row],[UDC]],TableOUMPEDUPR[],7,FALSE),"")</f>
        <v/>
      </c>
      <c r="Y36" s="240" t="str">
        <f>IFERROR(VLOOKUP(TableHandbook[[#This Row],[UDC]],TableOUMPEDUSC[],7,FALSE),"")</f>
        <v>Option</v>
      </c>
      <c r="Z36" s="242" t="str">
        <f>IFERROR(VLOOKUP(TableHandbook[[#This Row],[UDC]],TableOMEDUC[],7,FALSE),"")</f>
        <v/>
      </c>
      <c r="AA36" s="240" t="str">
        <f>IFERROR(VLOOKUP(TableHandbook[[#This Row],[UDC]],TableOSEPCULIN[],7,FALSE),"")</f>
        <v/>
      </c>
      <c r="AB36" s="240" t="str">
        <f>IFERROR(VLOOKUP(TableHandbook[[#This Row],[UDC]],TableOSEPLNTCH[],7,FALSE),"")</f>
        <v/>
      </c>
      <c r="AC36" s="240" t="str">
        <f>IFERROR(VLOOKUP(TableHandbook[[#This Row],[UDC]],TableOSEPSTEME[],7,FALSE),"")</f>
        <v/>
      </c>
    </row>
    <row r="37" spans="1:29" x14ac:dyDescent="0.25">
      <c r="A37" s="2" t="s">
        <v>320</v>
      </c>
      <c r="B37" s="3">
        <v>1</v>
      </c>
      <c r="C37" s="3" t="s">
        <v>419</v>
      </c>
      <c r="D37" s="2" t="s">
        <v>420</v>
      </c>
      <c r="E37" s="3">
        <v>25</v>
      </c>
      <c r="F37" s="237" t="s">
        <v>357</v>
      </c>
      <c r="G37" s="239" t="str">
        <f>IFERROR(IF(VLOOKUP(TableHandbook[[#This Row],[UDC]],TableAvailabilities[],2,FALSE)&gt;0,"Y",""),"")</f>
        <v/>
      </c>
      <c r="H37" s="239" t="str">
        <f>IFERROR(IF(VLOOKUP(TableHandbook[[#This Row],[UDC]],TableAvailabilities[],3,FALSE)&gt;0,"Y",""),"")</f>
        <v>Y</v>
      </c>
      <c r="I37" s="239" t="str">
        <f>IFERROR(IF(VLOOKUP(TableHandbook[[#This Row],[UDC]],TableAvailabilities[],4,FALSE)&gt;0,"Y",""),"")</f>
        <v/>
      </c>
      <c r="J37" s="239" t="str">
        <f>IFERROR(IF(VLOOKUP(TableHandbook[[#This Row],[UDC]],TableAvailabilities[],5,FALSE)&gt;0,"Y",""),"")</f>
        <v>Y</v>
      </c>
      <c r="K37" s="2"/>
      <c r="L37" s="242" t="str">
        <f>IFERROR(VLOOKUP(TableHandbook[[#This Row],[UDC]],TableOMTEACH1[],7,FALSE),"")</f>
        <v/>
      </c>
      <c r="M37" s="240" t="str">
        <f>IFERROR(VLOOKUP(TableHandbook[[#This Row],[UDC]],TableOUMPTCHEC[],7,FALSE),"")</f>
        <v/>
      </c>
      <c r="N37" s="240" t="str">
        <f>IFERROR(VLOOKUP(TableHandbook[[#This Row],[UDC]],TableOUMPTCHPE[],7,FALSE),"")</f>
        <v/>
      </c>
      <c r="O37" s="240" t="str">
        <f>IFERROR(VLOOKUP(TableHandbook[[#This Row],[UDC]],TableOUMPTCHSE[],7,FALSE),"")</f>
        <v>Option</v>
      </c>
      <c r="P37" s="242" t="str">
        <f>IFERROR(VLOOKUP(TableHandbook[[#This Row],[UDC]],TableOCTESOL1[],7,FALSE),"")</f>
        <v/>
      </c>
      <c r="Q37" s="240" t="str">
        <f>IFERROR(VLOOKUP(TableHandbook[[#This Row],[UDC]],TableOCTESOL[],7,FALSE),"")</f>
        <v/>
      </c>
      <c r="R37" s="240" t="str">
        <f>IFERROR(VLOOKUP(TableHandbook[[#This Row],[UDC]],TableOMAPLING[],7,FALSE),"")</f>
        <v/>
      </c>
      <c r="S37" s="242" t="str">
        <f>IFERROR(VLOOKUP(TableHandbook[[#This Row],[UDC]],TableOCEDHE1[],7,FALSE),"")</f>
        <v/>
      </c>
      <c r="T37" s="240" t="str">
        <f>IFERROR(VLOOKUP(TableHandbook[[#This Row],[UDC]],TableOCEDHE[],7,FALSE),"")</f>
        <v/>
      </c>
      <c r="U37" s="240" t="str">
        <f>IFERROR(VLOOKUP(TableHandbook[[#This Row],[UDC]],TableOCEDUCS1[],7,FALSE),"")</f>
        <v/>
      </c>
      <c r="V37" s="240" t="str">
        <f>IFERROR(VLOOKUP(TableHandbook[[#This Row],[UDC]],TableOCEDUC[],7,FALSE),"")</f>
        <v/>
      </c>
      <c r="W37" s="240" t="str">
        <f>IFERROR(VLOOKUP(TableHandbook[[#This Row],[UDC]],TableOGEDUC[],7,FALSE),"")</f>
        <v/>
      </c>
      <c r="X37" s="240" t="str">
        <f>IFERROR(VLOOKUP(TableHandbook[[#This Row],[UDC]],TableOUMPEDUPR[],7,FALSE),"")</f>
        <v/>
      </c>
      <c r="Y37" s="240" t="str">
        <f>IFERROR(VLOOKUP(TableHandbook[[#This Row],[UDC]],TableOUMPEDUSC[],7,FALSE),"")</f>
        <v>Option</v>
      </c>
      <c r="Z37" s="242" t="str">
        <f>IFERROR(VLOOKUP(TableHandbook[[#This Row],[UDC]],TableOMEDUC[],7,FALSE),"")</f>
        <v/>
      </c>
      <c r="AA37" s="240" t="str">
        <f>IFERROR(VLOOKUP(TableHandbook[[#This Row],[UDC]],TableOSEPCULIN[],7,FALSE),"")</f>
        <v/>
      </c>
      <c r="AB37" s="240" t="str">
        <f>IFERROR(VLOOKUP(TableHandbook[[#This Row],[UDC]],TableOSEPLNTCH[],7,FALSE),"")</f>
        <v/>
      </c>
      <c r="AC37" s="240" t="str">
        <f>IFERROR(VLOOKUP(TableHandbook[[#This Row],[UDC]],TableOSEPSTEME[],7,FALSE),"")</f>
        <v/>
      </c>
    </row>
    <row r="38" spans="1:29" x14ac:dyDescent="0.25">
      <c r="A38" s="2" t="s">
        <v>323</v>
      </c>
      <c r="B38" s="3">
        <v>2</v>
      </c>
      <c r="C38" s="3" t="s">
        <v>421</v>
      </c>
      <c r="D38" s="2" t="s">
        <v>422</v>
      </c>
      <c r="E38" s="3">
        <v>25</v>
      </c>
      <c r="F38" s="237" t="s">
        <v>357</v>
      </c>
      <c r="G38" s="239" t="str">
        <f>IFERROR(IF(VLOOKUP(TableHandbook[[#This Row],[UDC]],TableAvailabilities[],2,FALSE)&gt;0,"Y",""),"")</f>
        <v/>
      </c>
      <c r="H38" s="239" t="str">
        <f>IFERROR(IF(VLOOKUP(TableHandbook[[#This Row],[UDC]],TableAvailabilities[],3,FALSE)&gt;0,"Y",""),"")</f>
        <v>Y</v>
      </c>
      <c r="I38" s="239" t="str">
        <f>IFERROR(IF(VLOOKUP(TableHandbook[[#This Row],[UDC]],TableAvailabilities[],4,FALSE)&gt;0,"Y",""),"")</f>
        <v/>
      </c>
      <c r="J38" s="239" t="str">
        <f>IFERROR(IF(VLOOKUP(TableHandbook[[#This Row],[UDC]],TableAvailabilities[],5,FALSE)&gt;0,"Y",""),"")</f>
        <v>Y</v>
      </c>
      <c r="K38" s="2"/>
      <c r="L38" s="242" t="str">
        <f>IFERROR(VLOOKUP(TableHandbook[[#This Row],[UDC]],TableOMTEACH1[],7,FALSE),"")</f>
        <v/>
      </c>
      <c r="M38" s="240" t="str">
        <f>IFERROR(VLOOKUP(TableHandbook[[#This Row],[UDC]],TableOUMPTCHEC[],7,FALSE),"")</f>
        <v/>
      </c>
      <c r="N38" s="240" t="str">
        <f>IFERROR(VLOOKUP(TableHandbook[[#This Row],[UDC]],TableOUMPTCHPE[],7,FALSE),"")</f>
        <v/>
      </c>
      <c r="O38" s="240" t="str">
        <f>IFERROR(VLOOKUP(TableHandbook[[#This Row],[UDC]],TableOUMPTCHSE[],7,FALSE),"")</f>
        <v>Option</v>
      </c>
      <c r="P38" s="242" t="str">
        <f>IFERROR(VLOOKUP(TableHandbook[[#This Row],[UDC]],TableOCTESOL1[],7,FALSE),"")</f>
        <v/>
      </c>
      <c r="Q38" s="240" t="str">
        <f>IFERROR(VLOOKUP(TableHandbook[[#This Row],[UDC]],TableOCTESOL[],7,FALSE),"")</f>
        <v/>
      </c>
      <c r="R38" s="240" t="str">
        <f>IFERROR(VLOOKUP(TableHandbook[[#This Row],[UDC]],TableOMAPLING[],7,FALSE),"")</f>
        <v/>
      </c>
      <c r="S38" s="242" t="str">
        <f>IFERROR(VLOOKUP(TableHandbook[[#This Row],[UDC]],TableOCEDHE1[],7,FALSE),"")</f>
        <v/>
      </c>
      <c r="T38" s="240" t="str">
        <f>IFERROR(VLOOKUP(TableHandbook[[#This Row],[UDC]],TableOCEDHE[],7,FALSE),"")</f>
        <v/>
      </c>
      <c r="U38" s="240" t="str">
        <f>IFERROR(VLOOKUP(TableHandbook[[#This Row],[UDC]],TableOCEDUCS1[],7,FALSE),"")</f>
        <v/>
      </c>
      <c r="V38" s="240" t="str">
        <f>IFERROR(VLOOKUP(TableHandbook[[#This Row],[UDC]],TableOCEDUC[],7,FALSE),"")</f>
        <v/>
      </c>
      <c r="W38" s="240" t="str">
        <f>IFERROR(VLOOKUP(TableHandbook[[#This Row],[UDC]],TableOGEDUC[],7,FALSE),"")</f>
        <v/>
      </c>
      <c r="X38" s="240" t="str">
        <f>IFERROR(VLOOKUP(TableHandbook[[#This Row],[UDC]],TableOUMPEDUPR[],7,FALSE),"")</f>
        <v/>
      </c>
      <c r="Y38" s="240" t="str">
        <f>IFERROR(VLOOKUP(TableHandbook[[#This Row],[UDC]],TableOUMPEDUSC[],7,FALSE),"")</f>
        <v>Option</v>
      </c>
      <c r="Z38" s="242" t="str">
        <f>IFERROR(VLOOKUP(TableHandbook[[#This Row],[UDC]],TableOMEDUC[],7,FALSE),"")</f>
        <v/>
      </c>
      <c r="AA38" s="240" t="str">
        <f>IFERROR(VLOOKUP(TableHandbook[[#This Row],[UDC]],TableOSEPCULIN[],7,FALSE),"")</f>
        <v/>
      </c>
      <c r="AB38" s="240" t="str">
        <f>IFERROR(VLOOKUP(TableHandbook[[#This Row],[UDC]],TableOSEPLNTCH[],7,FALSE),"")</f>
        <v/>
      </c>
      <c r="AC38" s="240" t="str">
        <f>IFERROR(VLOOKUP(TableHandbook[[#This Row],[UDC]],TableOSEPSTEME[],7,FALSE),"")</f>
        <v/>
      </c>
    </row>
    <row r="39" spans="1:29" x14ac:dyDescent="0.25">
      <c r="A39" s="2" t="s">
        <v>326</v>
      </c>
      <c r="B39" s="3">
        <v>2</v>
      </c>
      <c r="C39" s="3" t="s">
        <v>423</v>
      </c>
      <c r="D39" s="2" t="s">
        <v>424</v>
      </c>
      <c r="E39" s="3">
        <v>25</v>
      </c>
      <c r="F39" s="237" t="s">
        <v>357</v>
      </c>
      <c r="G39" s="239" t="str">
        <f>IFERROR(IF(VLOOKUP(TableHandbook[[#This Row],[UDC]],TableAvailabilities[],2,FALSE)&gt;0,"Y",""),"")</f>
        <v/>
      </c>
      <c r="H39" s="239" t="str">
        <f>IFERROR(IF(VLOOKUP(TableHandbook[[#This Row],[UDC]],TableAvailabilities[],3,FALSE)&gt;0,"Y",""),"")</f>
        <v>Y</v>
      </c>
      <c r="I39" s="239" t="str">
        <f>IFERROR(IF(VLOOKUP(TableHandbook[[#This Row],[UDC]],TableAvailabilities[],4,FALSE)&gt;0,"Y",""),"")</f>
        <v/>
      </c>
      <c r="J39" s="239" t="str">
        <f>IFERROR(IF(VLOOKUP(TableHandbook[[#This Row],[UDC]],TableAvailabilities[],5,FALSE)&gt;0,"Y",""),"")</f>
        <v>Y</v>
      </c>
      <c r="K39" s="2"/>
      <c r="L39" s="242" t="str">
        <f>IFERROR(VLOOKUP(TableHandbook[[#This Row],[UDC]],TableOMTEACH1[],7,FALSE),"")</f>
        <v/>
      </c>
      <c r="M39" s="240" t="str">
        <f>IFERROR(VLOOKUP(TableHandbook[[#This Row],[UDC]],TableOUMPTCHEC[],7,FALSE),"")</f>
        <v/>
      </c>
      <c r="N39" s="240" t="str">
        <f>IFERROR(VLOOKUP(TableHandbook[[#This Row],[UDC]],TableOUMPTCHPE[],7,FALSE),"")</f>
        <v/>
      </c>
      <c r="O39" s="240" t="str">
        <f>IFERROR(VLOOKUP(TableHandbook[[#This Row],[UDC]],TableOUMPTCHSE[],7,FALSE),"")</f>
        <v>Option</v>
      </c>
      <c r="P39" s="242" t="str">
        <f>IFERROR(VLOOKUP(TableHandbook[[#This Row],[UDC]],TableOCTESOL1[],7,FALSE),"")</f>
        <v/>
      </c>
      <c r="Q39" s="240" t="str">
        <f>IFERROR(VLOOKUP(TableHandbook[[#This Row],[UDC]],TableOCTESOL[],7,FALSE),"")</f>
        <v/>
      </c>
      <c r="R39" s="240" t="str">
        <f>IFERROR(VLOOKUP(TableHandbook[[#This Row],[UDC]],TableOMAPLING[],7,FALSE),"")</f>
        <v/>
      </c>
      <c r="S39" s="242" t="str">
        <f>IFERROR(VLOOKUP(TableHandbook[[#This Row],[UDC]],TableOCEDHE1[],7,FALSE),"")</f>
        <v/>
      </c>
      <c r="T39" s="240" t="str">
        <f>IFERROR(VLOOKUP(TableHandbook[[#This Row],[UDC]],TableOCEDHE[],7,FALSE),"")</f>
        <v/>
      </c>
      <c r="U39" s="240" t="str">
        <f>IFERROR(VLOOKUP(TableHandbook[[#This Row],[UDC]],TableOCEDUCS1[],7,FALSE),"")</f>
        <v/>
      </c>
      <c r="V39" s="240" t="str">
        <f>IFERROR(VLOOKUP(TableHandbook[[#This Row],[UDC]],TableOCEDUC[],7,FALSE),"")</f>
        <v/>
      </c>
      <c r="W39" s="240" t="str">
        <f>IFERROR(VLOOKUP(TableHandbook[[#This Row],[UDC]],TableOGEDUC[],7,FALSE),"")</f>
        <v/>
      </c>
      <c r="X39" s="240" t="str">
        <f>IFERROR(VLOOKUP(TableHandbook[[#This Row],[UDC]],TableOUMPEDUPR[],7,FALSE),"")</f>
        <v/>
      </c>
      <c r="Y39" s="240" t="str">
        <f>IFERROR(VLOOKUP(TableHandbook[[#This Row],[UDC]],TableOUMPEDUSC[],7,FALSE),"")</f>
        <v>Option</v>
      </c>
      <c r="Z39" s="242" t="str">
        <f>IFERROR(VLOOKUP(TableHandbook[[#This Row],[UDC]],TableOMEDUC[],7,FALSE),"")</f>
        <v/>
      </c>
      <c r="AA39" s="240" t="str">
        <f>IFERROR(VLOOKUP(TableHandbook[[#This Row],[UDC]],TableOSEPCULIN[],7,FALSE),"")</f>
        <v/>
      </c>
      <c r="AB39" s="240" t="str">
        <f>IFERROR(VLOOKUP(TableHandbook[[#This Row],[UDC]],TableOSEPLNTCH[],7,FALSE),"")</f>
        <v/>
      </c>
      <c r="AC39" s="240" t="str">
        <f>IFERROR(VLOOKUP(TableHandbook[[#This Row],[UDC]],TableOSEPSTEME[],7,FALSE),"")</f>
        <v/>
      </c>
    </row>
    <row r="40" spans="1:29" x14ac:dyDescent="0.25">
      <c r="A40" s="2" t="s">
        <v>327</v>
      </c>
      <c r="B40" s="3">
        <v>2</v>
      </c>
      <c r="C40" s="3" t="s">
        <v>425</v>
      </c>
      <c r="D40" s="2" t="s">
        <v>426</v>
      </c>
      <c r="E40" s="3">
        <v>25</v>
      </c>
      <c r="F40" s="237" t="s">
        <v>357</v>
      </c>
      <c r="G40" s="239" t="str">
        <f>IFERROR(IF(VLOOKUP(TableHandbook[[#This Row],[UDC]],TableAvailabilities[],2,FALSE)&gt;0,"Y",""),"")</f>
        <v/>
      </c>
      <c r="H40" s="239" t="str">
        <f>IFERROR(IF(VLOOKUP(TableHandbook[[#This Row],[UDC]],TableAvailabilities[],3,FALSE)&gt;0,"Y",""),"")</f>
        <v>Y</v>
      </c>
      <c r="I40" s="239" t="str">
        <f>IFERROR(IF(VLOOKUP(TableHandbook[[#This Row],[UDC]],TableAvailabilities[],4,FALSE)&gt;0,"Y",""),"")</f>
        <v/>
      </c>
      <c r="J40" s="239" t="str">
        <f>IFERROR(IF(VLOOKUP(TableHandbook[[#This Row],[UDC]],TableAvailabilities[],5,FALSE)&gt;0,"Y",""),"")</f>
        <v>Y</v>
      </c>
      <c r="K40" s="2"/>
      <c r="L40" s="242" t="str">
        <f>IFERROR(VLOOKUP(TableHandbook[[#This Row],[UDC]],TableOMTEACH1[],7,FALSE),"")</f>
        <v/>
      </c>
      <c r="M40" s="240" t="str">
        <f>IFERROR(VLOOKUP(TableHandbook[[#This Row],[UDC]],TableOUMPTCHEC[],7,FALSE),"")</f>
        <v/>
      </c>
      <c r="N40" s="240" t="str">
        <f>IFERROR(VLOOKUP(TableHandbook[[#This Row],[UDC]],TableOUMPTCHPE[],7,FALSE),"")</f>
        <v/>
      </c>
      <c r="O40" s="240" t="str">
        <f>IFERROR(VLOOKUP(TableHandbook[[#This Row],[UDC]],TableOUMPTCHSE[],7,FALSE),"")</f>
        <v>Option</v>
      </c>
      <c r="P40" s="242" t="str">
        <f>IFERROR(VLOOKUP(TableHandbook[[#This Row],[UDC]],TableOCTESOL1[],7,FALSE),"")</f>
        <v/>
      </c>
      <c r="Q40" s="240" t="str">
        <f>IFERROR(VLOOKUP(TableHandbook[[#This Row],[UDC]],TableOCTESOL[],7,FALSE),"")</f>
        <v/>
      </c>
      <c r="R40" s="240" t="str">
        <f>IFERROR(VLOOKUP(TableHandbook[[#This Row],[UDC]],TableOMAPLING[],7,FALSE),"")</f>
        <v/>
      </c>
      <c r="S40" s="242" t="str">
        <f>IFERROR(VLOOKUP(TableHandbook[[#This Row],[UDC]],TableOCEDHE1[],7,FALSE),"")</f>
        <v/>
      </c>
      <c r="T40" s="240" t="str">
        <f>IFERROR(VLOOKUP(TableHandbook[[#This Row],[UDC]],TableOCEDHE[],7,FALSE),"")</f>
        <v/>
      </c>
      <c r="U40" s="240" t="str">
        <f>IFERROR(VLOOKUP(TableHandbook[[#This Row],[UDC]],TableOCEDUCS1[],7,FALSE),"")</f>
        <v/>
      </c>
      <c r="V40" s="240" t="str">
        <f>IFERROR(VLOOKUP(TableHandbook[[#This Row],[UDC]],TableOCEDUC[],7,FALSE),"")</f>
        <v/>
      </c>
      <c r="W40" s="240" t="str">
        <f>IFERROR(VLOOKUP(TableHandbook[[#This Row],[UDC]],TableOGEDUC[],7,FALSE),"")</f>
        <v/>
      </c>
      <c r="X40" s="240" t="str">
        <f>IFERROR(VLOOKUP(TableHandbook[[#This Row],[UDC]],TableOUMPEDUPR[],7,FALSE),"")</f>
        <v/>
      </c>
      <c r="Y40" s="240" t="str">
        <f>IFERROR(VLOOKUP(TableHandbook[[#This Row],[UDC]],TableOUMPEDUSC[],7,FALSE),"")</f>
        <v>Option</v>
      </c>
      <c r="Z40" s="242" t="str">
        <f>IFERROR(VLOOKUP(TableHandbook[[#This Row],[UDC]],TableOMEDUC[],7,FALSE),"")</f>
        <v/>
      </c>
      <c r="AA40" s="240" t="str">
        <f>IFERROR(VLOOKUP(TableHandbook[[#This Row],[UDC]],TableOSEPCULIN[],7,FALSE),"")</f>
        <v/>
      </c>
      <c r="AB40" s="240" t="str">
        <f>IFERROR(VLOOKUP(TableHandbook[[#This Row],[UDC]],TableOSEPLNTCH[],7,FALSE),"")</f>
        <v/>
      </c>
      <c r="AC40" s="240" t="str">
        <f>IFERROR(VLOOKUP(TableHandbook[[#This Row],[UDC]],TableOSEPSTEME[],7,FALSE),"")</f>
        <v/>
      </c>
    </row>
    <row r="41" spans="1:29" x14ac:dyDescent="0.25">
      <c r="A41" s="2" t="s">
        <v>328</v>
      </c>
      <c r="B41" s="3">
        <v>2</v>
      </c>
      <c r="C41" s="3" t="s">
        <v>427</v>
      </c>
      <c r="D41" s="2" t="s">
        <v>428</v>
      </c>
      <c r="E41" s="3">
        <v>25</v>
      </c>
      <c r="F41" s="237" t="s">
        <v>357</v>
      </c>
      <c r="G41" s="239" t="str">
        <f>IFERROR(IF(VLOOKUP(TableHandbook[[#This Row],[UDC]],TableAvailabilities[],2,FALSE)&gt;0,"Y",""),"")</f>
        <v/>
      </c>
      <c r="H41" s="239" t="str">
        <f>IFERROR(IF(VLOOKUP(TableHandbook[[#This Row],[UDC]],TableAvailabilities[],3,FALSE)&gt;0,"Y",""),"")</f>
        <v>Y</v>
      </c>
      <c r="I41" s="239" t="str">
        <f>IFERROR(IF(VLOOKUP(TableHandbook[[#This Row],[UDC]],TableAvailabilities[],4,FALSE)&gt;0,"Y",""),"")</f>
        <v/>
      </c>
      <c r="J41" s="239" t="str">
        <f>IFERROR(IF(VLOOKUP(TableHandbook[[#This Row],[UDC]],TableAvailabilities[],5,FALSE)&gt;0,"Y",""),"")</f>
        <v>Y</v>
      </c>
      <c r="K41" s="2"/>
      <c r="L41" s="242" t="str">
        <f>IFERROR(VLOOKUP(TableHandbook[[#This Row],[UDC]],TableOMTEACH1[],7,FALSE),"")</f>
        <v/>
      </c>
      <c r="M41" s="240" t="str">
        <f>IFERROR(VLOOKUP(TableHandbook[[#This Row],[UDC]],TableOUMPTCHEC[],7,FALSE),"")</f>
        <v/>
      </c>
      <c r="N41" s="240" t="str">
        <f>IFERROR(VLOOKUP(TableHandbook[[#This Row],[UDC]],TableOUMPTCHPE[],7,FALSE),"")</f>
        <v/>
      </c>
      <c r="O41" s="240" t="str">
        <f>IFERROR(VLOOKUP(TableHandbook[[#This Row],[UDC]],TableOUMPTCHSE[],7,FALSE),"")</f>
        <v>Option</v>
      </c>
      <c r="P41" s="242" t="str">
        <f>IFERROR(VLOOKUP(TableHandbook[[#This Row],[UDC]],TableOCTESOL1[],7,FALSE),"")</f>
        <v/>
      </c>
      <c r="Q41" s="240" t="str">
        <f>IFERROR(VLOOKUP(TableHandbook[[#This Row],[UDC]],TableOCTESOL[],7,FALSE),"")</f>
        <v/>
      </c>
      <c r="R41" s="240" t="str">
        <f>IFERROR(VLOOKUP(TableHandbook[[#This Row],[UDC]],TableOMAPLING[],7,FALSE),"")</f>
        <v/>
      </c>
      <c r="S41" s="242" t="str">
        <f>IFERROR(VLOOKUP(TableHandbook[[#This Row],[UDC]],TableOCEDHE1[],7,FALSE),"")</f>
        <v/>
      </c>
      <c r="T41" s="240" t="str">
        <f>IFERROR(VLOOKUP(TableHandbook[[#This Row],[UDC]],TableOCEDHE[],7,FALSE),"")</f>
        <v/>
      </c>
      <c r="U41" s="240" t="str">
        <f>IFERROR(VLOOKUP(TableHandbook[[#This Row],[UDC]],TableOCEDUCS1[],7,FALSE),"")</f>
        <v/>
      </c>
      <c r="V41" s="240" t="str">
        <f>IFERROR(VLOOKUP(TableHandbook[[#This Row],[UDC]],TableOCEDUC[],7,FALSE),"")</f>
        <v/>
      </c>
      <c r="W41" s="240" t="str">
        <f>IFERROR(VLOOKUP(TableHandbook[[#This Row],[UDC]],TableOGEDUC[],7,FALSE),"")</f>
        <v/>
      </c>
      <c r="X41" s="240" t="str">
        <f>IFERROR(VLOOKUP(TableHandbook[[#This Row],[UDC]],TableOUMPEDUPR[],7,FALSE),"")</f>
        <v/>
      </c>
      <c r="Y41" s="240" t="str">
        <f>IFERROR(VLOOKUP(TableHandbook[[#This Row],[UDC]],TableOUMPEDUSC[],7,FALSE),"")</f>
        <v>Option</v>
      </c>
      <c r="Z41" s="242" t="str">
        <f>IFERROR(VLOOKUP(TableHandbook[[#This Row],[UDC]],TableOMEDUC[],7,FALSE),"")</f>
        <v/>
      </c>
      <c r="AA41" s="240" t="str">
        <f>IFERROR(VLOOKUP(TableHandbook[[#This Row],[UDC]],TableOSEPCULIN[],7,FALSE),"")</f>
        <v/>
      </c>
      <c r="AB41" s="240" t="str">
        <f>IFERROR(VLOOKUP(TableHandbook[[#This Row],[UDC]],TableOSEPLNTCH[],7,FALSE),"")</f>
        <v/>
      </c>
      <c r="AC41" s="240" t="str">
        <f>IFERROR(VLOOKUP(TableHandbook[[#This Row],[UDC]],TableOSEPSTEME[],7,FALSE),"")</f>
        <v/>
      </c>
    </row>
    <row r="42" spans="1:29" x14ac:dyDescent="0.25">
      <c r="A42" s="2" t="s">
        <v>294</v>
      </c>
      <c r="B42" s="3">
        <v>1</v>
      </c>
      <c r="C42" s="3" t="s">
        <v>429</v>
      </c>
      <c r="D42" s="2" t="s">
        <v>430</v>
      </c>
      <c r="E42" s="3">
        <v>25</v>
      </c>
      <c r="F42" s="275" t="s">
        <v>407</v>
      </c>
      <c r="G42" s="239" t="str">
        <f>IFERROR(IF(VLOOKUP(TableHandbook[[#This Row],[UDC]],TableAvailabilities[],2,FALSE)&gt;0,"Y",""),"")</f>
        <v/>
      </c>
      <c r="H42" s="239" t="str">
        <f>IFERROR(IF(VLOOKUP(TableHandbook[[#This Row],[UDC]],TableAvailabilities[],3,FALSE)&gt;0,"Y",""),"")</f>
        <v>Y</v>
      </c>
      <c r="I42" s="239" t="str">
        <f>IFERROR(IF(VLOOKUP(TableHandbook[[#This Row],[UDC]],TableAvailabilities[],4,FALSE)&gt;0,"Y",""),"")</f>
        <v>Y</v>
      </c>
      <c r="J42" s="239" t="str">
        <f>IFERROR(IF(VLOOKUP(TableHandbook[[#This Row],[UDC]],TableAvailabilities[],5,FALSE)&gt;0,"Y",""),"")</f>
        <v/>
      </c>
      <c r="K42" s="2"/>
      <c r="L42" s="242" t="str">
        <f>IFERROR(VLOOKUP(TableHandbook[[#This Row],[UDC]],TableOMTEACH1[],7,FALSE),"")</f>
        <v/>
      </c>
      <c r="M42" s="240" t="str">
        <f>IFERROR(VLOOKUP(TableHandbook[[#This Row],[UDC]],TableOUMPTCHEC[],7,FALSE),"")</f>
        <v/>
      </c>
      <c r="N42" s="240" t="str">
        <f>IFERROR(VLOOKUP(TableHandbook[[#This Row],[UDC]],TableOUMPTCHPE[],7,FALSE),"")</f>
        <v/>
      </c>
      <c r="O42" s="240" t="str">
        <f>IFERROR(VLOOKUP(TableHandbook[[#This Row],[UDC]],TableOUMPTCHSE[],7,FALSE),"")</f>
        <v>Core</v>
      </c>
      <c r="P42" s="242" t="str">
        <f>IFERROR(VLOOKUP(TableHandbook[[#This Row],[UDC]],TableOCTESOL1[],7,FALSE),"")</f>
        <v/>
      </c>
      <c r="Q42" s="240" t="str">
        <f>IFERROR(VLOOKUP(TableHandbook[[#This Row],[UDC]],TableOCTESOL[],7,FALSE),"")</f>
        <v/>
      </c>
      <c r="R42" s="240" t="str">
        <f>IFERROR(VLOOKUP(TableHandbook[[#This Row],[UDC]],TableOMAPLING[],7,FALSE),"")</f>
        <v/>
      </c>
      <c r="S42" s="242" t="str">
        <f>IFERROR(VLOOKUP(TableHandbook[[#This Row],[UDC]],TableOCEDHE1[],7,FALSE),"")</f>
        <v/>
      </c>
      <c r="T42" s="240" t="str">
        <f>IFERROR(VLOOKUP(TableHandbook[[#This Row],[UDC]],TableOCEDHE[],7,FALSE),"")</f>
        <v/>
      </c>
      <c r="U42" s="240" t="str">
        <f>IFERROR(VLOOKUP(TableHandbook[[#This Row],[UDC]],TableOCEDUCS1[],7,FALSE),"")</f>
        <v/>
      </c>
      <c r="V42" s="240" t="str">
        <f>IFERROR(VLOOKUP(TableHandbook[[#This Row],[UDC]],TableOCEDUC[],7,FALSE),"")</f>
        <v/>
      </c>
      <c r="W42" s="240" t="str">
        <f>IFERROR(VLOOKUP(TableHandbook[[#This Row],[UDC]],TableOGEDUC[],7,FALSE),"")</f>
        <v/>
      </c>
      <c r="X42" s="240" t="str">
        <f>IFERROR(VLOOKUP(TableHandbook[[#This Row],[UDC]],TableOUMPEDUPR[],7,FALSE),"")</f>
        <v/>
      </c>
      <c r="Y42" s="240" t="str">
        <f>IFERROR(VLOOKUP(TableHandbook[[#This Row],[UDC]],TableOUMPEDUSC[],7,FALSE),"")</f>
        <v>Core</v>
      </c>
      <c r="Z42" s="242" t="str">
        <f>IFERROR(VLOOKUP(TableHandbook[[#This Row],[UDC]],TableOMEDUC[],7,FALSE),"")</f>
        <v/>
      </c>
      <c r="AA42" s="240" t="str">
        <f>IFERROR(VLOOKUP(TableHandbook[[#This Row],[UDC]],TableOSEPCULIN[],7,FALSE),"")</f>
        <v/>
      </c>
      <c r="AB42" s="240" t="str">
        <f>IFERROR(VLOOKUP(TableHandbook[[#This Row],[UDC]],TableOSEPLNTCH[],7,FALSE),"")</f>
        <v/>
      </c>
      <c r="AC42" s="240" t="str">
        <f>IFERROR(VLOOKUP(TableHandbook[[#This Row],[UDC]],TableOSEPSTEME[],7,FALSE),"")</f>
        <v/>
      </c>
    </row>
    <row r="43" spans="1:29" x14ac:dyDescent="0.25">
      <c r="A43" s="2" t="s">
        <v>324</v>
      </c>
      <c r="B43" s="3">
        <v>1</v>
      </c>
      <c r="C43" s="3" t="s">
        <v>431</v>
      </c>
      <c r="D43" s="2" t="s">
        <v>432</v>
      </c>
      <c r="E43" s="3">
        <v>25</v>
      </c>
      <c r="F43" s="237" t="s">
        <v>357</v>
      </c>
      <c r="G43" s="239" t="str">
        <f>IFERROR(IF(VLOOKUP(TableHandbook[[#This Row],[UDC]],TableAvailabilities[],2,FALSE)&gt;0,"Y",""),"")</f>
        <v/>
      </c>
      <c r="H43" s="239" t="str">
        <f>IFERROR(IF(VLOOKUP(TableHandbook[[#This Row],[UDC]],TableAvailabilities[],3,FALSE)&gt;0,"Y",""),"")</f>
        <v>Y</v>
      </c>
      <c r="I43" s="239" t="str">
        <f>IFERROR(IF(VLOOKUP(TableHandbook[[#This Row],[UDC]],TableAvailabilities[],4,FALSE)&gt;0,"Y",""),"")</f>
        <v/>
      </c>
      <c r="J43" s="239" t="str">
        <f>IFERROR(IF(VLOOKUP(TableHandbook[[#This Row],[UDC]],TableAvailabilities[],5,FALSE)&gt;0,"Y",""),"")</f>
        <v>Y</v>
      </c>
      <c r="K43" s="2"/>
      <c r="L43" s="242" t="str">
        <f>IFERROR(VLOOKUP(TableHandbook[[#This Row],[UDC]],TableOMTEACH1[],7,FALSE),"")</f>
        <v/>
      </c>
      <c r="M43" s="240" t="str">
        <f>IFERROR(VLOOKUP(TableHandbook[[#This Row],[UDC]],TableOUMPTCHEC[],7,FALSE),"")</f>
        <v/>
      </c>
      <c r="N43" s="240" t="str">
        <f>IFERROR(VLOOKUP(TableHandbook[[#This Row],[UDC]],TableOUMPTCHPE[],7,FALSE),"")</f>
        <v/>
      </c>
      <c r="O43" s="240" t="str">
        <f>IFERROR(VLOOKUP(TableHandbook[[#This Row],[UDC]],TableOUMPTCHSE[],7,FALSE),"")</f>
        <v>Option</v>
      </c>
      <c r="P43" s="242" t="str">
        <f>IFERROR(VLOOKUP(TableHandbook[[#This Row],[UDC]],TableOCTESOL1[],7,FALSE),"")</f>
        <v/>
      </c>
      <c r="Q43" s="240" t="str">
        <f>IFERROR(VLOOKUP(TableHandbook[[#This Row],[UDC]],TableOCTESOL[],7,FALSE),"")</f>
        <v/>
      </c>
      <c r="R43" s="240" t="str">
        <f>IFERROR(VLOOKUP(TableHandbook[[#This Row],[UDC]],TableOMAPLING[],7,FALSE),"")</f>
        <v/>
      </c>
      <c r="S43" s="242" t="str">
        <f>IFERROR(VLOOKUP(TableHandbook[[#This Row],[UDC]],TableOCEDHE1[],7,FALSE),"")</f>
        <v/>
      </c>
      <c r="T43" s="240" t="str">
        <f>IFERROR(VLOOKUP(TableHandbook[[#This Row],[UDC]],TableOCEDHE[],7,FALSE),"")</f>
        <v/>
      </c>
      <c r="U43" s="240" t="str">
        <f>IFERROR(VLOOKUP(TableHandbook[[#This Row],[UDC]],TableOCEDUCS1[],7,FALSE),"")</f>
        <v/>
      </c>
      <c r="V43" s="240" t="str">
        <f>IFERROR(VLOOKUP(TableHandbook[[#This Row],[UDC]],TableOCEDUC[],7,FALSE),"")</f>
        <v/>
      </c>
      <c r="W43" s="240" t="str">
        <f>IFERROR(VLOOKUP(TableHandbook[[#This Row],[UDC]],TableOGEDUC[],7,FALSE),"")</f>
        <v/>
      </c>
      <c r="X43" s="240" t="str">
        <f>IFERROR(VLOOKUP(TableHandbook[[#This Row],[UDC]],TableOUMPEDUPR[],7,FALSE),"")</f>
        <v/>
      </c>
      <c r="Y43" s="240" t="str">
        <f>IFERROR(VLOOKUP(TableHandbook[[#This Row],[UDC]],TableOUMPEDUSC[],7,FALSE),"")</f>
        <v>Option</v>
      </c>
      <c r="Z43" s="242" t="str">
        <f>IFERROR(VLOOKUP(TableHandbook[[#This Row],[UDC]],TableOMEDUC[],7,FALSE),"")</f>
        <v/>
      </c>
      <c r="AA43" s="240" t="str">
        <f>IFERROR(VLOOKUP(TableHandbook[[#This Row],[UDC]],TableOSEPCULIN[],7,FALSE),"")</f>
        <v/>
      </c>
      <c r="AB43" s="240" t="str">
        <f>IFERROR(VLOOKUP(TableHandbook[[#This Row],[UDC]],TableOSEPLNTCH[],7,FALSE),"")</f>
        <v/>
      </c>
      <c r="AC43" s="240" t="str">
        <f>IFERROR(VLOOKUP(TableHandbook[[#This Row],[UDC]],TableOSEPSTEME[],7,FALSE),"")</f>
        <v/>
      </c>
    </row>
    <row r="44" spans="1:29" x14ac:dyDescent="0.25">
      <c r="A44" s="2" t="s">
        <v>317</v>
      </c>
      <c r="B44" s="3">
        <v>1</v>
      </c>
      <c r="C44" s="3" t="s">
        <v>433</v>
      </c>
      <c r="D44" s="2" t="s">
        <v>434</v>
      </c>
      <c r="E44" s="3">
        <v>25</v>
      </c>
      <c r="F44" s="237" t="s">
        <v>357</v>
      </c>
      <c r="G44" s="239" t="str">
        <f>IFERROR(IF(VLOOKUP(TableHandbook[[#This Row],[UDC]],TableAvailabilities[],2,FALSE)&gt;0,"Y",""),"")</f>
        <v/>
      </c>
      <c r="H44" s="239" t="str">
        <f>IFERROR(IF(VLOOKUP(TableHandbook[[#This Row],[UDC]],TableAvailabilities[],3,FALSE)&gt;0,"Y",""),"")</f>
        <v>Y</v>
      </c>
      <c r="I44" s="239" t="str">
        <f>IFERROR(IF(VLOOKUP(TableHandbook[[#This Row],[UDC]],TableAvailabilities[],4,FALSE)&gt;0,"Y",""),"")</f>
        <v/>
      </c>
      <c r="J44" s="239" t="str">
        <f>IFERROR(IF(VLOOKUP(TableHandbook[[#This Row],[UDC]],TableAvailabilities[],5,FALSE)&gt;0,"Y",""),"")</f>
        <v>Y</v>
      </c>
      <c r="K44" s="2"/>
      <c r="L44" s="242" t="str">
        <f>IFERROR(VLOOKUP(TableHandbook[[#This Row],[UDC]],TableOMTEACH1[],7,FALSE),"")</f>
        <v/>
      </c>
      <c r="M44" s="240" t="str">
        <f>IFERROR(VLOOKUP(TableHandbook[[#This Row],[UDC]],TableOUMPTCHEC[],7,FALSE),"")</f>
        <v/>
      </c>
      <c r="N44" s="240" t="str">
        <f>IFERROR(VLOOKUP(TableHandbook[[#This Row],[UDC]],TableOUMPTCHPE[],7,FALSE),"")</f>
        <v/>
      </c>
      <c r="O44" s="240" t="str">
        <f>IFERROR(VLOOKUP(TableHandbook[[#This Row],[UDC]],TableOUMPTCHSE[],7,FALSE),"")</f>
        <v>Option</v>
      </c>
      <c r="P44" s="242" t="str">
        <f>IFERROR(VLOOKUP(TableHandbook[[#This Row],[UDC]],TableOCTESOL1[],7,FALSE),"")</f>
        <v/>
      </c>
      <c r="Q44" s="240" t="str">
        <f>IFERROR(VLOOKUP(TableHandbook[[#This Row],[UDC]],TableOCTESOL[],7,FALSE),"")</f>
        <v/>
      </c>
      <c r="R44" s="240" t="str">
        <f>IFERROR(VLOOKUP(TableHandbook[[#This Row],[UDC]],TableOMAPLING[],7,FALSE),"")</f>
        <v/>
      </c>
      <c r="S44" s="242" t="str">
        <f>IFERROR(VLOOKUP(TableHandbook[[#This Row],[UDC]],TableOCEDHE1[],7,FALSE),"")</f>
        <v/>
      </c>
      <c r="T44" s="240" t="str">
        <f>IFERROR(VLOOKUP(TableHandbook[[#This Row],[UDC]],TableOCEDHE[],7,FALSE),"")</f>
        <v/>
      </c>
      <c r="U44" s="240" t="str">
        <f>IFERROR(VLOOKUP(TableHandbook[[#This Row],[UDC]],TableOCEDUCS1[],7,FALSE),"")</f>
        <v/>
      </c>
      <c r="V44" s="240" t="str">
        <f>IFERROR(VLOOKUP(TableHandbook[[#This Row],[UDC]],TableOCEDUC[],7,FALSE),"")</f>
        <v/>
      </c>
      <c r="W44" s="240" t="str">
        <f>IFERROR(VLOOKUP(TableHandbook[[#This Row],[UDC]],TableOGEDUC[],7,FALSE),"")</f>
        <v/>
      </c>
      <c r="X44" s="240" t="str">
        <f>IFERROR(VLOOKUP(TableHandbook[[#This Row],[UDC]],TableOUMPEDUPR[],7,FALSE),"")</f>
        <v/>
      </c>
      <c r="Y44" s="240" t="str">
        <f>IFERROR(VLOOKUP(TableHandbook[[#This Row],[UDC]],TableOUMPEDUSC[],7,FALSE),"")</f>
        <v>Option</v>
      </c>
      <c r="Z44" s="242" t="str">
        <f>IFERROR(VLOOKUP(TableHandbook[[#This Row],[UDC]],TableOMEDUC[],7,FALSE),"")</f>
        <v/>
      </c>
      <c r="AA44" s="240" t="str">
        <f>IFERROR(VLOOKUP(TableHandbook[[#This Row],[UDC]],TableOSEPCULIN[],7,FALSE),"")</f>
        <v/>
      </c>
      <c r="AB44" s="240" t="str">
        <f>IFERROR(VLOOKUP(TableHandbook[[#This Row],[UDC]],TableOSEPLNTCH[],7,FALSE),"")</f>
        <v/>
      </c>
      <c r="AC44" s="240" t="str">
        <f>IFERROR(VLOOKUP(TableHandbook[[#This Row],[UDC]],TableOSEPSTEME[],7,FALSE),"")</f>
        <v/>
      </c>
    </row>
    <row r="45" spans="1:29" x14ac:dyDescent="0.25">
      <c r="A45" s="2" t="s">
        <v>325</v>
      </c>
      <c r="B45" s="3">
        <v>1</v>
      </c>
      <c r="C45" s="3" t="s">
        <v>435</v>
      </c>
      <c r="D45" s="2" t="s">
        <v>436</v>
      </c>
      <c r="E45" s="3">
        <v>25</v>
      </c>
      <c r="F45" s="237" t="s">
        <v>357</v>
      </c>
      <c r="G45" s="239" t="str">
        <f>IFERROR(IF(VLOOKUP(TableHandbook[[#This Row],[UDC]],TableAvailabilities[],2,FALSE)&gt;0,"Y",""),"")</f>
        <v/>
      </c>
      <c r="H45" s="239" t="str">
        <f>IFERROR(IF(VLOOKUP(TableHandbook[[#This Row],[UDC]],TableAvailabilities[],3,FALSE)&gt;0,"Y",""),"")</f>
        <v>Y</v>
      </c>
      <c r="I45" s="239" t="str">
        <f>IFERROR(IF(VLOOKUP(TableHandbook[[#This Row],[UDC]],TableAvailabilities[],4,FALSE)&gt;0,"Y",""),"")</f>
        <v/>
      </c>
      <c r="J45" s="239" t="str">
        <f>IFERROR(IF(VLOOKUP(TableHandbook[[#This Row],[UDC]],TableAvailabilities[],5,FALSE)&gt;0,"Y",""),"")</f>
        <v>Y</v>
      </c>
      <c r="K45" s="2"/>
      <c r="L45" s="242" t="str">
        <f>IFERROR(VLOOKUP(TableHandbook[[#This Row],[UDC]],TableOMTEACH1[],7,FALSE),"")</f>
        <v/>
      </c>
      <c r="M45" s="240" t="str">
        <f>IFERROR(VLOOKUP(TableHandbook[[#This Row],[UDC]],TableOUMPTCHEC[],7,FALSE),"")</f>
        <v/>
      </c>
      <c r="N45" s="240" t="str">
        <f>IFERROR(VLOOKUP(TableHandbook[[#This Row],[UDC]],TableOUMPTCHPE[],7,FALSE),"")</f>
        <v/>
      </c>
      <c r="O45" s="240" t="str">
        <f>IFERROR(VLOOKUP(TableHandbook[[#This Row],[UDC]],TableOUMPTCHSE[],7,FALSE),"")</f>
        <v>Option</v>
      </c>
      <c r="P45" s="242" t="str">
        <f>IFERROR(VLOOKUP(TableHandbook[[#This Row],[UDC]],TableOCTESOL1[],7,FALSE),"")</f>
        <v/>
      </c>
      <c r="Q45" s="240" t="str">
        <f>IFERROR(VLOOKUP(TableHandbook[[#This Row],[UDC]],TableOCTESOL[],7,FALSE),"")</f>
        <v/>
      </c>
      <c r="R45" s="240" t="str">
        <f>IFERROR(VLOOKUP(TableHandbook[[#This Row],[UDC]],TableOMAPLING[],7,FALSE),"")</f>
        <v/>
      </c>
      <c r="S45" s="242" t="str">
        <f>IFERROR(VLOOKUP(TableHandbook[[#This Row],[UDC]],TableOCEDHE1[],7,FALSE),"")</f>
        <v/>
      </c>
      <c r="T45" s="240" t="str">
        <f>IFERROR(VLOOKUP(TableHandbook[[#This Row],[UDC]],TableOCEDHE[],7,FALSE),"")</f>
        <v/>
      </c>
      <c r="U45" s="240" t="str">
        <f>IFERROR(VLOOKUP(TableHandbook[[#This Row],[UDC]],TableOCEDUCS1[],7,FALSE),"")</f>
        <v/>
      </c>
      <c r="V45" s="240" t="str">
        <f>IFERROR(VLOOKUP(TableHandbook[[#This Row],[UDC]],TableOCEDUC[],7,FALSE),"")</f>
        <v/>
      </c>
      <c r="W45" s="240" t="str">
        <f>IFERROR(VLOOKUP(TableHandbook[[#This Row],[UDC]],TableOGEDUC[],7,FALSE),"")</f>
        <v/>
      </c>
      <c r="X45" s="240" t="str">
        <f>IFERROR(VLOOKUP(TableHandbook[[#This Row],[UDC]],TableOUMPEDUPR[],7,FALSE),"")</f>
        <v/>
      </c>
      <c r="Y45" s="240" t="str">
        <f>IFERROR(VLOOKUP(TableHandbook[[#This Row],[UDC]],TableOUMPEDUSC[],7,FALSE),"")</f>
        <v>Option</v>
      </c>
      <c r="Z45" s="242" t="str">
        <f>IFERROR(VLOOKUP(TableHandbook[[#This Row],[UDC]],TableOMEDUC[],7,FALSE),"")</f>
        <v/>
      </c>
      <c r="AA45" s="240" t="str">
        <f>IFERROR(VLOOKUP(TableHandbook[[#This Row],[UDC]],TableOSEPCULIN[],7,FALSE),"")</f>
        <v/>
      </c>
      <c r="AB45" s="240" t="str">
        <f>IFERROR(VLOOKUP(TableHandbook[[#This Row],[UDC]],TableOSEPLNTCH[],7,FALSE),"")</f>
        <v/>
      </c>
      <c r="AC45" s="240" t="str">
        <f>IFERROR(VLOOKUP(TableHandbook[[#This Row],[UDC]],TableOSEPSTEME[],7,FALSE),"")</f>
        <v/>
      </c>
    </row>
    <row r="46" spans="1:29" x14ac:dyDescent="0.25">
      <c r="A46" s="2" t="s">
        <v>333</v>
      </c>
      <c r="B46" s="3">
        <v>1</v>
      </c>
      <c r="C46" s="3" t="s">
        <v>437</v>
      </c>
      <c r="D46" s="2" t="s">
        <v>438</v>
      </c>
      <c r="E46" s="3">
        <v>25</v>
      </c>
      <c r="F46" s="237" t="s">
        <v>357</v>
      </c>
      <c r="G46" s="239" t="str">
        <f>IFERROR(IF(VLOOKUP(TableHandbook[[#This Row],[UDC]],TableAvailabilities[],2,FALSE)&gt;0,"Y",""),"")</f>
        <v/>
      </c>
      <c r="H46" s="239" t="str">
        <f>IFERROR(IF(VLOOKUP(TableHandbook[[#This Row],[UDC]],TableAvailabilities[],3,FALSE)&gt;0,"Y",""),"")</f>
        <v>Y</v>
      </c>
      <c r="I46" s="239" t="str">
        <f>IFERROR(IF(VLOOKUP(TableHandbook[[#This Row],[UDC]],TableAvailabilities[],4,FALSE)&gt;0,"Y",""),"")</f>
        <v/>
      </c>
      <c r="J46" s="239" t="str">
        <f>IFERROR(IF(VLOOKUP(TableHandbook[[#This Row],[UDC]],TableAvailabilities[],5,FALSE)&gt;0,"Y",""),"")</f>
        <v>Y</v>
      </c>
      <c r="K46" s="2"/>
      <c r="L46" s="242" t="str">
        <f>IFERROR(VLOOKUP(TableHandbook[[#This Row],[UDC]],TableOMTEACH1[],7,FALSE),"")</f>
        <v/>
      </c>
      <c r="M46" s="240" t="str">
        <f>IFERROR(VLOOKUP(TableHandbook[[#This Row],[UDC]],TableOUMPTCHEC[],7,FALSE),"")</f>
        <v/>
      </c>
      <c r="N46" s="240" t="str">
        <f>IFERROR(VLOOKUP(TableHandbook[[#This Row],[UDC]],TableOUMPTCHPE[],7,FALSE),"")</f>
        <v/>
      </c>
      <c r="O46" s="240" t="str">
        <f>IFERROR(VLOOKUP(TableHandbook[[#This Row],[UDC]],TableOUMPTCHSE[],7,FALSE),"")</f>
        <v>Option</v>
      </c>
      <c r="P46" s="242" t="str">
        <f>IFERROR(VLOOKUP(TableHandbook[[#This Row],[UDC]],TableOCTESOL1[],7,FALSE),"")</f>
        <v/>
      </c>
      <c r="Q46" s="240" t="str">
        <f>IFERROR(VLOOKUP(TableHandbook[[#This Row],[UDC]],TableOCTESOL[],7,FALSE),"")</f>
        <v/>
      </c>
      <c r="R46" s="240" t="str">
        <f>IFERROR(VLOOKUP(TableHandbook[[#This Row],[UDC]],TableOMAPLING[],7,FALSE),"")</f>
        <v/>
      </c>
      <c r="S46" s="242" t="str">
        <f>IFERROR(VLOOKUP(TableHandbook[[#This Row],[UDC]],TableOCEDHE1[],7,FALSE),"")</f>
        <v/>
      </c>
      <c r="T46" s="240" t="str">
        <f>IFERROR(VLOOKUP(TableHandbook[[#This Row],[UDC]],TableOCEDHE[],7,FALSE),"")</f>
        <v/>
      </c>
      <c r="U46" s="240" t="str">
        <f>IFERROR(VLOOKUP(TableHandbook[[#This Row],[UDC]],TableOCEDUCS1[],7,FALSE),"")</f>
        <v/>
      </c>
      <c r="V46" s="240" t="str">
        <f>IFERROR(VLOOKUP(TableHandbook[[#This Row],[UDC]],TableOCEDUC[],7,FALSE),"")</f>
        <v/>
      </c>
      <c r="W46" s="240" t="str">
        <f>IFERROR(VLOOKUP(TableHandbook[[#This Row],[UDC]],TableOGEDUC[],7,FALSE),"")</f>
        <v/>
      </c>
      <c r="X46" s="240" t="str">
        <f>IFERROR(VLOOKUP(TableHandbook[[#This Row],[UDC]],TableOUMPEDUPR[],7,FALSE),"")</f>
        <v/>
      </c>
      <c r="Y46" s="240" t="str">
        <f>IFERROR(VLOOKUP(TableHandbook[[#This Row],[UDC]],TableOUMPEDUSC[],7,FALSE),"")</f>
        <v/>
      </c>
      <c r="Z46" s="242" t="str">
        <f>IFERROR(VLOOKUP(TableHandbook[[#This Row],[UDC]],TableOMEDUC[],7,FALSE),"")</f>
        <v/>
      </c>
      <c r="AA46" s="240" t="str">
        <f>IFERROR(VLOOKUP(TableHandbook[[#This Row],[UDC]],TableOSEPCULIN[],7,FALSE),"")</f>
        <v/>
      </c>
      <c r="AB46" s="240" t="str">
        <f>IFERROR(VLOOKUP(TableHandbook[[#This Row],[UDC]],TableOSEPLNTCH[],7,FALSE),"")</f>
        <v/>
      </c>
      <c r="AC46" s="240" t="str">
        <f>IFERROR(VLOOKUP(TableHandbook[[#This Row],[UDC]],TableOSEPSTEME[],7,FALSE),"")</f>
        <v/>
      </c>
    </row>
    <row r="47" spans="1:29" x14ac:dyDescent="0.25">
      <c r="A47" s="2" t="s">
        <v>302</v>
      </c>
      <c r="B47" s="3">
        <v>1</v>
      </c>
      <c r="C47" s="3" t="s">
        <v>439</v>
      </c>
      <c r="D47" s="2" t="s">
        <v>440</v>
      </c>
      <c r="E47" s="3">
        <v>25</v>
      </c>
      <c r="F47" s="237" t="s">
        <v>357</v>
      </c>
      <c r="G47" s="239" t="str">
        <f>IFERROR(IF(VLOOKUP(TableHandbook[[#This Row],[UDC]],TableAvailabilities[],2,FALSE)&gt;0,"Y",""),"")</f>
        <v>Y</v>
      </c>
      <c r="H47" s="239" t="str">
        <f>IFERROR(IF(VLOOKUP(TableHandbook[[#This Row],[UDC]],TableAvailabilities[],3,FALSE)&gt;0,"Y",""),"")</f>
        <v/>
      </c>
      <c r="I47" s="239" t="str">
        <f>IFERROR(IF(VLOOKUP(TableHandbook[[#This Row],[UDC]],TableAvailabilities[],4,FALSE)&gt;0,"Y",""),"")</f>
        <v/>
      </c>
      <c r="J47" s="239" t="str">
        <f>IFERROR(IF(VLOOKUP(TableHandbook[[#This Row],[UDC]],TableAvailabilities[],5,FALSE)&gt;0,"Y",""),"")</f>
        <v/>
      </c>
      <c r="K47" s="2"/>
      <c r="L47" s="242" t="str">
        <f>IFERROR(VLOOKUP(TableHandbook[[#This Row],[UDC]],TableOMTEACH1[],7,FALSE),"")</f>
        <v/>
      </c>
      <c r="M47" s="240" t="str">
        <f>IFERROR(VLOOKUP(TableHandbook[[#This Row],[UDC]],TableOUMPTCHEC[],7,FALSE),"")</f>
        <v/>
      </c>
      <c r="N47" s="240" t="str">
        <f>IFERROR(VLOOKUP(TableHandbook[[#This Row],[UDC]],TableOUMPTCHPE[],7,FALSE),"")</f>
        <v/>
      </c>
      <c r="O47" s="240" t="str">
        <f>IFERROR(VLOOKUP(TableHandbook[[#This Row],[UDC]],TableOUMPTCHSE[],7,FALSE),"")</f>
        <v>Core</v>
      </c>
      <c r="P47" s="242" t="str">
        <f>IFERROR(VLOOKUP(TableHandbook[[#This Row],[UDC]],TableOCTESOL1[],7,FALSE),"")</f>
        <v/>
      </c>
      <c r="Q47" s="240" t="str">
        <f>IFERROR(VLOOKUP(TableHandbook[[#This Row],[UDC]],TableOCTESOL[],7,FALSE),"")</f>
        <v/>
      </c>
      <c r="R47" s="240" t="str">
        <f>IFERROR(VLOOKUP(TableHandbook[[#This Row],[UDC]],TableOMAPLING[],7,FALSE),"")</f>
        <v/>
      </c>
      <c r="S47" s="242" t="str">
        <f>IFERROR(VLOOKUP(TableHandbook[[#This Row],[UDC]],TableOCEDHE1[],7,FALSE),"")</f>
        <v/>
      </c>
      <c r="T47" s="240" t="str">
        <f>IFERROR(VLOOKUP(TableHandbook[[#This Row],[UDC]],TableOCEDHE[],7,FALSE),"")</f>
        <v/>
      </c>
      <c r="U47" s="240" t="str">
        <f>IFERROR(VLOOKUP(TableHandbook[[#This Row],[UDC]],TableOCEDUCS1[],7,FALSE),"")</f>
        <v/>
      </c>
      <c r="V47" s="240" t="str">
        <f>IFERROR(VLOOKUP(TableHandbook[[#This Row],[UDC]],TableOCEDUC[],7,FALSE),"")</f>
        <v/>
      </c>
      <c r="W47" s="240" t="str">
        <f>IFERROR(VLOOKUP(TableHandbook[[#This Row],[UDC]],TableOGEDUC[],7,FALSE),"")</f>
        <v/>
      </c>
      <c r="X47" s="240" t="str">
        <f>IFERROR(VLOOKUP(TableHandbook[[#This Row],[UDC]],TableOUMPEDUPR[],7,FALSE),"")</f>
        <v/>
      </c>
      <c r="Y47" s="240" t="str">
        <f>IFERROR(VLOOKUP(TableHandbook[[#This Row],[UDC]],TableOUMPEDUSC[],7,FALSE),"")</f>
        <v/>
      </c>
      <c r="Z47" s="242" t="str">
        <f>IFERROR(VLOOKUP(TableHandbook[[#This Row],[UDC]],TableOMEDUC[],7,FALSE),"")</f>
        <v/>
      </c>
      <c r="AA47" s="240" t="str">
        <f>IFERROR(VLOOKUP(TableHandbook[[#This Row],[UDC]],TableOSEPCULIN[],7,FALSE),"")</f>
        <v/>
      </c>
      <c r="AB47" s="240" t="str">
        <f>IFERROR(VLOOKUP(TableHandbook[[#This Row],[UDC]],TableOSEPLNTCH[],7,FALSE),"")</f>
        <v/>
      </c>
      <c r="AC47" s="240" t="str">
        <f>IFERROR(VLOOKUP(TableHandbook[[#This Row],[UDC]],TableOSEPSTEME[],7,FALSE),"")</f>
        <v/>
      </c>
    </row>
    <row r="48" spans="1:29" x14ac:dyDescent="0.25">
      <c r="A48" s="2" t="s">
        <v>75</v>
      </c>
      <c r="B48" s="3">
        <v>2</v>
      </c>
      <c r="C48" s="3" t="s">
        <v>360</v>
      </c>
      <c r="D48" s="2" t="s">
        <v>441</v>
      </c>
      <c r="E48" s="3">
        <v>25</v>
      </c>
      <c r="F48" s="237" t="s">
        <v>357</v>
      </c>
      <c r="G48" s="239" t="str">
        <f>IFERROR(IF(VLOOKUP(TableHandbook[[#This Row],[UDC]],TableAvailabilities[],2,FALSE)&gt;0,"Y",""),"")</f>
        <v>Y</v>
      </c>
      <c r="H48" s="239" t="str">
        <f>IFERROR(IF(VLOOKUP(TableHandbook[[#This Row],[UDC]],TableAvailabilities[],3,FALSE)&gt;0,"Y",""),"")</f>
        <v/>
      </c>
      <c r="I48" s="239" t="str">
        <f>IFERROR(IF(VLOOKUP(TableHandbook[[#This Row],[UDC]],TableAvailabilities[],4,FALSE)&gt;0,"Y",""),"")</f>
        <v>Y</v>
      </c>
      <c r="J48" s="239" t="str">
        <f>IFERROR(IF(VLOOKUP(TableHandbook[[#This Row],[UDC]],TableAvailabilities[],5,FALSE)&gt;0,"Y",""),"")</f>
        <v/>
      </c>
      <c r="K48" s="2"/>
      <c r="L48" s="242" t="str">
        <f>IFERROR(VLOOKUP(TableHandbook[[#This Row],[UDC]],TableOMTEACH1[],7,FALSE),"")</f>
        <v/>
      </c>
      <c r="M48" s="240" t="str">
        <f>IFERROR(VLOOKUP(TableHandbook[[#This Row],[UDC]],TableOUMPTCHEC[],7,FALSE),"")</f>
        <v>Core</v>
      </c>
      <c r="N48" s="240" t="str">
        <f>IFERROR(VLOOKUP(TableHandbook[[#This Row],[UDC]],TableOUMPTCHPE[],7,FALSE),"")</f>
        <v>Core</v>
      </c>
      <c r="O48" s="240" t="str">
        <f>IFERROR(VLOOKUP(TableHandbook[[#This Row],[UDC]],TableOUMPTCHSE[],7,FALSE),"")</f>
        <v>Core</v>
      </c>
      <c r="P48" s="242" t="str">
        <f>IFERROR(VLOOKUP(TableHandbook[[#This Row],[UDC]],TableOCTESOL1[],7,FALSE),"")</f>
        <v/>
      </c>
      <c r="Q48" s="240" t="str">
        <f>IFERROR(VLOOKUP(TableHandbook[[#This Row],[UDC]],TableOCTESOL[],7,FALSE),"")</f>
        <v/>
      </c>
      <c r="R48" s="240" t="str">
        <f>IFERROR(VLOOKUP(TableHandbook[[#This Row],[UDC]],TableOMAPLING[],7,FALSE),"")</f>
        <v/>
      </c>
      <c r="S48" s="242" t="str">
        <f>IFERROR(VLOOKUP(TableHandbook[[#This Row],[UDC]],TableOCEDHE1[],7,FALSE),"")</f>
        <v/>
      </c>
      <c r="T48" s="240" t="str">
        <f>IFERROR(VLOOKUP(TableHandbook[[#This Row],[UDC]],TableOCEDHE[],7,FALSE),"")</f>
        <v/>
      </c>
      <c r="U48" s="240" t="str">
        <f>IFERROR(VLOOKUP(TableHandbook[[#This Row],[UDC]],TableOCEDUCS1[],7,FALSE),"")</f>
        <v>Option</v>
      </c>
      <c r="V48" s="240" t="str">
        <f>IFERROR(VLOOKUP(TableHandbook[[#This Row],[UDC]],TableOCEDUC[],7,FALSE),"")</f>
        <v>Option</v>
      </c>
      <c r="W48" s="240" t="str">
        <f>IFERROR(VLOOKUP(TableHandbook[[#This Row],[UDC]],TableOGEDUC[],7,FALSE),"")</f>
        <v/>
      </c>
      <c r="X48" s="240" t="str">
        <f>IFERROR(VLOOKUP(TableHandbook[[#This Row],[UDC]],TableOUMPEDUPR[],7,FALSE),"")</f>
        <v>Core</v>
      </c>
      <c r="Y48" s="240" t="str">
        <f>IFERROR(VLOOKUP(TableHandbook[[#This Row],[UDC]],TableOUMPEDUSC[],7,FALSE),"")</f>
        <v/>
      </c>
      <c r="Z48" s="242" t="str">
        <f>IFERROR(VLOOKUP(TableHandbook[[#This Row],[UDC]],TableOMEDUC[],7,FALSE),"")</f>
        <v/>
      </c>
      <c r="AA48" s="240" t="str">
        <f>IFERROR(VLOOKUP(TableHandbook[[#This Row],[UDC]],TableOSEPCULIN[],7,FALSE),"")</f>
        <v/>
      </c>
      <c r="AB48" s="240" t="str">
        <f>IFERROR(VLOOKUP(TableHandbook[[#This Row],[UDC]],TableOSEPLNTCH[],7,FALSE),"")</f>
        <v/>
      </c>
      <c r="AC48" s="240" t="str">
        <f>IFERROR(VLOOKUP(TableHandbook[[#This Row],[UDC]],TableOSEPSTEME[],7,FALSE),"")</f>
        <v/>
      </c>
    </row>
    <row r="49" spans="1:29" x14ac:dyDescent="0.25">
      <c r="A49" s="2" t="s">
        <v>80</v>
      </c>
      <c r="B49" s="3">
        <v>1</v>
      </c>
      <c r="C49" s="3" t="s">
        <v>442</v>
      </c>
      <c r="D49" s="2" t="s">
        <v>443</v>
      </c>
      <c r="E49" s="3">
        <v>25</v>
      </c>
      <c r="F49" s="237" t="s">
        <v>357</v>
      </c>
      <c r="G49" s="239" t="str">
        <f>IFERROR(IF(VLOOKUP(TableHandbook[[#This Row],[UDC]],TableAvailabilities[],2,FALSE)&gt;0,"Y",""),"")</f>
        <v/>
      </c>
      <c r="H49" s="239" t="str">
        <f>IFERROR(IF(VLOOKUP(TableHandbook[[#This Row],[UDC]],TableAvailabilities[],3,FALSE)&gt;0,"Y",""),"")</f>
        <v>Y</v>
      </c>
      <c r="I49" s="239" t="str">
        <f>IFERROR(IF(VLOOKUP(TableHandbook[[#This Row],[UDC]],TableAvailabilities[],4,FALSE)&gt;0,"Y",""),"")</f>
        <v/>
      </c>
      <c r="J49" s="239" t="str">
        <f>IFERROR(IF(VLOOKUP(TableHandbook[[#This Row],[UDC]],TableAvailabilities[],5,FALSE)&gt;0,"Y",""),"")</f>
        <v>Y</v>
      </c>
      <c r="K49" s="2"/>
      <c r="L49" s="242" t="str">
        <f>IFERROR(VLOOKUP(TableHandbook[[#This Row],[UDC]],TableOMTEACH1[],7,FALSE),"")</f>
        <v/>
      </c>
      <c r="M49" s="240" t="str">
        <f>IFERROR(VLOOKUP(TableHandbook[[#This Row],[UDC]],TableOUMPTCHEC[],7,FALSE),"")</f>
        <v>Core</v>
      </c>
      <c r="N49" s="240" t="str">
        <f>IFERROR(VLOOKUP(TableHandbook[[#This Row],[UDC]],TableOUMPTCHPE[],7,FALSE),"")</f>
        <v>Core</v>
      </c>
      <c r="O49" s="240" t="str">
        <f>IFERROR(VLOOKUP(TableHandbook[[#This Row],[UDC]],TableOUMPTCHSE[],7,FALSE),"")</f>
        <v/>
      </c>
      <c r="P49" s="242" t="str">
        <f>IFERROR(VLOOKUP(TableHandbook[[#This Row],[UDC]],TableOCTESOL1[],7,FALSE),"")</f>
        <v/>
      </c>
      <c r="Q49" s="240" t="str">
        <f>IFERROR(VLOOKUP(TableHandbook[[#This Row],[UDC]],TableOCTESOL[],7,FALSE),"")</f>
        <v/>
      </c>
      <c r="R49" s="240" t="str">
        <f>IFERROR(VLOOKUP(TableHandbook[[#This Row],[UDC]],TableOMAPLING[],7,FALSE),"")</f>
        <v/>
      </c>
      <c r="S49" s="242" t="str">
        <f>IFERROR(VLOOKUP(TableHandbook[[#This Row],[UDC]],TableOCEDHE1[],7,FALSE),"")</f>
        <v/>
      </c>
      <c r="T49" s="240" t="str">
        <f>IFERROR(VLOOKUP(TableHandbook[[#This Row],[UDC]],TableOCEDHE[],7,FALSE),"")</f>
        <v/>
      </c>
      <c r="U49" s="240" t="str">
        <f>IFERROR(VLOOKUP(TableHandbook[[#This Row],[UDC]],TableOCEDUCS1[],7,FALSE),"")</f>
        <v>Option</v>
      </c>
      <c r="V49" s="240" t="str">
        <f>IFERROR(VLOOKUP(TableHandbook[[#This Row],[UDC]],TableOCEDUC[],7,FALSE),"")</f>
        <v>Option</v>
      </c>
      <c r="W49" s="240" t="str">
        <f>IFERROR(VLOOKUP(TableHandbook[[#This Row],[UDC]],TableOGEDUC[],7,FALSE),"")</f>
        <v/>
      </c>
      <c r="X49" s="240" t="str">
        <f>IFERROR(VLOOKUP(TableHandbook[[#This Row],[UDC]],TableOUMPEDUPR[],7,FALSE),"")</f>
        <v/>
      </c>
      <c r="Y49" s="240" t="str">
        <f>IFERROR(VLOOKUP(TableHandbook[[#This Row],[UDC]],TableOUMPEDUSC[],7,FALSE),"")</f>
        <v/>
      </c>
      <c r="Z49" s="242" t="str">
        <f>IFERROR(VLOOKUP(TableHandbook[[#This Row],[UDC]],TableOMEDUC[],7,FALSE),"")</f>
        <v/>
      </c>
      <c r="AA49" s="240" t="str">
        <f>IFERROR(VLOOKUP(TableHandbook[[#This Row],[UDC]],TableOSEPCULIN[],7,FALSE),"")</f>
        <v/>
      </c>
      <c r="AB49" s="240" t="str">
        <f>IFERROR(VLOOKUP(TableHandbook[[#This Row],[UDC]],TableOSEPLNTCH[],7,FALSE),"")</f>
        <v/>
      </c>
      <c r="AC49" s="240" t="str">
        <f>IFERROR(VLOOKUP(TableHandbook[[#This Row],[UDC]],TableOSEPSTEME[],7,FALSE),"")</f>
        <v/>
      </c>
    </row>
    <row r="50" spans="1:29" x14ac:dyDescent="0.25">
      <c r="A50" s="2" t="s">
        <v>96</v>
      </c>
      <c r="B50" s="3">
        <v>1</v>
      </c>
      <c r="C50" s="3" t="s">
        <v>444</v>
      </c>
      <c r="D50" s="2" t="s">
        <v>445</v>
      </c>
      <c r="E50" s="3">
        <v>25</v>
      </c>
      <c r="F50" s="237" t="s">
        <v>357</v>
      </c>
      <c r="G50" s="239" t="str">
        <f>IFERROR(IF(VLOOKUP(TableHandbook[[#This Row],[UDC]],TableAvailabilities[],2,FALSE)&gt;0,"Y",""),"")</f>
        <v>Y</v>
      </c>
      <c r="H50" s="239" t="str">
        <f>IFERROR(IF(VLOOKUP(TableHandbook[[#This Row],[UDC]],TableAvailabilities[],3,FALSE)&gt;0,"Y",""),"")</f>
        <v/>
      </c>
      <c r="I50" s="239" t="str">
        <f>IFERROR(IF(VLOOKUP(TableHandbook[[#This Row],[UDC]],TableAvailabilities[],4,FALSE)&gt;0,"Y",""),"")</f>
        <v>Y</v>
      </c>
      <c r="J50" s="239" t="str">
        <f>IFERROR(IF(VLOOKUP(TableHandbook[[#This Row],[UDC]],TableAvailabilities[],5,FALSE)&gt;0,"Y",""),"")</f>
        <v/>
      </c>
      <c r="K50" s="2"/>
      <c r="L50" s="242" t="str">
        <f>IFERROR(VLOOKUP(TableHandbook[[#This Row],[UDC]],TableOMTEACH1[],7,FALSE),"")</f>
        <v/>
      </c>
      <c r="M50" s="240" t="str">
        <f>IFERROR(VLOOKUP(TableHandbook[[#This Row],[UDC]],TableOUMPTCHEC[],7,FALSE),"")</f>
        <v/>
      </c>
      <c r="N50" s="240" t="str">
        <f>IFERROR(VLOOKUP(TableHandbook[[#This Row],[UDC]],TableOUMPTCHPE[],7,FALSE),"")</f>
        <v>Core</v>
      </c>
      <c r="O50" s="240" t="str">
        <f>IFERROR(VLOOKUP(TableHandbook[[#This Row],[UDC]],TableOUMPTCHSE[],7,FALSE),"")</f>
        <v>Core</v>
      </c>
      <c r="P50" s="242" t="str">
        <f>IFERROR(VLOOKUP(TableHandbook[[#This Row],[UDC]],TableOCTESOL1[],7,FALSE),"")</f>
        <v/>
      </c>
      <c r="Q50" s="240" t="str">
        <f>IFERROR(VLOOKUP(TableHandbook[[#This Row],[UDC]],TableOCTESOL[],7,FALSE),"")</f>
        <v/>
      </c>
      <c r="R50" s="240" t="str">
        <f>IFERROR(VLOOKUP(TableHandbook[[#This Row],[UDC]],TableOMAPLING[],7,FALSE),"")</f>
        <v/>
      </c>
      <c r="S50" s="242" t="str">
        <f>IFERROR(VLOOKUP(TableHandbook[[#This Row],[UDC]],TableOCEDHE1[],7,FALSE),"")</f>
        <v/>
      </c>
      <c r="T50" s="240" t="str">
        <f>IFERROR(VLOOKUP(TableHandbook[[#This Row],[UDC]],TableOCEDHE[],7,FALSE),"")</f>
        <v/>
      </c>
      <c r="U50" s="240" t="str">
        <f>IFERROR(VLOOKUP(TableHandbook[[#This Row],[UDC]],TableOCEDUCS1[],7,FALSE),"")</f>
        <v>Option</v>
      </c>
      <c r="V50" s="240" t="str">
        <f>IFERROR(VLOOKUP(TableHandbook[[#This Row],[UDC]],TableOCEDUC[],7,FALSE),"")</f>
        <v>Option</v>
      </c>
      <c r="W50" s="240" t="str">
        <f>IFERROR(VLOOKUP(TableHandbook[[#This Row],[UDC]],TableOGEDUC[],7,FALSE),"")</f>
        <v/>
      </c>
      <c r="X50" s="240" t="str">
        <f>IFERROR(VLOOKUP(TableHandbook[[#This Row],[UDC]],TableOUMPEDUPR[],7,FALSE),"")</f>
        <v/>
      </c>
      <c r="Y50" s="240" t="str">
        <f>IFERROR(VLOOKUP(TableHandbook[[#This Row],[UDC]],TableOUMPEDUSC[],7,FALSE),"")</f>
        <v>Core</v>
      </c>
      <c r="Z50" s="242" t="str">
        <f>IFERROR(VLOOKUP(TableHandbook[[#This Row],[UDC]],TableOMEDUC[],7,FALSE),"")</f>
        <v/>
      </c>
      <c r="AA50" s="240" t="str">
        <f>IFERROR(VLOOKUP(TableHandbook[[#This Row],[UDC]],TableOSEPCULIN[],7,FALSE),"")</f>
        <v/>
      </c>
      <c r="AB50" s="240" t="str">
        <f>IFERROR(VLOOKUP(TableHandbook[[#This Row],[UDC]],TableOSEPLNTCH[],7,FALSE),"")</f>
        <v/>
      </c>
      <c r="AC50" s="240" t="str">
        <f>IFERROR(VLOOKUP(TableHandbook[[#This Row],[UDC]],TableOSEPSTEME[],7,FALSE),"")</f>
        <v/>
      </c>
    </row>
    <row r="51" spans="1:29" x14ac:dyDescent="0.25">
      <c r="A51" s="2" t="s">
        <v>95</v>
      </c>
      <c r="B51" s="3">
        <v>1</v>
      </c>
      <c r="C51" s="3" t="s">
        <v>446</v>
      </c>
      <c r="D51" s="2" t="s">
        <v>447</v>
      </c>
      <c r="E51" s="3">
        <v>25</v>
      </c>
      <c r="F51" s="237" t="s">
        <v>357</v>
      </c>
      <c r="G51" s="239" t="str">
        <f>IFERROR(IF(VLOOKUP(TableHandbook[[#This Row],[UDC]],TableAvailabilities[],2,FALSE)&gt;0,"Y",""),"")</f>
        <v/>
      </c>
      <c r="H51" s="239" t="str">
        <f>IFERROR(IF(VLOOKUP(TableHandbook[[#This Row],[UDC]],TableAvailabilities[],3,FALSE)&gt;0,"Y",""),"")</f>
        <v>Y</v>
      </c>
      <c r="I51" s="239" t="str">
        <f>IFERROR(IF(VLOOKUP(TableHandbook[[#This Row],[UDC]],TableAvailabilities[],4,FALSE)&gt;0,"Y",""),"")</f>
        <v>Y</v>
      </c>
      <c r="J51" s="239" t="str">
        <f>IFERROR(IF(VLOOKUP(TableHandbook[[#This Row],[UDC]],TableAvailabilities[],5,FALSE)&gt;0,"Y",""),"")</f>
        <v>Y</v>
      </c>
      <c r="K51" s="2"/>
      <c r="L51" s="242" t="str">
        <f>IFERROR(VLOOKUP(TableHandbook[[#This Row],[UDC]],TableOMTEACH1[],7,FALSE),"")</f>
        <v/>
      </c>
      <c r="M51" s="240" t="str">
        <f>IFERROR(VLOOKUP(TableHandbook[[#This Row],[UDC]],TableOUMPTCHEC[],7,FALSE),"")</f>
        <v>Core</v>
      </c>
      <c r="N51" s="240" t="str">
        <f>IFERROR(VLOOKUP(TableHandbook[[#This Row],[UDC]],TableOUMPTCHPE[],7,FALSE),"")</f>
        <v>Core</v>
      </c>
      <c r="O51" s="240" t="str">
        <f>IFERROR(VLOOKUP(TableHandbook[[#This Row],[UDC]],TableOUMPTCHSE[],7,FALSE),"")</f>
        <v>Core</v>
      </c>
      <c r="P51" s="242" t="str">
        <f>IFERROR(VLOOKUP(TableHandbook[[#This Row],[UDC]],TableOCTESOL1[],7,FALSE),"")</f>
        <v/>
      </c>
      <c r="Q51" s="240" t="str">
        <f>IFERROR(VLOOKUP(TableHandbook[[#This Row],[UDC]],TableOCTESOL[],7,FALSE),"")</f>
        <v/>
      </c>
      <c r="R51" s="240" t="str">
        <f>IFERROR(VLOOKUP(TableHandbook[[#This Row],[UDC]],TableOMAPLING[],7,FALSE),"")</f>
        <v/>
      </c>
      <c r="S51" s="242" t="str">
        <f>IFERROR(VLOOKUP(TableHandbook[[#This Row],[UDC]],TableOCEDHE1[],7,FALSE),"")</f>
        <v/>
      </c>
      <c r="T51" s="240" t="str">
        <f>IFERROR(VLOOKUP(TableHandbook[[#This Row],[UDC]],TableOCEDHE[],7,FALSE),"")</f>
        <v/>
      </c>
      <c r="U51" s="240" t="str">
        <f>IFERROR(VLOOKUP(TableHandbook[[#This Row],[UDC]],TableOCEDUCS1[],7,FALSE),"")</f>
        <v>Option</v>
      </c>
      <c r="V51" s="240" t="str">
        <f>IFERROR(VLOOKUP(TableHandbook[[#This Row],[UDC]],TableOCEDUC[],7,FALSE),"")</f>
        <v>Option</v>
      </c>
      <c r="W51" s="240" t="str">
        <f>IFERROR(VLOOKUP(TableHandbook[[#This Row],[UDC]],TableOGEDUC[],7,FALSE),"")</f>
        <v/>
      </c>
      <c r="X51" s="240" t="str">
        <f>IFERROR(VLOOKUP(TableHandbook[[#This Row],[UDC]],TableOUMPEDUPR[],7,FALSE),"")</f>
        <v>Core</v>
      </c>
      <c r="Y51" s="240" t="str">
        <f>IFERROR(VLOOKUP(TableHandbook[[#This Row],[UDC]],TableOUMPEDUSC[],7,FALSE),"")</f>
        <v>Core</v>
      </c>
      <c r="Z51" s="242" t="str">
        <f>IFERROR(VLOOKUP(TableHandbook[[#This Row],[UDC]],TableOMEDUC[],7,FALSE),"")</f>
        <v/>
      </c>
      <c r="AA51" s="240" t="str">
        <f>IFERROR(VLOOKUP(TableHandbook[[#This Row],[UDC]],TableOSEPCULIN[],7,FALSE),"")</f>
        <v/>
      </c>
      <c r="AB51" s="240" t="str">
        <f>IFERROR(VLOOKUP(TableHandbook[[#This Row],[UDC]],TableOSEPLNTCH[],7,FALSE),"")</f>
        <v/>
      </c>
      <c r="AC51" s="240" t="str">
        <f>IFERROR(VLOOKUP(TableHandbook[[#This Row],[UDC]],TableOSEPSTEME[],7,FALSE),"")</f>
        <v/>
      </c>
    </row>
    <row r="52" spans="1:29" x14ac:dyDescent="0.25">
      <c r="A52" s="2" t="s">
        <v>224</v>
      </c>
      <c r="B52" s="3">
        <v>1</v>
      </c>
      <c r="C52" s="3" t="s">
        <v>448</v>
      </c>
      <c r="D52" s="2" t="s">
        <v>449</v>
      </c>
      <c r="E52" s="3">
        <v>25</v>
      </c>
      <c r="F52" s="237" t="s">
        <v>357</v>
      </c>
      <c r="G52" s="239" t="str">
        <f>IFERROR(IF(VLOOKUP(TableHandbook[[#This Row],[UDC]],TableAvailabilities[],2,FALSE)&gt;0,"Y",""),"")</f>
        <v/>
      </c>
      <c r="H52" s="239" t="str">
        <f>IFERROR(IF(VLOOKUP(TableHandbook[[#This Row],[UDC]],TableAvailabilities[],3,FALSE)&gt;0,"Y",""),"")</f>
        <v>Y</v>
      </c>
      <c r="I52" s="239" t="str">
        <f>IFERROR(IF(VLOOKUP(TableHandbook[[#This Row],[UDC]],TableAvailabilities[],4,FALSE)&gt;0,"Y",""),"")</f>
        <v/>
      </c>
      <c r="J52" s="239" t="str">
        <f>IFERROR(IF(VLOOKUP(TableHandbook[[#This Row],[UDC]],TableAvailabilities[],5,FALSE)&gt;0,"Y",""),"")</f>
        <v>Y</v>
      </c>
      <c r="K52" s="2"/>
      <c r="L52" s="242" t="str">
        <f>IFERROR(VLOOKUP(TableHandbook[[#This Row],[UDC]],TableOMTEACH1[],7,FALSE),"")</f>
        <v/>
      </c>
      <c r="M52" s="240" t="str">
        <f>IFERROR(VLOOKUP(TableHandbook[[#This Row],[UDC]],TableOUMPTCHEC[],7,FALSE),"")</f>
        <v/>
      </c>
      <c r="N52" s="240" t="str">
        <f>IFERROR(VLOOKUP(TableHandbook[[#This Row],[UDC]],TableOUMPTCHPE[],7,FALSE),"")</f>
        <v/>
      </c>
      <c r="O52" s="240" t="str">
        <f>IFERROR(VLOOKUP(TableHandbook[[#This Row],[UDC]],TableOUMPTCHSE[],7,FALSE),"")</f>
        <v/>
      </c>
      <c r="P52" s="242" t="str">
        <f>IFERROR(VLOOKUP(TableHandbook[[#This Row],[UDC]],TableOCTESOL1[],7,FALSE),"")</f>
        <v>Core</v>
      </c>
      <c r="Q52" s="240" t="str">
        <f>IFERROR(VLOOKUP(TableHandbook[[#This Row],[UDC]],TableOCTESOL[],7,FALSE),"")</f>
        <v>Core</v>
      </c>
      <c r="R52" s="240" t="str">
        <f>IFERROR(VLOOKUP(TableHandbook[[#This Row],[UDC]],TableOMAPLING[],7,FALSE),"")</f>
        <v/>
      </c>
      <c r="S52" s="242" t="str">
        <f>IFERROR(VLOOKUP(TableHandbook[[#This Row],[UDC]],TableOCEDHE1[],7,FALSE),"")</f>
        <v/>
      </c>
      <c r="T52" s="240" t="str">
        <f>IFERROR(VLOOKUP(TableHandbook[[#This Row],[UDC]],TableOCEDHE[],7,FALSE),"")</f>
        <v/>
      </c>
      <c r="U52" s="240" t="str">
        <f>IFERROR(VLOOKUP(TableHandbook[[#This Row],[UDC]],TableOCEDUCS1[],7,FALSE),"")</f>
        <v/>
      </c>
      <c r="V52" s="240" t="str">
        <f>IFERROR(VLOOKUP(TableHandbook[[#This Row],[UDC]],TableOCEDUC[],7,FALSE),"")</f>
        <v/>
      </c>
      <c r="W52" s="240" t="str">
        <f>IFERROR(VLOOKUP(TableHandbook[[#This Row],[UDC]],TableOGEDUC[],7,FALSE),"")</f>
        <v/>
      </c>
      <c r="X52" s="240" t="str">
        <f>IFERROR(VLOOKUP(TableHandbook[[#This Row],[UDC]],TableOUMPEDUPR[],7,FALSE),"")</f>
        <v/>
      </c>
      <c r="Y52" s="240" t="str">
        <f>IFERROR(VLOOKUP(TableHandbook[[#This Row],[UDC]],TableOUMPEDUSC[],7,FALSE),"")</f>
        <v/>
      </c>
      <c r="Z52" s="242" t="str">
        <f>IFERROR(VLOOKUP(TableHandbook[[#This Row],[UDC]],TableOMEDUC[],7,FALSE),"")</f>
        <v/>
      </c>
      <c r="AA52" s="240" t="str">
        <f>IFERROR(VLOOKUP(TableHandbook[[#This Row],[UDC]],TableOSEPCULIN[],7,FALSE),"")</f>
        <v/>
      </c>
      <c r="AB52" s="240" t="str">
        <f>IFERROR(VLOOKUP(TableHandbook[[#This Row],[UDC]],TableOSEPLNTCH[],7,FALSE),"")</f>
        <v/>
      </c>
      <c r="AC52" s="240" t="str">
        <f>IFERROR(VLOOKUP(TableHandbook[[#This Row],[UDC]],TableOSEPSTEME[],7,FALSE),"")</f>
        <v/>
      </c>
    </row>
    <row r="53" spans="1:29" x14ac:dyDescent="0.25">
      <c r="A53" s="2" t="s">
        <v>239</v>
      </c>
      <c r="B53" s="3">
        <v>1</v>
      </c>
      <c r="C53" s="3" t="s">
        <v>450</v>
      </c>
      <c r="D53" s="2" t="s">
        <v>451</v>
      </c>
      <c r="E53" s="3">
        <v>25</v>
      </c>
      <c r="F53" s="237" t="s">
        <v>357</v>
      </c>
      <c r="G53" s="239" t="str">
        <f>IFERROR(IF(VLOOKUP(TableHandbook[[#This Row],[UDC]],TableAvailabilities[],2,FALSE)&gt;0,"Y",""),"")</f>
        <v>Y</v>
      </c>
      <c r="H53" s="239" t="str">
        <f>IFERROR(IF(VLOOKUP(TableHandbook[[#This Row],[UDC]],TableAvailabilities[],3,FALSE)&gt;0,"Y",""),"")</f>
        <v/>
      </c>
      <c r="I53" s="239" t="str">
        <f>IFERROR(IF(VLOOKUP(TableHandbook[[#This Row],[UDC]],TableAvailabilities[],4,FALSE)&gt;0,"Y",""),"")</f>
        <v>Y</v>
      </c>
      <c r="J53" s="239" t="str">
        <f>IFERROR(IF(VLOOKUP(TableHandbook[[#This Row],[UDC]],TableAvailabilities[],5,FALSE)&gt;0,"Y",""),"")</f>
        <v/>
      </c>
      <c r="K53" s="2"/>
      <c r="L53" s="242" t="str">
        <f>IFERROR(VLOOKUP(TableHandbook[[#This Row],[UDC]],TableOMTEACH1[],7,FALSE),"")</f>
        <v/>
      </c>
      <c r="M53" s="240" t="str">
        <f>IFERROR(VLOOKUP(TableHandbook[[#This Row],[UDC]],TableOUMPTCHEC[],7,FALSE),"")</f>
        <v/>
      </c>
      <c r="N53" s="240" t="str">
        <f>IFERROR(VLOOKUP(TableHandbook[[#This Row],[UDC]],TableOUMPTCHPE[],7,FALSE),"")</f>
        <v/>
      </c>
      <c r="O53" s="240" t="str">
        <f>IFERROR(VLOOKUP(TableHandbook[[#This Row],[UDC]],TableOUMPTCHSE[],7,FALSE),"")</f>
        <v/>
      </c>
      <c r="P53" s="242" t="str">
        <f>IFERROR(VLOOKUP(TableHandbook[[#This Row],[UDC]],TableOCTESOL1[],7,FALSE),"")</f>
        <v>AltCore</v>
      </c>
      <c r="Q53" s="240" t="str">
        <f>IFERROR(VLOOKUP(TableHandbook[[#This Row],[UDC]],TableOCTESOL[],7,FALSE),"")</f>
        <v>AltCore</v>
      </c>
      <c r="R53" s="240" t="str">
        <f>IFERROR(VLOOKUP(TableHandbook[[#This Row],[UDC]],TableOMAPLING[],7,FALSE),"")</f>
        <v/>
      </c>
      <c r="S53" s="242" t="str">
        <f>IFERROR(VLOOKUP(TableHandbook[[#This Row],[UDC]],TableOCEDHE1[],7,FALSE),"")</f>
        <v/>
      </c>
      <c r="T53" s="240" t="str">
        <f>IFERROR(VLOOKUP(TableHandbook[[#This Row],[UDC]],TableOCEDHE[],7,FALSE),"")</f>
        <v/>
      </c>
      <c r="U53" s="240" t="str">
        <f>IFERROR(VLOOKUP(TableHandbook[[#This Row],[UDC]],TableOCEDUCS1[],7,FALSE),"")</f>
        <v/>
      </c>
      <c r="V53" s="240" t="str">
        <f>IFERROR(VLOOKUP(TableHandbook[[#This Row],[UDC]],TableOCEDUC[],7,FALSE),"")</f>
        <v/>
      </c>
      <c r="W53" s="240" t="str">
        <f>IFERROR(VLOOKUP(TableHandbook[[#This Row],[UDC]],TableOGEDUC[],7,FALSE),"")</f>
        <v/>
      </c>
      <c r="X53" s="240" t="str">
        <f>IFERROR(VLOOKUP(TableHandbook[[#This Row],[UDC]],TableOUMPEDUPR[],7,FALSE),"")</f>
        <v/>
      </c>
      <c r="Y53" s="240" t="str">
        <f>IFERROR(VLOOKUP(TableHandbook[[#This Row],[UDC]],TableOUMPEDUSC[],7,FALSE),"")</f>
        <v/>
      </c>
      <c r="Z53" s="242" t="str">
        <f>IFERROR(VLOOKUP(TableHandbook[[#This Row],[UDC]],TableOMEDUC[],7,FALSE),"")</f>
        <v/>
      </c>
      <c r="AA53" s="240" t="str">
        <f>IFERROR(VLOOKUP(TableHandbook[[#This Row],[UDC]],TableOSEPCULIN[],7,FALSE),"")</f>
        <v/>
      </c>
      <c r="AB53" s="240" t="str">
        <f>IFERROR(VLOOKUP(TableHandbook[[#This Row],[UDC]],TableOSEPLNTCH[],7,FALSE),"")</f>
        <v/>
      </c>
      <c r="AC53" s="240" t="str">
        <f>IFERROR(VLOOKUP(TableHandbook[[#This Row],[UDC]],TableOSEPSTEME[],7,FALSE),"")</f>
        <v/>
      </c>
    </row>
    <row r="54" spans="1:29" x14ac:dyDescent="0.25">
      <c r="A54" s="2" t="s">
        <v>223</v>
      </c>
      <c r="B54" s="3">
        <v>1</v>
      </c>
      <c r="C54" s="3" t="s">
        <v>452</v>
      </c>
      <c r="D54" s="2" t="s">
        <v>453</v>
      </c>
      <c r="E54" s="3">
        <v>25</v>
      </c>
      <c r="F54" s="237" t="s">
        <v>357</v>
      </c>
      <c r="G54" s="239" t="str">
        <f>IFERROR(IF(VLOOKUP(TableHandbook[[#This Row],[UDC]],TableAvailabilities[],2,FALSE)&gt;0,"Y",""),"")</f>
        <v>Y</v>
      </c>
      <c r="H54" s="239" t="str">
        <f>IFERROR(IF(VLOOKUP(TableHandbook[[#This Row],[UDC]],TableAvailabilities[],3,FALSE)&gt;0,"Y",""),"")</f>
        <v/>
      </c>
      <c r="I54" s="239" t="str">
        <f>IFERROR(IF(VLOOKUP(TableHandbook[[#This Row],[UDC]],TableAvailabilities[],4,FALSE)&gt;0,"Y",""),"")</f>
        <v>Y</v>
      </c>
      <c r="J54" s="239" t="str">
        <f>IFERROR(IF(VLOOKUP(TableHandbook[[#This Row],[UDC]],TableAvailabilities[],5,FALSE)&gt;0,"Y",""),"")</f>
        <v/>
      </c>
      <c r="K54" s="2"/>
      <c r="L54" s="242" t="str">
        <f>IFERROR(VLOOKUP(TableHandbook[[#This Row],[UDC]],TableOMTEACH1[],7,FALSE),"")</f>
        <v/>
      </c>
      <c r="M54" s="240" t="str">
        <f>IFERROR(VLOOKUP(TableHandbook[[#This Row],[UDC]],TableOUMPTCHEC[],7,FALSE),"")</f>
        <v/>
      </c>
      <c r="N54" s="240" t="str">
        <f>IFERROR(VLOOKUP(TableHandbook[[#This Row],[UDC]],TableOUMPTCHPE[],7,FALSE),"")</f>
        <v/>
      </c>
      <c r="O54" s="240" t="str">
        <f>IFERROR(VLOOKUP(TableHandbook[[#This Row],[UDC]],TableOUMPTCHSE[],7,FALSE),"")</f>
        <v/>
      </c>
      <c r="P54" s="242" t="str">
        <f>IFERROR(VLOOKUP(TableHandbook[[#This Row],[UDC]],TableOCTESOL1[],7,FALSE),"")</f>
        <v>Core</v>
      </c>
      <c r="Q54" s="240" t="str">
        <f>IFERROR(VLOOKUP(TableHandbook[[#This Row],[UDC]],TableOCTESOL[],7,FALSE),"")</f>
        <v>Core</v>
      </c>
      <c r="R54" s="240" t="str">
        <f>IFERROR(VLOOKUP(TableHandbook[[#This Row],[UDC]],TableOMAPLING[],7,FALSE),"")</f>
        <v/>
      </c>
      <c r="S54" s="242" t="str">
        <f>IFERROR(VLOOKUP(TableHandbook[[#This Row],[UDC]],TableOCEDHE1[],7,FALSE),"")</f>
        <v/>
      </c>
      <c r="T54" s="240" t="str">
        <f>IFERROR(VLOOKUP(TableHandbook[[#This Row],[UDC]],TableOCEDHE[],7,FALSE),"")</f>
        <v/>
      </c>
      <c r="U54" s="240" t="str">
        <f>IFERROR(VLOOKUP(TableHandbook[[#This Row],[UDC]],TableOCEDUCS1[],7,FALSE),"")</f>
        <v/>
      </c>
      <c r="V54" s="240" t="str">
        <f>IFERROR(VLOOKUP(TableHandbook[[#This Row],[UDC]],TableOCEDUC[],7,FALSE),"")</f>
        <v/>
      </c>
      <c r="W54" s="240" t="str">
        <f>IFERROR(VLOOKUP(TableHandbook[[#This Row],[UDC]],TableOGEDUC[],7,FALSE),"")</f>
        <v/>
      </c>
      <c r="X54" s="240" t="str">
        <f>IFERROR(VLOOKUP(TableHandbook[[#This Row],[UDC]],TableOUMPEDUPR[],7,FALSE),"")</f>
        <v/>
      </c>
      <c r="Y54" s="240" t="str">
        <f>IFERROR(VLOOKUP(TableHandbook[[#This Row],[UDC]],TableOUMPEDUSC[],7,FALSE),"")</f>
        <v/>
      </c>
      <c r="Z54" s="242" t="str">
        <f>IFERROR(VLOOKUP(TableHandbook[[#This Row],[UDC]],TableOMEDUC[],7,FALSE),"")</f>
        <v/>
      </c>
      <c r="AA54" s="240" t="str">
        <f>IFERROR(VLOOKUP(TableHandbook[[#This Row],[UDC]],TableOSEPCULIN[],7,FALSE),"")</f>
        <v/>
      </c>
      <c r="AB54" s="240" t="str">
        <f>IFERROR(VLOOKUP(TableHandbook[[#This Row],[UDC]],TableOSEPLNTCH[],7,FALSE),"")</f>
        <v/>
      </c>
      <c r="AC54" s="240" t="str">
        <f>IFERROR(VLOOKUP(TableHandbook[[#This Row],[UDC]],TableOSEPSTEME[],7,FALSE),"")</f>
        <v/>
      </c>
    </row>
    <row r="55" spans="1:29" x14ac:dyDescent="0.25">
      <c r="A55" s="2" t="s">
        <v>229</v>
      </c>
      <c r="B55" s="3">
        <v>1</v>
      </c>
      <c r="C55" s="3" t="s">
        <v>454</v>
      </c>
      <c r="D55" s="2" t="s">
        <v>455</v>
      </c>
      <c r="E55" s="3">
        <v>25</v>
      </c>
      <c r="F55" s="237" t="s">
        <v>357</v>
      </c>
      <c r="G55" s="239" t="str">
        <f>IFERROR(IF(VLOOKUP(TableHandbook[[#This Row],[UDC]],TableAvailabilities[],2,FALSE)&gt;0,"Y",""),"")</f>
        <v/>
      </c>
      <c r="H55" s="239" t="str">
        <f>IFERROR(IF(VLOOKUP(TableHandbook[[#This Row],[UDC]],TableAvailabilities[],3,FALSE)&gt;0,"Y",""),"")</f>
        <v>Y</v>
      </c>
      <c r="I55" s="239" t="str">
        <f>IFERROR(IF(VLOOKUP(TableHandbook[[#This Row],[UDC]],TableAvailabilities[],4,FALSE)&gt;0,"Y",""),"")</f>
        <v/>
      </c>
      <c r="J55" s="239" t="str">
        <f>IFERROR(IF(VLOOKUP(TableHandbook[[#This Row],[UDC]],TableAvailabilities[],5,FALSE)&gt;0,"Y",""),"")</f>
        <v>Y</v>
      </c>
      <c r="K55" s="2"/>
      <c r="L55" s="242" t="str">
        <f>IFERROR(VLOOKUP(TableHandbook[[#This Row],[UDC]],TableOMTEACH1[],7,FALSE),"")</f>
        <v/>
      </c>
      <c r="M55" s="240" t="str">
        <f>IFERROR(VLOOKUP(TableHandbook[[#This Row],[UDC]],TableOUMPTCHEC[],7,FALSE),"")</f>
        <v/>
      </c>
      <c r="N55" s="240" t="str">
        <f>IFERROR(VLOOKUP(TableHandbook[[#This Row],[UDC]],TableOUMPTCHPE[],7,FALSE),"")</f>
        <v/>
      </c>
      <c r="O55" s="240" t="str">
        <f>IFERROR(VLOOKUP(TableHandbook[[#This Row],[UDC]],TableOUMPTCHSE[],7,FALSE),"")</f>
        <v/>
      </c>
      <c r="P55" s="242" t="str">
        <f>IFERROR(VLOOKUP(TableHandbook[[#This Row],[UDC]],TableOCTESOL1[],7,FALSE),"")</f>
        <v>Core</v>
      </c>
      <c r="Q55" s="240" t="str">
        <f>IFERROR(VLOOKUP(TableHandbook[[#This Row],[UDC]],TableOCTESOL[],7,FALSE),"")</f>
        <v>Core</v>
      </c>
      <c r="R55" s="240" t="str">
        <f>IFERROR(VLOOKUP(TableHandbook[[#This Row],[UDC]],TableOMAPLING[],7,FALSE),"")</f>
        <v/>
      </c>
      <c r="S55" s="242" t="str">
        <f>IFERROR(VLOOKUP(TableHandbook[[#This Row],[UDC]],TableOCEDHE1[],7,FALSE),"")</f>
        <v/>
      </c>
      <c r="T55" s="240" t="str">
        <f>IFERROR(VLOOKUP(TableHandbook[[#This Row],[UDC]],TableOCEDHE[],7,FALSE),"")</f>
        <v/>
      </c>
      <c r="U55" s="240" t="str">
        <f>IFERROR(VLOOKUP(TableHandbook[[#This Row],[UDC]],TableOCEDUCS1[],7,FALSE),"")</f>
        <v/>
      </c>
      <c r="V55" s="240" t="str">
        <f>IFERROR(VLOOKUP(TableHandbook[[#This Row],[UDC]],TableOCEDUC[],7,FALSE),"")</f>
        <v/>
      </c>
      <c r="W55" s="240" t="str">
        <f>IFERROR(VLOOKUP(TableHandbook[[#This Row],[UDC]],TableOGEDUC[],7,FALSE),"")</f>
        <v/>
      </c>
      <c r="X55" s="240" t="str">
        <f>IFERROR(VLOOKUP(TableHandbook[[#This Row],[UDC]],TableOUMPEDUPR[],7,FALSE),"")</f>
        <v/>
      </c>
      <c r="Y55" s="240" t="str">
        <f>IFERROR(VLOOKUP(TableHandbook[[#This Row],[UDC]],TableOUMPEDUSC[],7,FALSE),"")</f>
        <v/>
      </c>
      <c r="Z55" s="242" t="str">
        <f>IFERROR(VLOOKUP(TableHandbook[[#This Row],[UDC]],TableOMEDUC[],7,FALSE),"")</f>
        <v/>
      </c>
      <c r="AA55" s="240" t="str">
        <f>IFERROR(VLOOKUP(TableHandbook[[#This Row],[UDC]],TableOSEPCULIN[],7,FALSE),"")</f>
        <v/>
      </c>
      <c r="AB55" s="240" t="str">
        <f>IFERROR(VLOOKUP(TableHandbook[[#This Row],[UDC]],TableOSEPLNTCH[],7,FALSE),"")</f>
        <v/>
      </c>
      <c r="AC55" s="240" t="str">
        <f>IFERROR(VLOOKUP(TableHandbook[[#This Row],[UDC]],TableOSEPSTEME[],7,FALSE),"")</f>
        <v/>
      </c>
    </row>
    <row r="56" spans="1:29" x14ac:dyDescent="0.25">
      <c r="A56" s="2" t="s">
        <v>242</v>
      </c>
      <c r="B56" s="3">
        <v>2</v>
      </c>
      <c r="C56" s="3" t="s">
        <v>456</v>
      </c>
      <c r="D56" s="2" t="s">
        <v>457</v>
      </c>
      <c r="E56" s="3">
        <v>25</v>
      </c>
      <c r="F56" s="237" t="s">
        <v>357</v>
      </c>
      <c r="G56" s="239" t="str">
        <f>IFERROR(IF(VLOOKUP(TableHandbook[[#This Row],[UDC]],TableAvailabilities[],2,FALSE)&gt;0,"Y",""),"")</f>
        <v>Y</v>
      </c>
      <c r="H56" s="239" t="str">
        <f>IFERROR(IF(VLOOKUP(TableHandbook[[#This Row],[UDC]],TableAvailabilities[],3,FALSE)&gt;0,"Y",""),"")</f>
        <v/>
      </c>
      <c r="I56" s="239" t="str">
        <f>IFERROR(IF(VLOOKUP(TableHandbook[[#This Row],[UDC]],TableAvailabilities[],4,FALSE)&gt;0,"Y",""),"")</f>
        <v>Y</v>
      </c>
      <c r="J56" s="239" t="str">
        <f>IFERROR(IF(VLOOKUP(TableHandbook[[#This Row],[UDC]],TableAvailabilities[],5,FALSE)&gt;0,"Y",""),"")</f>
        <v/>
      </c>
      <c r="K56" s="2"/>
      <c r="L56" s="242" t="str">
        <f>IFERROR(VLOOKUP(TableHandbook[[#This Row],[UDC]],TableOMTEACH1[],7,FALSE),"")</f>
        <v/>
      </c>
      <c r="M56" s="240" t="str">
        <f>IFERROR(VLOOKUP(TableHandbook[[#This Row],[UDC]],TableOUMPTCHEC[],7,FALSE),"")</f>
        <v/>
      </c>
      <c r="N56" s="240" t="str">
        <f>IFERROR(VLOOKUP(TableHandbook[[#This Row],[UDC]],TableOUMPTCHPE[],7,FALSE),"")</f>
        <v/>
      </c>
      <c r="O56" s="240" t="str">
        <f>IFERROR(VLOOKUP(TableHandbook[[#This Row],[UDC]],TableOUMPTCHSE[],7,FALSE),"")</f>
        <v/>
      </c>
      <c r="P56" s="242" t="str">
        <f>IFERROR(VLOOKUP(TableHandbook[[#This Row],[UDC]],TableOCTESOL1[],7,FALSE),"")</f>
        <v>AltCore</v>
      </c>
      <c r="Q56" s="240" t="str">
        <f>IFERROR(VLOOKUP(TableHandbook[[#This Row],[UDC]],TableOCTESOL[],7,FALSE),"")</f>
        <v>AltCore</v>
      </c>
      <c r="R56" s="240" t="str">
        <f>IFERROR(VLOOKUP(TableHandbook[[#This Row],[UDC]],TableOMAPLING[],7,FALSE),"")</f>
        <v/>
      </c>
      <c r="S56" s="242" t="str">
        <f>IFERROR(VLOOKUP(TableHandbook[[#This Row],[UDC]],TableOCEDHE1[],7,FALSE),"")</f>
        <v/>
      </c>
      <c r="T56" s="240" t="str">
        <f>IFERROR(VLOOKUP(TableHandbook[[#This Row],[UDC]],TableOCEDHE[],7,FALSE),"")</f>
        <v/>
      </c>
      <c r="U56" s="240" t="str">
        <f>IFERROR(VLOOKUP(TableHandbook[[#This Row],[UDC]],TableOCEDUCS1[],7,FALSE),"")</f>
        <v/>
      </c>
      <c r="V56" s="240" t="str">
        <f>IFERROR(VLOOKUP(TableHandbook[[#This Row],[UDC]],TableOCEDUC[],7,FALSE),"")</f>
        <v/>
      </c>
      <c r="W56" s="240" t="str">
        <f>IFERROR(VLOOKUP(TableHandbook[[#This Row],[UDC]],TableOGEDUC[],7,FALSE),"")</f>
        <v/>
      </c>
      <c r="X56" s="240" t="str">
        <f>IFERROR(VLOOKUP(TableHandbook[[#This Row],[UDC]],TableOUMPEDUPR[],7,FALSE),"")</f>
        <v/>
      </c>
      <c r="Y56" s="240" t="str">
        <f>IFERROR(VLOOKUP(TableHandbook[[#This Row],[UDC]],TableOUMPEDUSC[],7,FALSE),"")</f>
        <v/>
      </c>
      <c r="Z56" s="242" t="str">
        <f>IFERROR(VLOOKUP(TableHandbook[[#This Row],[UDC]],TableOMEDUC[],7,FALSE),"")</f>
        <v/>
      </c>
      <c r="AA56" s="240" t="str">
        <f>IFERROR(VLOOKUP(TableHandbook[[#This Row],[UDC]],TableOSEPCULIN[],7,FALSE),"")</f>
        <v/>
      </c>
      <c r="AB56" s="240" t="str">
        <f>IFERROR(VLOOKUP(TableHandbook[[#This Row],[UDC]],TableOSEPLNTCH[],7,FALSE),"")</f>
        <v/>
      </c>
      <c r="AC56" s="240" t="str">
        <f>IFERROR(VLOOKUP(TableHandbook[[#This Row],[UDC]],TableOSEPSTEME[],7,FALSE),"")</f>
        <v/>
      </c>
    </row>
    <row r="57" spans="1:29" x14ac:dyDescent="0.25">
      <c r="A57" s="2" t="s">
        <v>81</v>
      </c>
      <c r="B57" s="3">
        <v>1</v>
      </c>
      <c r="C57" s="3" t="s">
        <v>458</v>
      </c>
      <c r="D57" s="2" t="s">
        <v>459</v>
      </c>
      <c r="E57" s="3">
        <v>25</v>
      </c>
      <c r="F57" s="237" t="s">
        <v>357</v>
      </c>
      <c r="G57" s="239" t="str">
        <f>IFERROR(IF(VLOOKUP(TableHandbook[[#This Row],[UDC]],TableAvailabilities[],2,FALSE)&gt;0,"Y",""),"")</f>
        <v>Y</v>
      </c>
      <c r="H57" s="239" t="str">
        <f>IFERROR(IF(VLOOKUP(TableHandbook[[#This Row],[UDC]],TableAvailabilities[],3,FALSE)&gt;0,"Y",""),"")</f>
        <v/>
      </c>
      <c r="I57" s="239" t="str">
        <f>IFERROR(IF(VLOOKUP(TableHandbook[[#This Row],[UDC]],TableAvailabilities[],4,FALSE)&gt;0,"Y",""),"")</f>
        <v>Y</v>
      </c>
      <c r="J57" s="239" t="str">
        <f>IFERROR(IF(VLOOKUP(TableHandbook[[#This Row],[UDC]],TableAvailabilities[],5,FALSE)&gt;0,"Y",""),"")</f>
        <v/>
      </c>
      <c r="K57" s="2"/>
      <c r="L57" s="242" t="str">
        <f>IFERROR(VLOOKUP(TableHandbook[[#This Row],[UDC]],TableOMTEACH1[],7,FALSE),"")</f>
        <v/>
      </c>
      <c r="M57" s="240" t="str">
        <f>IFERROR(VLOOKUP(TableHandbook[[#This Row],[UDC]],TableOUMPTCHEC[],7,FALSE),"")</f>
        <v>Core</v>
      </c>
      <c r="N57" s="240" t="str">
        <f>IFERROR(VLOOKUP(TableHandbook[[#This Row],[UDC]],TableOUMPTCHPE[],7,FALSE),"")</f>
        <v>Core</v>
      </c>
      <c r="O57" s="240" t="str">
        <f>IFERROR(VLOOKUP(TableHandbook[[#This Row],[UDC]],TableOUMPTCHSE[],7,FALSE),"")</f>
        <v/>
      </c>
      <c r="P57" s="242" t="str">
        <f>IFERROR(VLOOKUP(TableHandbook[[#This Row],[UDC]],TableOCTESOL1[],7,FALSE),"")</f>
        <v/>
      </c>
      <c r="Q57" s="240" t="str">
        <f>IFERROR(VLOOKUP(TableHandbook[[#This Row],[UDC]],TableOCTESOL[],7,FALSE),"")</f>
        <v/>
      </c>
      <c r="R57" s="240" t="str">
        <f>IFERROR(VLOOKUP(TableHandbook[[#This Row],[UDC]],TableOMAPLING[],7,FALSE),"")</f>
        <v/>
      </c>
      <c r="S57" s="242" t="str">
        <f>IFERROR(VLOOKUP(TableHandbook[[#This Row],[UDC]],TableOCEDHE1[],7,FALSE),"")</f>
        <v/>
      </c>
      <c r="T57" s="240" t="str">
        <f>IFERROR(VLOOKUP(TableHandbook[[#This Row],[UDC]],TableOCEDHE[],7,FALSE),"")</f>
        <v/>
      </c>
      <c r="U57" s="240" t="str">
        <f>IFERROR(VLOOKUP(TableHandbook[[#This Row],[UDC]],TableOCEDUCS1[],7,FALSE),"")</f>
        <v/>
      </c>
      <c r="V57" s="240" t="str">
        <f>IFERROR(VLOOKUP(TableHandbook[[#This Row],[UDC]],TableOCEDUC[],7,FALSE),"")</f>
        <v/>
      </c>
      <c r="W57" s="240" t="str">
        <f>IFERROR(VLOOKUP(TableHandbook[[#This Row],[UDC]],TableOGEDUC[],7,FALSE),"")</f>
        <v/>
      </c>
      <c r="X57" s="240" t="str">
        <f>IFERROR(VLOOKUP(TableHandbook[[#This Row],[UDC]],TableOUMPEDUPR[],7,FALSE),"")</f>
        <v>Core</v>
      </c>
      <c r="Y57" s="240" t="str">
        <f>IFERROR(VLOOKUP(TableHandbook[[#This Row],[UDC]],TableOUMPEDUSC[],7,FALSE),"")</f>
        <v/>
      </c>
      <c r="Z57" s="242" t="str">
        <f>IFERROR(VLOOKUP(TableHandbook[[#This Row],[UDC]],TableOMEDUC[],7,FALSE),"")</f>
        <v/>
      </c>
      <c r="AA57" s="240" t="str">
        <f>IFERROR(VLOOKUP(TableHandbook[[#This Row],[UDC]],TableOSEPCULIN[],7,FALSE),"")</f>
        <v/>
      </c>
      <c r="AB57" s="240" t="str">
        <f>IFERROR(VLOOKUP(TableHandbook[[#This Row],[UDC]],TableOSEPLNTCH[],7,FALSE),"")</f>
        <v/>
      </c>
      <c r="AC57" s="240" t="str">
        <f>IFERROR(VLOOKUP(TableHandbook[[#This Row],[UDC]],TableOSEPSTEME[],7,FALSE),"")</f>
        <v/>
      </c>
    </row>
    <row r="58" spans="1:29" x14ac:dyDescent="0.25">
      <c r="A58" s="2" t="s">
        <v>263</v>
      </c>
      <c r="B58" s="3">
        <v>1</v>
      </c>
      <c r="C58" s="3" t="s">
        <v>460</v>
      </c>
      <c r="D58" s="2" t="s">
        <v>461</v>
      </c>
      <c r="E58" s="3">
        <v>25</v>
      </c>
      <c r="F58" s="237" t="s">
        <v>357</v>
      </c>
      <c r="G58" s="239" t="str">
        <f>IFERROR(IF(VLOOKUP(TableHandbook[[#This Row],[UDC]],TableAvailabilities[],2,FALSE)&gt;0,"Y",""),"")</f>
        <v/>
      </c>
      <c r="H58" s="239" t="str">
        <f>IFERROR(IF(VLOOKUP(TableHandbook[[#This Row],[UDC]],TableAvailabilities[],3,FALSE)&gt;0,"Y",""),"")</f>
        <v>Y</v>
      </c>
      <c r="I58" s="239" t="str">
        <f>IFERROR(IF(VLOOKUP(TableHandbook[[#This Row],[UDC]],TableAvailabilities[],4,FALSE)&gt;0,"Y",""),"")</f>
        <v/>
      </c>
      <c r="J58" s="239" t="str">
        <f>IFERROR(IF(VLOOKUP(TableHandbook[[#This Row],[UDC]],TableAvailabilities[],5,FALSE)&gt;0,"Y",""),"")</f>
        <v>Y</v>
      </c>
      <c r="K58" s="2"/>
      <c r="L58" s="242" t="str">
        <f>IFERROR(VLOOKUP(TableHandbook[[#This Row],[UDC]],TableOMTEACH1[],7,FALSE),"")</f>
        <v/>
      </c>
      <c r="M58" s="240" t="str">
        <f>IFERROR(VLOOKUP(TableHandbook[[#This Row],[UDC]],TableOUMPTCHEC[],7,FALSE),"")</f>
        <v/>
      </c>
      <c r="N58" s="240" t="str">
        <f>IFERROR(VLOOKUP(TableHandbook[[#This Row],[UDC]],TableOUMPTCHPE[],7,FALSE),"")</f>
        <v/>
      </c>
      <c r="O58" s="240" t="str">
        <f>IFERROR(VLOOKUP(TableHandbook[[#This Row],[UDC]],TableOUMPTCHSE[],7,FALSE),"")</f>
        <v>Option</v>
      </c>
      <c r="P58" s="242" t="str">
        <f>IFERROR(VLOOKUP(TableHandbook[[#This Row],[UDC]],TableOCTESOL1[],7,FALSE),"")</f>
        <v/>
      </c>
      <c r="Q58" s="240" t="str">
        <f>IFERROR(VLOOKUP(TableHandbook[[#This Row],[UDC]],TableOCTESOL[],7,FALSE),"")</f>
        <v/>
      </c>
      <c r="R58" s="240" t="str">
        <f>IFERROR(VLOOKUP(TableHandbook[[#This Row],[UDC]],TableOMAPLING[],7,FALSE),"")</f>
        <v/>
      </c>
      <c r="S58" s="242" t="str">
        <f>IFERROR(VLOOKUP(TableHandbook[[#This Row],[UDC]],TableOCEDHE1[],7,FALSE),"")</f>
        <v/>
      </c>
      <c r="T58" s="240" t="str">
        <f>IFERROR(VLOOKUP(TableHandbook[[#This Row],[UDC]],TableOCEDHE[],7,FALSE),"")</f>
        <v/>
      </c>
      <c r="U58" s="240" t="str">
        <f>IFERROR(VLOOKUP(TableHandbook[[#This Row],[UDC]],TableOCEDUCS1[],7,FALSE),"")</f>
        <v>Option</v>
      </c>
      <c r="V58" s="240" t="str">
        <f>IFERROR(VLOOKUP(TableHandbook[[#This Row],[UDC]],TableOCEDUC[],7,FALSE),"")</f>
        <v>Option</v>
      </c>
      <c r="W58" s="240" t="str">
        <f>IFERROR(VLOOKUP(TableHandbook[[#This Row],[UDC]],TableOGEDUC[],7,FALSE),"")</f>
        <v/>
      </c>
      <c r="X58" s="240" t="str">
        <f>IFERROR(VLOOKUP(TableHandbook[[#This Row],[UDC]],TableOUMPEDUPR[],7,FALSE),"")</f>
        <v/>
      </c>
      <c r="Y58" s="240" t="str">
        <f>IFERROR(VLOOKUP(TableHandbook[[#This Row],[UDC]],TableOUMPEDUSC[],7,FALSE),"")</f>
        <v/>
      </c>
      <c r="Z58" s="242" t="str">
        <f>IFERROR(VLOOKUP(TableHandbook[[#This Row],[UDC]],TableOMEDUC[],7,FALSE),"")</f>
        <v/>
      </c>
      <c r="AA58" s="240" t="str">
        <f>IFERROR(VLOOKUP(TableHandbook[[#This Row],[UDC]],TableOSEPCULIN[],7,FALSE),"")</f>
        <v/>
      </c>
      <c r="AB58" s="240" t="str">
        <f>IFERROR(VLOOKUP(TableHandbook[[#This Row],[UDC]],TableOSEPLNTCH[],7,FALSE),"")</f>
        <v/>
      </c>
      <c r="AC58" s="240" t="str">
        <f>IFERROR(VLOOKUP(TableHandbook[[#This Row],[UDC]],TableOSEPSTEME[],7,FALSE),"")</f>
        <v/>
      </c>
    </row>
    <row r="59" spans="1:29" x14ac:dyDescent="0.25">
      <c r="A59" s="2" t="s">
        <v>170</v>
      </c>
      <c r="B59" s="3">
        <v>2</v>
      </c>
      <c r="C59" s="3" t="s">
        <v>462</v>
      </c>
      <c r="D59" s="2" t="s">
        <v>463</v>
      </c>
      <c r="E59" s="3">
        <v>25</v>
      </c>
      <c r="F59" s="237" t="s">
        <v>357</v>
      </c>
      <c r="G59" s="239" t="str">
        <f>IFERROR(IF(VLOOKUP(TableHandbook[[#This Row],[UDC]],TableAvailabilities[],2,FALSE)&gt;0,"Y",""),"")</f>
        <v/>
      </c>
      <c r="H59" s="239" t="str">
        <f>IFERROR(IF(VLOOKUP(TableHandbook[[#This Row],[UDC]],TableAvailabilities[],3,FALSE)&gt;0,"Y",""),"")</f>
        <v/>
      </c>
      <c r="I59" s="239" t="str">
        <f>IFERROR(IF(VLOOKUP(TableHandbook[[#This Row],[UDC]],TableAvailabilities[],4,FALSE)&gt;0,"Y",""),"")</f>
        <v>Y</v>
      </c>
      <c r="J59" s="239" t="str">
        <f>IFERROR(IF(VLOOKUP(TableHandbook[[#This Row],[UDC]],TableAvailabilities[],5,FALSE)&gt;0,"Y",""),"")</f>
        <v/>
      </c>
      <c r="K59" s="2"/>
      <c r="L59" s="242" t="str">
        <f>IFERROR(VLOOKUP(TableHandbook[[#This Row],[UDC]],TableOMTEACH1[],7,FALSE),"")</f>
        <v/>
      </c>
      <c r="M59" s="240" t="str">
        <f>IFERROR(VLOOKUP(TableHandbook[[#This Row],[UDC]],TableOUMPTCHEC[],7,FALSE),"")</f>
        <v/>
      </c>
      <c r="N59" s="240" t="str">
        <f>IFERROR(VLOOKUP(TableHandbook[[#This Row],[UDC]],TableOUMPTCHPE[],7,FALSE),"")</f>
        <v/>
      </c>
      <c r="O59" s="240" t="str">
        <f>IFERROR(VLOOKUP(TableHandbook[[#This Row],[UDC]],TableOUMPTCHSE[],7,FALSE),"")</f>
        <v/>
      </c>
      <c r="P59" s="242" t="str">
        <f>IFERROR(VLOOKUP(TableHandbook[[#This Row],[UDC]],TableOCTESOL1[],7,FALSE),"")</f>
        <v/>
      </c>
      <c r="Q59" s="240" t="str">
        <f>IFERROR(VLOOKUP(TableHandbook[[#This Row],[UDC]],TableOCTESOL[],7,FALSE),"")</f>
        <v/>
      </c>
      <c r="R59" s="240" t="str">
        <f>IFERROR(VLOOKUP(TableHandbook[[#This Row],[UDC]],TableOMAPLING[],7,FALSE),"")</f>
        <v>Core</v>
      </c>
      <c r="S59" s="242" t="str">
        <f>IFERROR(VLOOKUP(TableHandbook[[#This Row],[UDC]],TableOCEDHE1[],7,FALSE),"")</f>
        <v/>
      </c>
      <c r="T59" s="240" t="str">
        <f>IFERROR(VLOOKUP(TableHandbook[[#This Row],[UDC]],TableOCEDHE[],7,FALSE),"")</f>
        <v/>
      </c>
      <c r="U59" s="240" t="str">
        <f>IFERROR(VLOOKUP(TableHandbook[[#This Row],[UDC]],TableOCEDUCS1[],7,FALSE),"")</f>
        <v/>
      </c>
      <c r="V59" s="240" t="str">
        <f>IFERROR(VLOOKUP(TableHandbook[[#This Row],[UDC]],TableOCEDUC[],7,FALSE),"")</f>
        <v/>
      </c>
      <c r="W59" s="240" t="str">
        <f>IFERROR(VLOOKUP(TableHandbook[[#This Row],[UDC]],TableOGEDUC[],7,FALSE),"")</f>
        <v/>
      </c>
      <c r="X59" s="240" t="str">
        <f>IFERROR(VLOOKUP(TableHandbook[[#This Row],[UDC]],TableOUMPEDUPR[],7,FALSE),"")</f>
        <v/>
      </c>
      <c r="Y59" s="240" t="str">
        <f>IFERROR(VLOOKUP(TableHandbook[[#This Row],[UDC]],TableOUMPEDUSC[],7,FALSE),"")</f>
        <v/>
      </c>
      <c r="Z59" s="242" t="str">
        <f>IFERROR(VLOOKUP(TableHandbook[[#This Row],[UDC]],TableOMEDUC[],7,FALSE),"")</f>
        <v>Option</v>
      </c>
      <c r="AA59" s="240" t="str">
        <f>IFERROR(VLOOKUP(TableHandbook[[#This Row],[UDC]],TableOSEPCULIN[],7,FALSE),"")</f>
        <v>Core</v>
      </c>
      <c r="AB59" s="240" t="str">
        <f>IFERROR(VLOOKUP(TableHandbook[[#This Row],[UDC]],TableOSEPLNTCH[],7,FALSE),"")</f>
        <v/>
      </c>
      <c r="AC59" s="240" t="str">
        <f>IFERROR(VLOOKUP(TableHandbook[[#This Row],[UDC]],TableOSEPSTEME[],7,FALSE),"")</f>
        <v/>
      </c>
    </row>
    <row r="60" spans="1:29" x14ac:dyDescent="0.25">
      <c r="A60" s="2" t="s">
        <v>231</v>
      </c>
      <c r="B60" s="3">
        <v>1</v>
      </c>
      <c r="C60" s="3" t="s">
        <v>464</v>
      </c>
      <c r="D60" s="2" t="s">
        <v>465</v>
      </c>
      <c r="E60" s="3">
        <v>25</v>
      </c>
      <c r="F60" s="237" t="s">
        <v>357</v>
      </c>
      <c r="G60" s="239" t="str">
        <f>IFERROR(IF(VLOOKUP(TableHandbook[[#This Row],[UDC]],TableAvailabilities[],2,FALSE)&gt;0,"Y",""),"")</f>
        <v/>
      </c>
      <c r="H60" s="239" t="str">
        <f>IFERROR(IF(VLOOKUP(TableHandbook[[#This Row],[UDC]],TableAvailabilities[],3,FALSE)&gt;0,"Y",""),"")</f>
        <v>Y</v>
      </c>
      <c r="I60" s="239" t="str">
        <f>IFERROR(IF(VLOOKUP(TableHandbook[[#This Row],[UDC]],TableAvailabilities[],4,FALSE)&gt;0,"Y",""),"")</f>
        <v/>
      </c>
      <c r="J60" s="239" t="str">
        <f>IFERROR(IF(VLOOKUP(TableHandbook[[#This Row],[UDC]],TableAvailabilities[],5,FALSE)&gt;0,"Y",""),"")</f>
        <v>Y</v>
      </c>
      <c r="K60" s="2"/>
      <c r="L60" s="242" t="str">
        <f>IFERROR(VLOOKUP(TableHandbook[[#This Row],[UDC]],TableOMTEACH1[],7,FALSE),"")</f>
        <v/>
      </c>
      <c r="M60" s="240" t="str">
        <f>IFERROR(VLOOKUP(TableHandbook[[#This Row],[UDC]],TableOUMPTCHEC[],7,FALSE),"")</f>
        <v/>
      </c>
      <c r="N60" s="240" t="str">
        <f>IFERROR(VLOOKUP(TableHandbook[[#This Row],[UDC]],TableOUMPTCHPE[],7,FALSE),"")</f>
        <v/>
      </c>
      <c r="O60" s="240" t="str">
        <f>IFERROR(VLOOKUP(TableHandbook[[#This Row],[UDC]],TableOUMPTCHSE[],7,FALSE),"")</f>
        <v/>
      </c>
      <c r="P60" s="242" t="str">
        <f>IFERROR(VLOOKUP(TableHandbook[[#This Row],[UDC]],TableOCTESOL1[],7,FALSE),"")</f>
        <v/>
      </c>
      <c r="Q60" s="240" t="str">
        <f>IFERROR(VLOOKUP(TableHandbook[[#This Row],[UDC]],TableOCTESOL[],7,FALSE),"")</f>
        <v/>
      </c>
      <c r="R60" s="240" t="str">
        <f>IFERROR(VLOOKUP(TableHandbook[[#This Row],[UDC]],TableOMAPLING[],7,FALSE),"")</f>
        <v>Core</v>
      </c>
      <c r="S60" s="242" t="str">
        <f>IFERROR(VLOOKUP(TableHandbook[[#This Row],[UDC]],TableOCEDHE1[],7,FALSE),"")</f>
        <v/>
      </c>
      <c r="T60" s="240" t="str">
        <f>IFERROR(VLOOKUP(TableHandbook[[#This Row],[UDC]],TableOCEDHE[],7,FALSE),"")</f>
        <v/>
      </c>
      <c r="U60" s="240" t="str">
        <f>IFERROR(VLOOKUP(TableHandbook[[#This Row],[UDC]],TableOCEDUCS1[],7,FALSE),"")</f>
        <v/>
      </c>
      <c r="V60" s="240" t="str">
        <f>IFERROR(VLOOKUP(TableHandbook[[#This Row],[UDC]],TableOCEDUC[],7,FALSE),"")</f>
        <v/>
      </c>
      <c r="W60" s="240" t="str">
        <f>IFERROR(VLOOKUP(TableHandbook[[#This Row],[UDC]],TableOGEDUC[],7,FALSE),"")</f>
        <v/>
      </c>
      <c r="X60" s="240" t="str">
        <f>IFERROR(VLOOKUP(TableHandbook[[#This Row],[UDC]],TableOUMPEDUPR[],7,FALSE),"")</f>
        <v/>
      </c>
      <c r="Y60" s="240" t="str">
        <f>IFERROR(VLOOKUP(TableHandbook[[#This Row],[UDC]],TableOUMPEDUSC[],7,FALSE),"")</f>
        <v/>
      </c>
      <c r="Z60" s="242" t="str">
        <f>IFERROR(VLOOKUP(TableHandbook[[#This Row],[UDC]],TableOMEDUC[],7,FALSE),"")</f>
        <v/>
      </c>
      <c r="AA60" s="240" t="str">
        <f>IFERROR(VLOOKUP(TableHandbook[[#This Row],[UDC]],TableOSEPCULIN[],7,FALSE),"")</f>
        <v/>
      </c>
      <c r="AB60" s="240" t="str">
        <f>IFERROR(VLOOKUP(TableHandbook[[#This Row],[UDC]],TableOSEPLNTCH[],7,FALSE),"")</f>
        <v/>
      </c>
      <c r="AC60" s="240" t="str">
        <f>IFERROR(VLOOKUP(TableHandbook[[#This Row],[UDC]],TableOSEPSTEME[],7,FALSE),"")</f>
        <v/>
      </c>
    </row>
    <row r="61" spans="1:29" x14ac:dyDescent="0.25">
      <c r="A61" s="2" t="s">
        <v>162</v>
      </c>
      <c r="B61" s="3">
        <v>2</v>
      </c>
      <c r="C61" s="3" t="s">
        <v>466</v>
      </c>
      <c r="D61" s="2" t="s">
        <v>467</v>
      </c>
      <c r="E61" s="3">
        <v>25</v>
      </c>
      <c r="F61" s="237" t="s">
        <v>357</v>
      </c>
      <c r="G61" s="239" t="str">
        <f>IFERROR(IF(VLOOKUP(TableHandbook[[#This Row],[UDC]],TableAvailabilities[],2,FALSE)&gt;0,"Y",""),"")</f>
        <v>Y</v>
      </c>
      <c r="H61" s="239" t="str">
        <f>IFERROR(IF(VLOOKUP(TableHandbook[[#This Row],[UDC]],TableAvailabilities[],3,FALSE)&gt;0,"Y",""),"")</f>
        <v/>
      </c>
      <c r="I61" s="239" t="str">
        <f>IFERROR(IF(VLOOKUP(TableHandbook[[#This Row],[UDC]],TableAvailabilities[],4,FALSE)&gt;0,"Y",""),"")</f>
        <v>Y</v>
      </c>
      <c r="J61" s="239" t="str">
        <f>IFERROR(IF(VLOOKUP(TableHandbook[[#This Row],[UDC]],TableAvailabilities[],5,FALSE)&gt;0,"Y",""),"")</f>
        <v/>
      </c>
      <c r="K61" s="2"/>
      <c r="L61" s="242" t="str">
        <f>IFERROR(VLOOKUP(TableHandbook[[#This Row],[UDC]],TableOMTEACH1[],7,FALSE),"")</f>
        <v/>
      </c>
      <c r="M61" s="240" t="str">
        <f>IFERROR(VLOOKUP(TableHandbook[[#This Row],[UDC]],TableOUMPTCHEC[],7,FALSE),"")</f>
        <v/>
      </c>
      <c r="N61" s="240" t="str">
        <f>IFERROR(VLOOKUP(TableHandbook[[#This Row],[UDC]],TableOUMPTCHPE[],7,FALSE),"")</f>
        <v/>
      </c>
      <c r="O61" s="240" t="str">
        <f>IFERROR(VLOOKUP(TableHandbook[[#This Row],[UDC]],TableOUMPTCHSE[],7,FALSE),"")</f>
        <v/>
      </c>
      <c r="P61" s="242" t="str">
        <f>IFERROR(VLOOKUP(TableHandbook[[#This Row],[UDC]],TableOCTESOL1[],7,FALSE),"")</f>
        <v/>
      </c>
      <c r="Q61" s="240" t="str">
        <f>IFERROR(VLOOKUP(TableHandbook[[#This Row],[UDC]],TableOCTESOL[],7,FALSE),"")</f>
        <v/>
      </c>
      <c r="R61" s="240" t="str">
        <f>IFERROR(VLOOKUP(TableHandbook[[#This Row],[UDC]],TableOMAPLING[],7,FALSE),"")</f>
        <v/>
      </c>
      <c r="S61" s="242" t="str">
        <f>IFERROR(VLOOKUP(TableHandbook[[#This Row],[UDC]],TableOCEDHE1[],7,FALSE),"")</f>
        <v/>
      </c>
      <c r="T61" s="240" t="str">
        <f>IFERROR(VLOOKUP(TableHandbook[[#This Row],[UDC]],TableOCEDHE[],7,FALSE),"")</f>
        <v/>
      </c>
      <c r="U61" s="240" t="str">
        <f>IFERROR(VLOOKUP(TableHandbook[[#This Row],[UDC]],TableOCEDUCS1[],7,FALSE),"")</f>
        <v/>
      </c>
      <c r="V61" s="240" t="str">
        <f>IFERROR(VLOOKUP(TableHandbook[[#This Row],[UDC]],TableOCEDUC[],7,FALSE),"")</f>
        <v/>
      </c>
      <c r="W61" s="240" t="str">
        <f>IFERROR(VLOOKUP(TableHandbook[[#This Row],[UDC]],TableOGEDUC[],7,FALSE),"")</f>
        <v/>
      </c>
      <c r="X61" s="240" t="str">
        <f>IFERROR(VLOOKUP(TableHandbook[[#This Row],[UDC]],TableOUMPEDUPR[],7,FALSE),"")</f>
        <v/>
      </c>
      <c r="Y61" s="240" t="str">
        <f>IFERROR(VLOOKUP(TableHandbook[[#This Row],[UDC]],TableOUMPEDUSC[],7,FALSE),"")</f>
        <v/>
      </c>
      <c r="Z61" s="242" t="str">
        <f>IFERROR(VLOOKUP(TableHandbook[[#This Row],[UDC]],TableOMEDUC[],7,FALSE),"")</f>
        <v>Core</v>
      </c>
      <c r="AA61" s="240" t="str">
        <f>IFERROR(VLOOKUP(TableHandbook[[#This Row],[UDC]],TableOSEPCULIN[],7,FALSE),"")</f>
        <v/>
      </c>
      <c r="AB61" s="240" t="str">
        <f>IFERROR(VLOOKUP(TableHandbook[[#This Row],[UDC]],TableOSEPLNTCH[],7,FALSE),"")</f>
        <v/>
      </c>
      <c r="AC61" s="240" t="str">
        <f>IFERROR(VLOOKUP(TableHandbook[[#This Row],[UDC]],TableOSEPSTEME[],7,FALSE),"")</f>
        <v/>
      </c>
    </row>
    <row r="62" spans="1:29" x14ac:dyDescent="0.25">
      <c r="A62" s="2" t="s">
        <v>178</v>
      </c>
      <c r="B62" s="3">
        <v>2</v>
      </c>
      <c r="C62" s="3" t="s">
        <v>468</v>
      </c>
      <c r="D62" s="2" t="s">
        <v>469</v>
      </c>
      <c r="E62" s="3">
        <v>50</v>
      </c>
      <c r="F62" s="275" t="s">
        <v>470</v>
      </c>
      <c r="G62" s="239" t="str">
        <f>IFERROR(IF(VLOOKUP(TableHandbook[[#This Row],[UDC]],TableAvailabilities[],2,FALSE)&gt;0,"Y",""),"")</f>
        <v/>
      </c>
      <c r="H62" s="239" t="str">
        <f>IFERROR(IF(VLOOKUP(TableHandbook[[#This Row],[UDC]],TableAvailabilities[],3,FALSE)&gt;0,"Y",""),"")</f>
        <v>Y</v>
      </c>
      <c r="I62" s="239" t="str">
        <f>IFERROR(IF(VLOOKUP(TableHandbook[[#This Row],[UDC]],TableAvailabilities[],4,FALSE)&gt;0,"Y",""),"")</f>
        <v/>
      </c>
      <c r="J62" s="239" t="str">
        <f>IFERROR(IF(VLOOKUP(TableHandbook[[#This Row],[UDC]],TableAvailabilities[],5,FALSE)&gt;0,"Y",""),"")</f>
        <v>Y</v>
      </c>
      <c r="K62" s="2"/>
      <c r="L62" s="242" t="str">
        <f>IFERROR(VLOOKUP(TableHandbook[[#This Row],[UDC]],TableOMTEACH1[],7,FALSE),"")</f>
        <v/>
      </c>
      <c r="M62" s="240" t="str">
        <f>IFERROR(VLOOKUP(TableHandbook[[#This Row],[UDC]],TableOUMPTCHEC[],7,FALSE),"")</f>
        <v/>
      </c>
      <c r="N62" s="240" t="str">
        <f>IFERROR(VLOOKUP(TableHandbook[[#This Row],[UDC]],TableOUMPTCHPE[],7,FALSE),"")</f>
        <v/>
      </c>
      <c r="O62" s="240" t="str">
        <f>IFERROR(VLOOKUP(TableHandbook[[#This Row],[UDC]],TableOUMPTCHSE[],7,FALSE),"")</f>
        <v/>
      </c>
      <c r="P62" s="242" t="str">
        <f>IFERROR(VLOOKUP(TableHandbook[[#This Row],[UDC]],TableOCTESOL1[],7,FALSE),"")</f>
        <v/>
      </c>
      <c r="Q62" s="240" t="str">
        <f>IFERROR(VLOOKUP(TableHandbook[[#This Row],[UDC]],TableOCTESOL[],7,FALSE),"")</f>
        <v/>
      </c>
      <c r="R62" s="240" t="str">
        <f>IFERROR(VLOOKUP(TableHandbook[[#This Row],[UDC]],TableOMAPLING[],7,FALSE),"")</f>
        <v>Core</v>
      </c>
      <c r="S62" s="242" t="str">
        <f>IFERROR(VLOOKUP(TableHandbook[[#This Row],[UDC]],TableOCEDHE1[],7,FALSE),"")</f>
        <v/>
      </c>
      <c r="T62" s="240" t="str">
        <f>IFERROR(VLOOKUP(TableHandbook[[#This Row],[UDC]],TableOCEDHE[],7,FALSE),"")</f>
        <v/>
      </c>
      <c r="U62" s="240" t="str">
        <f>IFERROR(VLOOKUP(TableHandbook[[#This Row],[UDC]],TableOCEDUCS1[],7,FALSE),"")</f>
        <v/>
      </c>
      <c r="V62" s="240" t="str">
        <f>IFERROR(VLOOKUP(TableHandbook[[#This Row],[UDC]],TableOCEDUC[],7,FALSE),"")</f>
        <v/>
      </c>
      <c r="W62" s="240" t="str">
        <f>IFERROR(VLOOKUP(TableHandbook[[#This Row],[UDC]],TableOGEDUC[],7,FALSE),"")</f>
        <v/>
      </c>
      <c r="X62" s="240" t="str">
        <f>IFERROR(VLOOKUP(TableHandbook[[#This Row],[UDC]],TableOUMPEDUPR[],7,FALSE),"")</f>
        <v/>
      </c>
      <c r="Y62" s="240" t="str">
        <f>IFERROR(VLOOKUP(TableHandbook[[#This Row],[UDC]],TableOUMPEDUSC[],7,FALSE),"")</f>
        <v/>
      </c>
      <c r="Z62" s="242" t="str">
        <f>IFERROR(VLOOKUP(TableHandbook[[#This Row],[UDC]],TableOMEDUC[],7,FALSE),"")</f>
        <v>Core</v>
      </c>
      <c r="AA62" s="240" t="str">
        <f>IFERROR(VLOOKUP(TableHandbook[[#This Row],[UDC]],TableOSEPCULIN[],7,FALSE),"")</f>
        <v/>
      </c>
      <c r="AB62" s="240" t="str">
        <f>IFERROR(VLOOKUP(TableHandbook[[#This Row],[UDC]],TableOSEPLNTCH[],7,FALSE),"")</f>
        <v/>
      </c>
      <c r="AC62" s="240" t="str">
        <f>IFERROR(VLOOKUP(TableHandbook[[#This Row],[UDC]],TableOSEPSTEME[],7,FALSE),"")</f>
        <v/>
      </c>
    </row>
    <row r="63" spans="1:29" x14ac:dyDescent="0.25">
      <c r="A63" s="2" t="s">
        <v>226</v>
      </c>
      <c r="B63" s="3">
        <v>1</v>
      </c>
      <c r="C63" s="3" t="s">
        <v>471</v>
      </c>
      <c r="D63" s="2" t="s">
        <v>472</v>
      </c>
      <c r="E63" s="3">
        <v>25</v>
      </c>
      <c r="F63" s="237" t="s">
        <v>357</v>
      </c>
      <c r="G63" s="239" t="str">
        <f>IFERROR(IF(VLOOKUP(TableHandbook[[#This Row],[UDC]],TableAvailabilities[],2,FALSE)&gt;0,"Y",""),"")</f>
        <v/>
      </c>
      <c r="H63" s="239" t="str">
        <f>IFERROR(IF(VLOOKUP(TableHandbook[[#This Row],[UDC]],TableAvailabilities[],3,FALSE)&gt;0,"Y",""),"")</f>
        <v>Y</v>
      </c>
      <c r="I63" s="239" t="str">
        <f>IFERROR(IF(VLOOKUP(TableHandbook[[#This Row],[UDC]],TableAvailabilities[],4,FALSE)&gt;0,"Y",""),"")</f>
        <v/>
      </c>
      <c r="J63" s="239" t="str">
        <f>IFERROR(IF(VLOOKUP(TableHandbook[[#This Row],[UDC]],TableAvailabilities[],5,FALSE)&gt;0,"Y",""),"")</f>
        <v>Y</v>
      </c>
      <c r="K63" s="2"/>
      <c r="L63" s="242" t="str">
        <f>IFERROR(VLOOKUP(TableHandbook[[#This Row],[UDC]],TableOMTEACH1[],7,FALSE),"")</f>
        <v/>
      </c>
      <c r="M63" s="240" t="str">
        <f>IFERROR(VLOOKUP(TableHandbook[[#This Row],[UDC]],TableOUMPTCHEC[],7,FALSE),"")</f>
        <v/>
      </c>
      <c r="N63" s="240" t="str">
        <f>IFERROR(VLOOKUP(TableHandbook[[#This Row],[UDC]],TableOUMPTCHPE[],7,FALSE),"")</f>
        <v/>
      </c>
      <c r="O63" s="240" t="str">
        <f>IFERROR(VLOOKUP(TableHandbook[[#This Row],[UDC]],TableOUMPTCHSE[],7,FALSE),"")</f>
        <v/>
      </c>
      <c r="P63" s="242" t="str">
        <f>IFERROR(VLOOKUP(TableHandbook[[#This Row],[UDC]],TableOCTESOL1[],7,FALSE),"")</f>
        <v/>
      </c>
      <c r="Q63" s="240" t="str">
        <f>IFERROR(VLOOKUP(TableHandbook[[#This Row],[UDC]],TableOCTESOL[],7,FALSE),"")</f>
        <v/>
      </c>
      <c r="R63" s="240" t="str">
        <f>IFERROR(VLOOKUP(TableHandbook[[#This Row],[UDC]],TableOMAPLING[],7,FALSE),"")</f>
        <v>Core</v>
      </c>
      <c r="S63" s="242" t="str">
        <f>IFERROR(VLOOKUP(TableHandbook[[#This Row],[UDC]],TableOCEDHE1[],7,FALSE),"")</f>
        <v/>
      </c>
      <c r="T63" s="240" t="str">
        <f>IFERROR(VLOOKUP(TableHandbook[[#This Row],[UDC]],TableOCEDHE[],7,FALSE),"")</f>
        <v/>
      </c>
      <c r="U63" s="240" t="str">
        <f>IFERROR(VLOOKUP(TableHandbook[[#This Row],[UDC]],TableOCEDUCS1[],7,FALSE),"")</f>
        <v/>
      </c>
      <c r="V63" s="240" t="str">
        <f>IFERROR(VLOOKUP(TableHandbook[[#This Row],[UDC]],TableOCEDUC[],7,FALSE),"")</f>
        <v/>
      </c>
      <c r="W63" s="240" t="str">
        <f>IFERROR(VLOOKUP(TableHandbook[[#This Row],[UDC]],TableOGEDUC[],7,FALSE),"")</f>
        <v/>
      </c>
      <c r="X63" s="240" t="str">
        <f>IFERROR(VLOOKUP(TableHandbook[[#This Row],[UDC]],TableOUMPEDUPR[],7,FALSE),"")</f>
        <v/>
      </c>
      <c r="Y63" s="240" t="str">
        <f>IFERROR(VLOOKUP(TableHandbook[[#This Row],[UDC]],TableOUMPEDUSC[],7,FALSE),"")</f>
        <v/>
      </c>
      <c r="Z63" s="242" t="str">
        <f>IFERROR(VLOOKUP(TableHandbook[[#This Row],[UDC]],TableOMEDUC[],7,FALSE),"")</f>
        <v/>
      </c>
      <c r="AA63" s="240" t="str">
        <f>IFERROR(VLOOKUP(TableHandbook[[#This Row],[UDC]],TableOSEPCULIN[],7,FALSE),"")</f>
        <v/>
      </c>
      <c r="AB63" s="240" t="str">
        <f>IFERROR(VLOOKUP(TableHandbook[[#This Row],[UDC]],TableOSEPLNTCH[],7,FALSE),"")</f>
        <v/>
      </c>
      <c r="AC63" s="240" t="str">
        <f>IFERROR(VLOOKUP(TableHandbook[[#This Row],[UDC]],TableOSEPSTEME[],7,FALSE),"")</f>
        <v/>
      </c>
    </row>
    <row r="64" spans="1:29" x14ac:dyDescent="0.25">
      <c r="A64" s="2" t="s">
        <v>225</v>
      </c>
      <c r="B64" s="3">
        <v>1</v>
      </c>
      <c r="C64" s="3" t="s">
        <v>473</v>
      </c>
      <c r="D64" s="2" t="s">
        <v>474</v>
      </c>
      <c r="E64" s="3">
        <v>25</v>
      </c>
      <c r="F64" s="237" t="s">
        <v>357</v>
      </c>
      <c r="G64" s="239" t="str">
        <f>IFERROR(IF(VLOOKUP(TableHandbook[[#This Row],[UDC]],TableAvailabilities[],2,FALSE)&gt;0,"Y",""),"")</f>
        <v>Y</v>
      </c>
      <c r="H64" s="239" t="str">
        <f>IFERROR(IF(VLOOKUP(TableHandbook[[#This Row],[UDC]],TableAvailabilities[],3,FALSE)&gt;0,"Y",""),"")</f>
        <v/>
      </c>
      <c r="I64" s="239" t="str">
        <f>IFERROR(IF(VLOOKUP(TableHandbook[[#This Row],[UDC]],TableAvailabilities[],4,FALSE)&gt;0,"Y",""),"")</f>
        <v>Y</v>
      </c>
      <c r="J64" s="239" t="str">
        <f>IFERROR(IF(VLOOKUP(TableHandbook[[#This Row],[UDC]],TableAvailabilities[],5,FALSE)&gt;0,"Y",""),"")</f>
        <v/>
      </c>
      <c r="K64" s="2"/>
      <c r="L64" s="242" t="str">
        <f>IFERROR(VLOOKUP(TableHandbook[[#This Row],[UDC]],TableOMTEACH1[],7,FALSE),"")</f>
        <v/>
      </c>
      <c r="M64" s="240" t="str">
        <f>IFERROR(VLOOKUP(TableHandbook[[#This Row],[UDC]],TableOUMPTCHEC[],7,FALSE),"")</f>
        <v/>
      </c>
      <c r="N64" s="240" t="str">
        <f>IFERROR(VLOOKUP(TableHandbook[[#This Row],[UDC]],TableOUMPTCHPE[],7,FALSE),"")</f>
        <v/>
      </c>
      <c r="O64" s="240" t="str">
        <f>IFERROR(VLOOKUP(TableHandbook[[#This Row],[UDC]],TableOUMPTCHSE[],7,FALSE),"")</f>
        <v/>
      </c>
      <c r="P64" s="242" t="str">
        <f>IFERROR(VLOOKUP(TableHandbook[[#This Row],[UDC]],TableOCTESOL1[],7,FALSE),"")</f>
        <v/>
      </c>
      <c r="Q64" s="240" t="str">
        <f>IFERROR(VLOOKUP(TableHandbook[[#This Row],[UDC]],TableOCTESOL[],7,FALSE),"")</f>
        <v/>
      </c>
      <c r="R64" s="240" t="str">
        <f>IFERROR(VLOOKUP(TableHandbook[[#This Row],[UDC]],TableOMAPLING[],7,FALSE),"")</f>
        <v>Core</v>
      </c>
      <c r="S64" s="242" t="str">
        <f>IFERROR(VLOOKUP(TableHandbook[[#This Row],[UDC]],TableOCEDHE1[],7,FALSE),"")</f>
        <v/>
      </c>
      <c r="T64" s="240" t="str">
        <f>IFERROR(VLOOKUP(TableHandbook[[#This Row],[UDC]],TableOCEDHE[],7,FALSE),"")</f>
        <v/>
      </c>
      <c r="U64" s="240" t="str">
        <f>IFERROR(VLOOKUP(TableHandbook[[#This Row],[UDC]],TableOCEDUCS1[],7,FALSE),"")</f>
        <v/>
      </c>
      <c r="V64" s="240" t="str">
        <f>IFERROR(VLOOKUP(TableHandbook[[#This Row],[UDC]],TableOCEDUC[],7,FALSE),"")</f>
        <v/>
      </c>
      <c r="W64" s="240" t="str">
        <f>IFERROR(VLOOKUP(TableHandbook[[#This Row],[UDC]],TableOGEDUC[],7,FALSE),"")</f>
        <v/>
      </c>
      <c r="X64" s="240" t="str">
        <f>IFERROR(VLOOKUP(TableHandbook[[#This Row],[UDC]],TableOUMPEDUPR[],7,FALSE),"")</f>
        <v/>
      </c>
      <c r="Y64" s="240" t="str">
        <f>IFERROR(VLOOKUP(TableHandbook[[#This Row],[UDC]],TableOUMPEDUSC[],7,FALSE),"")</f>
        <v/>
      </c>
      <c r="Z64" s="242" t="str">
        <f>IFERROR(VLOOKUP(TableHandbook[[#This Row],[UDC]],TableOMEDUC[],7,FALSE),"")</f>
        <v/>
      </c>
      <c r="AA64" s="240" t="str">
        <f>IFERROR(VLOOKUP(TableHandbook[[#This Row],[UDC]],TableOSEPCULIN[],7,FALSE),"")</f>
        <v/>
      </c>
      <c r="AB64" s="240" t="str">
        <f>IFERROR(VLOOKUP(TableHandbook[[#This Row],[UDC]],TableOSEPLNTCH[],7,FALSE),"")</f>
        <v/>
      </c>
      <c r="AC64" s="240" t="str">
        <f>IFERROR(VLOOKUP(TableHandbook[[#This Row],[UDC]],TableOSEPSTEME[],7,FALSE),"")</f>
        <v/>
      </c>
    </row>
    <row r="65" spans="1:29" x14ac:dyDescent="0.25">
      <c r="A65" s="2" t="s">
        <v>164</v>
      </c>
      <c r="B65" s="3">
        <v>1</v>
      </c>
      <c r="C65" s="3" t="s">
        <v>475</v>
      </c>
      <c r="D65" s="2" t="s">
        <v>476</v>
      </c>
      <c r="E65" s="3">
        <v>25</v>
      </c>
      <c r="F65" s="237" t="s">
        <v>357</v>
      </c>
      <c r="G65" s="239" t="str">
        <f>IFERROR(IF(VLOOKUP(TableHandbook[[#This Row],[UDC]],TableAvailabilities[],2,FALSE)&gt;0,"Y",""),"")</f>
        <v/>
      </c>
      <c r="H65" s="239" t="str">
        <f>IFERROR(IF(VLOOKUP(TableHandbook[[#This Row],[UDC]],TableAvailabilities[],3,FALSE)&gt;0,"Y",""),"")</f>
        <v>Y</v>
      </c>
      <c r="I65" s="239" t="str">
        <f>IFERROR(IF(VLOOKUP(TableHandbook[[#This Row],[UDC]],TableAvailabilities[],4,FALSE)&gt;0,"Y",""),"")</f>
        <v/>
      </c>
      <c r="J65" s="239" t="str">
        <f>IFERROR(IF(VLOOKUP(TableHandbook[[#This Row],[UDC]],TableAvailabilities[],5,FALSE)&gt;0,"Y",""),"")</f>
        <v>Y</v>
      </c>
      <c r="K65" s="2"/>
      <c r="L65" s="242" t="str">
        <f>IFERROR(VLOOKUP(TableHandbook[[#This Row],[UDC]],TableOMTEACH1[],7,FALSE),"")</f>
        <v/>
      </c>
      <c r="M65" s="240" t="str">
        <f>IFERROR(VLOOKUP(TableHandbook[[#This Row],[UDC]],TableOUMPTCHEC[],7,FALSE),"")</f>
        <v/>
      </c>
      <c r="N65" s="240" t="str">
        <f>IFERROR(VLOOKUP(TableHandbook[[#This Row],[UDC]],TableOUMPTCHPE[],7,FALSE),"")</f>
        <v/>
      </c>
      <c r="O65" s="240" t="str">
        <f>IFERROR(VLOOKUP(TableHandbook[[#This Row],[UDC]],TableOUMPTCHSE[],7,FALSE),"")</f>
        <v/>
      </c>
      <c r="P65" s="242" t="str">
        <f>IFERROR(VLOOKUP(TableHandbook[[#This Row],[UDC]],TableOCTESOL1[],7,FALSE),"")</f>
        <v/>
      </c>
      <c r="Q65" s="240" t="str">
        <f>IFERROR(VLOOKUP(TableHandbook[[#This Row],[UDC]],TableOCTESOL[],7,FALSE),"")</f>
        <v/>
      </c>
      <c r="R65" s="240" t="str">
        <f>IFERROR(VLOOKUP(TableHandbook[[#This Row],[UDC]],TableOMAPLING[],7,FALSE),"")</f>
        <v/>
      </c>
      <c r="S65" s="242" t="str">
        <f>IFERROR(VLOOKUP(TableHandbook[[#This Row],[UDC]],TableOCEDHE1[],7,FALSE),"")</f>
        <v/>
      </c>
      <c r="T65" s="240" t="str">
        <f>IFERROR(VLOOKUP(TableHandbook[[#This Row],[UDC]],TableOCEDHE[],7,FALSE),"")</f>
        <v/>
      </c>
      <c r="U65" s="240" t="str">
        <f>IFERROR(VLOOKUP(TableHandbook[[#This Row],[UDC]],TableOCEDUCS1[],7,FALSE),"")</f>
        <v/>
      </c>
      <c r="V65" s="240" t="str">
        <f>IFERROR(VLOOKUP(TableHandbook[[#This Row],[UDC]],TableOCEDUC[],7,FALSE),"")</f>
        <v/>
      </c>
      <c r="W65" s="240" t="str">
        <f>IFERROR(VLOOKUP(TableHandbook[[#This Row],[UDC]],TableOGEDUC[],7,FALSE),"")</f>
        <v/>
      </c>
      <c r="X65" s="240" t="str">
        <f>IFERROR(VLOOKUP(TableHandbook[[#This Row],[UDC]],TableOUMPEDUPR[],7,FALSE),"")</f>
        <v/>
      </c>
      <c r="Y65" s="240" t="str">
        <f>IFERROR(VLOOKUP(TableHandbook[[#This Row],[UDC]],TableOUMPEDUSC[],7,FALSE),"")</f>
        <v/>
      </c>
      <c r="Z65" s="242" t="str">
        <f>IFERROR(VLOOKUP(TableHandbook[[#This Row],[UDC]],TableOMEDUC[],7,FALSE),"")</f>
        <v>Core</v>
      </c>
      <c r="AA65" s="240" t="str">
        <f>IFERROR(VLOOKUP(TableHandbook[[#This Row],[UDC]],TableOSEPCULIN[],7,FALSE),"")</f>
        <v/>
      </c>
      <c r="AB65" s="240" t="str">
        <f>IFERROR(VLOOKUP(TableHandbook[[#This Row],[UDC]],TableOSEPLNTCH[],7,FALSE),"")</f>
        <v/>
      </c>
      <c r="AC65" s="240" t="str">
        <f>IFERROR(VLOOKUP(TableHandbook[[#This Row],[UDC]],TableOSEPSTEME[],7,FALSE),"")</f>
        <v/>
      </c>
    </row>
    <row r="66" spans="1:29" x14ac:dyDescent="0.25">
      <c r="A66" s="2" t="s">
        <v>174</v>
      </c>
      <c r="B66" s="3">
        <v>1</v>
      </c>
      <c r="C66" s="3" t="s">
        <v>477</v>
      </c>
      <c r="D66" s="2" t="s">
        <v>478</v>
      </c>
      <c r="E66" s="3">
        <v>25</v>
      </c>
      <c r="F66" s="237" t="s">
        <v>357</v>
      </c>
      <c r="G66" s="239" t="str">
        <f>IFERROR(IF(VLOOKUP(TableHandbook[[#This Row],[UDC]],TableAvailabilities[],2,FALSE)&gt;0,"Y",""),"")</f>
        <v/>
      </c>
      <c r="H66" s="239" t="str">
        <f>IFERROR(IF(VLOOKUP(TableHandbook[[#This Row],[UDC]],TableAvailabilities[],3,FALSE)&gt;0,"Y",""),"")</f>
        <v/>
      </c>
      <c r="I66" s="239" t="str">
        <f>IFERROR(IF(VLOOKUP(TableHandbook[[#This Row],[UDC]],TableAvailabilities[],4,FALSE)&gt;0,"Y",""),"")</f>
        <v>Y</v>
      </c>
      <c r="J66" s="239" t="str">
        <f>IFERROR(IF(VLOOKUP(TableHandbook[[#This Row],[UDC]],TableAvailabilities[],5,FALSE)&gt;0,"Y",""),"")</f>
        <v/>
      </c>
      <c r="K66" s="2"/>
      <c r="L66" s="242" t="str">
        <f>IFERROR(VLOOKUP(TableHandbook[[#This Row],[UDC]],TableOMTEACH1[],7,FALSE),"")</f>
        <v/>
      </c>
      <c r="M66" s="240" t="str">
        <f>IFERROR(VLOOKUP(TableHandbook[[#This Row],[UDC]],TableOUMPTCHEC[],7,FALSE),"")</f>
        <v/>
      </c>
      <c r="N66" s="240" t="str">
        <f>IFERROR(VLOOKUP(TableHandbook[[#This Row],[UDC]],TableOUMPTCHPE[],7,FALSE),"")</f>
        <v/>
      </c>
      <c r="O66" s="240" t="str">
        <f>IFERROR(VLOOKUP(TableHandbook[[#This Row],[UDC]],TableOUMPTCHSE[],7,FALSE),"")</f>
        <v/>
      </c>
      <c r="P66" s="242" t="str">
        <f>IFERROR(VLOOKUP(TableHandbook[[#This Row],[UDC]],TableOCTESOL1[],7,FALSE),"")</f>
        <v/>
      </c>
      <c r="Q66" s="240" t="str">
        <f>IFERROR(VLOOKUP(TableHandbook[[#This Row],[UDC]],TableOCTESOL[],7,FALSE),"")</f>
        <v/>
      </c>
      <c r="R66" s="240" t="str">
        <f>IFERROR(VLOOKUP(TableHandbook[[#This Row],[UDC]],TableOMAPLING[],7,FALSE),"")</f>
        <v/>
      </c>
      <c r="S66" s="242" t="str">
        <f>IFERROR(VLOOKUP(TableHandbook[[#This Row],[UDC]],TableOCEDHE1[],7,FALSE),"")</f>
        <v/>
      </c>
      <c r="T66" s="240" t="str">
        <f>IFERROR(VLOOKUP(TableHandbook[[#This Row],[UDC]],TableOCEDHE[],7,FALSE),"")</f>
        <v/>
      </c>
      <c r="U66" s="240" t="str">
        <f>IFERROR(VLOOKUP(TableHandbook[[#This Row],[UDC]],TableOCEDUCS1[],7,FALSE),"")</f>
        <v/>
      </c>
      <c r="V66" s="240" t="str">
        <f>IFERROR(VLOOKUP(TableHandbook[[#This Row],[UDC]],TableOCEDUC[],7,FALSE),"")</f>
        <v/>
      </c>
      <c r="W66" s="240" t="str">
        <f>IFERROR(VLOOKUP(TableHandbook[[#This Row],[UDC]],TableOGEDUC[],7,FALSE),"")</f>
        <v/>
      </c>
      <c r="X66" s="240" t="str">
        <f>IFERROR(VLOOKUP(TableHandbook[[#This Row],[UDC]],TableOUMPEDUPR[],7,FALSE),"")</f>
        <v/>
      </c>
      <c r="Y66" s="240" t="str">
        <f>IFERROR(VLOOKUP(TableHandbook[[#This Row],[UDC]],TableOUMPEDUSC[],7,FALSE),"")</f>
        <v/>
      </c>
      <c r="Z66" s="242" t="str">
        <f>IFERROR(VLOOKUP(TableHandbook[[#This Row],[UDC]],TableOMEDUC[],7,FALSE),"")</f>
        <v>Option</v>
      </c>
      <c r="AA66" s="240" t="str">
        <f>IFERROR(VLOOKUP(TableHandbook[[#This Row],[UDC]],TableOSEPCULIN[],7,FALSE),"")</f>
        <v/>
      </c>
      <c r="AB66" s="240" t="str">
        <f>IFERROR(VLOOKUP(TableHandbook[[#This Row],[UDC]],TableOSEPLNTCH[],7,FALSE),"")</f>
        <v/>
      </c>
      <c r="AC66" s="240" t="str">
        <f>IFERROR(VLOOKUP(TableHandbook[[#This Row],[UDC]],TableOSEPSTEME[],7,FALSE),"")</f>
        <v>Core</v>
      </c>
    </row>
    <row r="67" spans="1:29" x14ac:dyDescent="0.25">
      <c r="A67" s="2" t="s">
        <v>180</v>
      </c>
      <c r="B67" s="3">
        <v>1</v>
      </c>
      <c r="C67" s="3" t="s">
        <v>479</v>
      </c>
      <c r="D67" s="2" t="s">
        <v>480</v>
      </c>
      <c r="E67" s="3">
        <v>25</v>
      </c>
      <c r="F67" s="237" t="s">
        <v>357</v>
      </c>
      <c r="G67" s="239" t="str">
        <f>IFERROR(IF(VLOOKUP(TableHandbook[[#This Row],[UDC]],TableAvailabilities[],2,FALSE)&gt;0,"Y",""),"")</f>
        <v>Y</v>
      </c>
      <c r="H67" s="239" t="str">
        <f>IFERROR(IF(VLOOKUP(TableHandbook[[#This Row],[UDC]],TableAvailabilities[],3,FALSE)&gt;0,"Y",""),"")</f>
        <v/>
      </c>
      <c r="I67" s="239" t="str">
        <f>IFERROR(IF(VLOOKUP(TableHandbook[[#This Row],[UDC]],TableAvailabilities[],4,FALSE)&gt;0,"Y",""),"")</f>
        <v>Y</v>
      </c>
      <c r="J67" s="239" t="str">
        <f>IFERROR(IF(VLOOKUP(TableHandbook[[#This Row],[UDC]],TableAvailabilities[],5,FALSE)&gt;0,"Y",""),"")</f>
        <v/>
      </c>
      <c r="K67" s="2"/>
      <c r="L67" s="242" t="str">
        <f>IFERROR(VLOOKUP(TableHandbook[[#This Row],[UDC]],TableOMTEACH1[],7,FALSE),"")</f>
        <v/>
      </c>
      <c r="M67" s="240" t="str">
        <f>IFERROR(VLOOKUP(TableHandbook[[#This Row],[UDC]],TableOUMPTCHEC[],7,FALSE),"")</f>
        <v/>
      </c>
      <c r="N67" s="240" t="str">
        <f>IFERROR(VLOOKUP(TableHandbook[[#This Row],[UDC]],TableOUMPTCHPE[],7,FALSE),"")</f>
        <v/>
      </c>
      <c r="O67" s="240" t="str">
        <f>IFERROR(VLOOKUP(TableHandbook[[#This Row],[UDC]],TableOUMPTCHSE[],7,FALSE),"")</f>
        <v/>
      </c>
      <c r="P67" s="242" t="str">
        <f>IFERROR(VLOOKUP(TableHandbook[[#This Row],[UDC]],TableOCTESOL1[],7,FALSE),"")</f>
        <v/>
      </c>
      <c r="Q67" s="240" t="str">
        <f>IFERROR(VLOOKUP(TableHandbook[[#This Row],[UDC]],TableOCTESOL[],7,FALSE),"")</f>
        <v/>
      </c>
      <c r="R67" s="240" t="str">
        <f>IFERROR(VLOOKUP(TableHandbook[[#This Row],[UDC]],TableOMAPLING[],7,FALSE),"")</f>
        <v/>
      </c>
      <c r="S67" s="242" t="str">
        <f>IFERROR(VLOOKUP(TableHandbook[[#This Row],[UDC]],TableOCEDHE1[],7,FALSE),"")</f>
        <v/>
      </c>
      <c r="T67" s="240" t="str">
        <f>IFERROR(VLOOKUP(TableHandbook[[#This Row],[UDC]],TableOCEDHE[],7,FALSE),"")</f>
        <v/>
      </c>
      <c r="U67" s="240" t="str">
        <f>IFERROR(VLOOKUP(TableHandbook[[#This Row],[UDC]],TableOCEDUCS1[],7,FALSE),"")</f>
        <v/>
      </c>
      <c r="V67" s="240" t="str">
        <f>IFERROR(VLOOKUP(TableHandbook[[#This Row],[UDC]],TableOCEDUC[],7,FALSE),"")</f>
        <v/>
      </c>
      <c r="W67" s="240" t="str">
        <f>IFERROR(VLOOKUP(TableHandbook[[#This Row],[UDC]],TableOGEDUC[],7,FALSE),"")</f>
        <v/>
      </c>
      <c r="X67" s="240" t="str">
        <f>IFERROR(VLOOKUP(TableHandbook[[#This Row],[UDC]],TableOUMPEDUPR[],7,FALSE),"")</f>
        <v/>
      </c>
      <c r="Y67" s="240" t="str">
        <f>IFERROR(VLOOKUP(TableHandbook[[#This Row],[UDC]],TableOUMPEDUSC[],7,FALSE),"")</f>
        <v/>
      </c>
      <c r="Z67" s="242" t="str">
        <f>IFERROR(VLOOKUP(TableHandbook[[#This Row],[UDC]],TableOMEDUC[],7,FALSE),"")</f>
        <v>Option</v>
      </c>
      <c r="AA67" s="240" t="str">
        <f>IFERROR(VLOOKUP(TableHandbook[[#This Row],[UDC]],TableOSEPCULIN[],7,FALSE),"")</f>
        <v/>
      </c>
      <c r="AB67" s="240" t="str">
        <f>IFERROR(VLOOKUP(TableHandbook[[#This Row],[UDC]],TableOSEPLNTCH[],7,FALSE),"")</f>
        <v>Core</v>
      </c>
      <c r="AC67" s="240" t="str">
        <f>IFERROR(VLOOKUP(TableHandbook[[#This Row],[UDC]],TableOSEPSTEME[],7,FALSE),"")</f>
        <v>Core</v>
      </c>
    </row>
    <row r="68" spans="1:29" x14ac:dyDescent="0.25">
      <c r="A68" s="2" t="s">
        <v>169</v>
      </c>
      <c r="B68" s="3">
        <v>1</v>
      </c>
      <c r="C68" s="3" t="s">
        <v>481</v>
      </c>
      <c r="D68" s="2" t="s">
        <v>482</v>
      </c>
      <c r="E68" s="3">
        <v>25</v>
      </c>
      <c r="F68" s="237" t="s">
        <v>357</v>
      </c>
      <c r="G68" s="239" t="str">
        <f>IFERROR(IF(VLOOKUP(TableHandbook[[#This Row],[UDC]],TableAvailabilities[],2,FALSE)&gt;0,"Y",""),"")</f>
        <v/>
      </c>
      <c r="H68" s="239" t="str">
        <f>IFERROR(IF(VLOOKUP(TableHandbook[[#This Row],[UDC]],TableAvailabilities[],3,FALSE)&gt;0,"Y",""),"")</f>
        <v>Y</v>
      </c>
      <c r="I68" s="239" t="str">
        <f>IFERROR(IF(VLOOKUP(TableHandbook[[#This Row],[UDC]],TableAvailabilities[],4,FALSE)&gt;0,"Y",""),"")</f>
        <v/>
      </c>
      <c r="J68" s="239" t="str">
        <f>IFERROR(IF(VLOOKUP(TableHandbook[[#This Row],[UDC]],TableAvailabilities[],5,FALSE)&gt;0,"Y",""),"")</f>
        <v>Y</v>
      </c>
      <c r="K68" s="2"/>
      <c r="L68" s="242" t="str">
        <f>IFERROR(VLOOKUP(TableHandbook[[#This Row],[UDC]],TableOMTEACH1[],7,FALSE),"")</f>
        <v/>
      </c>
      <c r="M68" s="240" t="str">
        <f>IFERROR(VLOOKUP(TableHandbook[[#This Row],[UDC]],TableOUMPTCHEC[],7,FALSE),"")</f>
        <v/>
      </c>
      <c r="N68" s="240" t="str">
        <f>IFERROR(VLOOKUP(TableHandbook[[#This Row],[UDC]],TableOUMPTCHPE[],7,FALSE),"")</f>
        <v/>
      </c>
      <c r="O68" s="240" t="str">
        <f>IFERROR(VLOOKUP(TableHandbook[[#This Row],[UDC]],TableOUMPTCHSE[],7,FALSE),"")</f>
        <v/>
      </c>
      <c r="P68" s="242" t="str">
        <f>IFERROR(VLOOKUP(TableHandbook[[#This Row],[UDC]],TableOCTESOL1[],7,FALSE),"")</f>
        <v/>
      </c>
      <c r="Q68" s="240" t="str">
        <f>IFERROR(VLOOKUP(TableHandbook[[#This Row],[UDC]],TableOCTESOL[],7,FALSE),"")</f>
        <v/>
      </c>
      <c r="R68" s="240" t="str">
        <f>IFERROR(VLOOKUP(TableHandbook[[#This Row],[UDC]],TableOMAPLING[],7,FALSE),"")</f>
        <v/>
      </c>
      <c r="S68" s="242" t="str">
        <f>IFERROR(VLOOKUP(TableHandbook[[#This Row],[UDC]],TableOCEDHE1[],7,FALSE),"")</f>
        <v/>
      </c>
      <c r="T68" s="240" t="str">
        <f>IFERROR(VLOOKUP(TableHandbook[[#This Row],[UDC]],TableOCEDHE[],7,FALSE),"")</f>
        <v/>
      </c>
      <c r="U68" s="240" t="str">
        <f>IFERROR(VLOOKUP(TableHandbook[[#This Row],[UDC]],TableOCEDUCS1[],7,FALSE),"")</f>
        <v/>
      </c>
      <c r="V68" s="240" t="str">
        <f>IFERROR(VLOOKUP(TableHandbook[[#This Row],[UDC]],TableOCEDUC[],7,FALSE),"")</f>
        <v/>
      </c>
      <c r="W68" s="240" t="str">
        <f>IFERROR(VLOOKUP(TableHandbook[[#This Row],[UDC]],TableOGEDUC[],7,FALSE),"")</f>
        <v/>
      </c>
      <c r="X68" s="240" t="str">
        <f>IFERROR(VLOOKUP(TableHandbook[[#This Row],[UDC]],TableOUMPEDUPR[],7,FALSE),"")</f>
        <v/>
      </c>
      <c r="Y68" s="240" t="str">
        <f>IFERROR(VLOOKUP(TableHandbook[[#This Row],[UDC]],TableOUMPEDUSC[],7,FALSE),"")</f>
        <v/>
      </c>
      <c r="Z68" s="242" t="str">
        <f>IFERROR(VLOOKUP(TableHandbook[[#This Row],[UDC]],TableOMEDUC[],7,FALSE),"")</f>
        <v>Option</v>
      </c>
      <c r="AA68" s="240" t="str">
        <f>IFERROR(VLOOKUP(TableHandbook[[#This Row],[UDC]],TableOSEPCULIN[],7,FALSE),"")</f>
        <v>Core</v>
      </c>
      <c r="AB68" s="240" t="str">
        <f>IFERROR(VLOOKUP(TableHandbook[[#This Row],[UDC]],TableOSEPLNTCH[],7,FALSE),"")</f>
        <v>Core</v>
      </c>
      <c r="AC68" s="240" t="str">
        <f>IFERROR(VLOOKUP(TableHandbook[[#This Row],[UDC]],TableOSEPSTEME[],7,FALSE),"")</f>
        <v>Core</v>
      </c>
    </row>
    <row r="69" spans="1:29" x14ac:dyDescent="0.25">
      <c r="A69" s="2" t="s">
        <v>171</v>
      </c>
      <c r="B69" s="3">
        <v>1</v>
      </c>
      <c r="C69" s="3" t="s">
        <v>483</v>
      </c>
      <c r="D69" s="2" t="s">
        <v>484</v>
      </c>
      <c r="E69" s="3">
        <v>25</v>
      </c>
      <c r="F69" s="237" t="s">
        <v>357</v>
      </c>
      <c r="G69" s="239" t="str">
        <f>IFERROR(IF(VLOOKUP(TableHandbook[[#This Row],[UDC]],TableAvailabilities[],2,FALSE)&gt;0,"Y",""),"")</f>
        <v>Y</v>
      </c>
      <c r="H69" s="239" t="str">
        <f>IFERROR(IF(VLOOKUP(TableHandbook[[#This Row],[UDC]],TableAvailabilities[],3,FALSE)&gt;0,"Y",""),"")</f>
        <v/>
      </c>
      <c r="I69" s="239" t="str">
        <f>IFERROR(IF(VLOOKUP(TableHandbook[[#This Row],[UDC]],TableAvailabilities[],4,FALSE)&gt;0,"Y",""),"")</f>
        <v/>
      </c>
      <c r="J69" s="239" t="str">
        <f>IFERROR(IF(VLOOKUP(TableHandbook[[#This Row],[UDC]],TableAvailabilities[],5,FALSE)&gt;0,"Y",""),"")</f>
        <v/>
      </c>
      <c r="K69" s="2"/>
      <c r="L69" s="242" t="str">
        <f>IFERROR(VLOOKUP(TableHandbook[[#This Row],[UDC]],TableOMTEACH1[],7,FALSE),"")</f>
        <v/>
      </c>
      <c r="M69" s="240" t="str">
        <f>IFERROR(VLOOKUP(TableHandbook[[#This Row],[UDC]],TableOUMPTCHEC[],7,FALSE),"")</f>
        <v/>
      </c>
      <c r="N69" s="240" t="str">
        <f>IFERROR(VLOOKUP(TableHandbook[[#This Row],[UDC]],TableOUMPTCHPE[],7,FALSE),"")</f>
        <v/>
      </c>
      <c r="O69" s="240" t="str">
        <f>IFERROR(VLOOKUP(TableHandbook[[#This Row],[UDC]],TableOUMPTCHSE[],7,FALSE),"")</f>
        <v/>
      </c>
      <c r="P69" s="242" t="str">
        <f>IFERROR(VLOOKUP(TableHandbook[[#This Row],[UDC]],TableOCTESOL1[],7,FALSE),"")</f>
        <v/>
      </c>
      <c r="Q69" s="240" t="str">
        <f>IFERROR(VLOOKUP(TableHandbook[[#This Row],[UDC]],TableOCTESOL[],7,FALSE),"")</f>
        <v/>
      </c>
      <c r="R69" s="240" t="str">
        <f>IFERROR(VLOOKUP(TableHandbook[[#This Row],[UDC]],TableOMAPLING[],7,FALSE),"")</f>
        <v/>
      </c>
      <c r="S69" s="242" t="str">
        <f>IFERROR(VLOOKUP(TableHandbook[[#This Row],[UDC]],TableOCEDHE1[],7,FALSE),"")</f>
        <v/>
      </c>
      <c r="T69" s="240" t="str">
        <f>IFERROR(VLOOKUP(TableHandbook[[#This Row],[UDC]],TableOCEDHE[],7,FALSE),"")</f>
        <v/>
      </c>
      <c r="U69" s="240" t="str">
        <f>IFERROR(VLOOKUP(TableHandbook[[#This Row],[UDC]],TableOCEDUCS1[],7,FALSE),"")</f>
        <v/>
      </c>
      <c r="V69" s="240" t="str">
        <f>IFERROR(VLOOKUP(TableHandbook[[#This Row],[UDC]],TableOCEDUC[],7,FALSE),"")</f>
        <v/>
      </c>
      <c r="W69" s="240" t="str">
        <f>IFERROR(VLOOKUP(TableHandbook[[#This Row],[UDC]],TableOGEDUC[],7,FALSE),"")</f>
        <v/>
      </c>
      <c r="X69" s="240" t="str">
        <f>IFERROR(VLOOKUP(TableHandbook[[#This Row],[UDC]],TableOUMPEDUPR[],7,FALSE),"")</f>
        <v/>
      </c>
      <c r="Y69" s="240" t="str">
        <f>IFERROR(VLOOKUP(TableHandbook[[#This Row],[UDC]],TableOUMPEDUSC[],7,FALSE),"")</f>
        <v/>
      </c>
      <c r="Z69" s="242" t="str">
        <f>IFERROR(VLOOKUP(TableHandbook[[#This Row],[UDC]],TableOMEDUC[],7,FALSE),"")</f>
        <v>Option</v>
      </c>
      <c r="AA69" s="240" t="str">
        <f>IFERROR(VLOOKUP(TableHandbook[[#This Row],[UDC]],TableOSEPCULIN[],7,FALSE),"")</f>
        <v/>
      </c>
      <c r="AB69" s="240" t="str">
        <f>IFERROR(VLOOKUP(TableHandbook[[#This Row],[UDC]],TableOSEPLNTCH[],7,FALSE),"")</f>
        <v>Core</v>
      </c>
      <c r="AC69" s="240" t="str">
        <f>IFERROR(VLOOKUP(TableHandbook[[#This Row],[UDC]],TableOSEPSTEME[],7,FALSE),"")</f>
        <v/>
      </c>
    </row>
    <row r="70" spans="1:29" x14ac:dyDescent="0.25">
      <c r="A70" s="2" t="s">
        <v>168</v>
      </c>
      <c r="B70" s="3">
        <v>1</v>
      </c>
      <c r="C70" s="3" t="s">
        <v>485</v>
      </c>
      <c r="D70" s="2" t="s">
        <v>486</v>
      </c>
      <c r="E70" s="3">
        <v>25</v>
      </c>
      <c r="F70" s="237" t="s">
        <v>357</v>
      </c>
      <c r="G70" s="239" t="str">
        <f>IFERROR(IF(VLOOKUP(TableHandbook[[#This Row],[UDC]],TableAvailabilities[],2,FALSE)&gt;0,"Y",""),"")</f>
        <v>Y</v>
      </c>
      <c r="H70" s="239" t="str">
        <f>IFERROR(IF(VLOOKUP(TableHandbook[[#This Row],[UDC]],TableAvailabilities[],3,FALSE)&gt;0,"Y",""),"")</f>
        <v/>
      </c>
      <c r="I70" s="239" t="str">
        <f>IFERROR(IF(VLOOKUP(TableHandbook[[#This Row],[UDC]],TableAvailabilities[],4,FALSE)&gt;0,"Y",""),"")</f>
        <v/>
      </c>
      <c r="J70" s="239" t="str">
        <f>IFERROR(IF(VLOOKUP(TableHandbook[[#This Row],[UDC]],TableAvailabilities[],5,FALSE)&gt;0,"Y",""),"")</f>
        <v/>
      </c>
      <c r="K70" s="2"/>
      <c r="L70" s="242" t="str">
        <f>IFERROR(VLOOKUP(TableHandbook[[#This Row],[UDC]],TableOMTEACH1[],7,FALSE),"")</f>
        <v/>
      </c>
      <c r="M70" s="240" t="str">
        <f>IFERROR(VLOOKUP(TableHandbook[[#This Row],[UDC]],TableOUMPTCHEC[],7,FALSE),"")</f>
        <v/>
      </c>
      <c r="N70" s="240" t="str">
        <f>IFERROR(VLOOKUP(TableHandbook[[#This Row],[UDC]],TableOUMPTCHPE[],7,FALSE),"")</f>
        <v/>
      </c>
      <c r="O70" s="240" t="str">
        <f>IFERROR(VLOOKUP(TableHandbook[[#This Row],[UDC]],TableOUMPTCHSE[],7,FALSE),"")</f>
        <v/>
      </c>
      <c r="P70" s="242" t="str">
        <f>IFERROR(VLOOKUP(TableHandbook[[#This Row],[UDC]],TableOCTESOL1[],7,FALSE),"")</f>
        <v/>
      </c>
      <c r="Q70" s="240" t="str">
        <f>IFERROR(VLOOKUP(TableHandbook[[#This Row],[UDC]],TableOCTESOL[],7,FALSE),"")</f>
        <v/>
      </c>
      <c r="R70" s="240" t="str">
        <f>IFERROR(VLOOKUP(TableHandbook[[#This Row],[UDC]],TableOMAPLING[],7,FALSE),"")</f>
        <v/>
      </c>
      <c r="S70" s="242" t="str">
        <f>IFERROR(VLOOKUP(TableHandbook[[#This Row],[UDC]],TableOCEDHE1[],7,FALSE),"")</f>
        <v/>
      </c>
      <c r="T70" s="240" t="str">
        <f>IFERROR(VLOOKUP(TableHandbook[[#This Row],[UDC]],TableOCEDHE[],7,FALSE),"")</f>
        <v/>
      </c>
      <c r="U70" s="240" t="str">
        <f>IFERROR(VLOOKUP(TableHandbook[[#This Row],[UDC]],TableOCEDUCS1[],7,FALSE),"")</f>
        <v/>
      </c>
      <c r="V70" s="240" t="str">
        <f>IFERROR(VLOOKUP(TableHandbook[[#This Row],[UDC]],TableOCEDUC[],7,FALSE),"")</f>
        <v/>
      </c>
      <c r="W70" s="240" t="str">
        <f>IFERROR(VLOOKUP(TableHandbook[[#This Row],[UDC]],TableOGEDUC[],7,FALSE),"")</f>
        <v/>
      </c>
      <c r="X70" s="240" t="str">
        <f>IFERROR(VLOOKUP(TableHandbook[[#This Row],[UDC]],TableOUMPEDUPR[],7,FALSE),"")</f>
        <v/>
      </c>
      <c r="Y70" s="240" t="str">
        <f>IFERROR(VLOOKUP(TableHandbook[[#This Row],[UDC]],TableOUMPEDUSC[],7,FALSE),"")</f>
        <v/>
      </c>
      <c r="Z70" s="242" t="str">
        <f>IFERROR(VLOOKUP(TableHandbook[[#This Row],[UDC]],TableOMEDUC[],7,FALSE),"")</f>
        <v>Option</v>
      </c>
      <c r="AA70" s="240" t="str">
        <f>IFERROR(VLOOKUP(TableHandbook[[#This Row],[UDC]],TableOSEPCULIN[],7,FALSE),"")</f>
        <v>Core</v>
      </c>
      <c r="AB70" s="240" t="str">
        <f>IFERROR(VLOOKUP(TableHandbook[[#This Row],[UDC]],TableOSEPLNTCH[],7,FALSE),"")</f>
        <v/>
      </c>
      <c r="AC70" s="240" t="str">
        <f>IFERROR(VLOOKUP(TableHandbook[[#This Row],[UDC]],TableOSEPSTEME[],7,FALSE),"")</f>
        <v/>
      </c>
    </row>
    <row r="71" spans="1:29" x14ac:dyDescent="0.25">
      <c r="A71" s="2" t="s">
        <v>172</v>
      </c>
      <c r="B71" s="3">
        <v>1</v>
      </c>
      <c r="C71" s="3" t="s">
        <v>487</v>
      </c>
      <c r="D71" s="2" t="s">
        <v>488</v>
      </c>
      <c r="E71" s="3">
        <v>25</v>
      </c>
      <c r="F71" s="237" t="s">
        <v>357</v>
      </c>
      <c r="G71" s="239" t="str">
        <f>IFERROR(IF(VLOOKUP(TableHandbook[[#This Row],[UDC]],TableAvailabilities[],2,FALSE)&gt;0,"Y",""),"")</f>
        <v/>
      </c>
      <c r="H71" s="239" t="str">
        <f>IFERROR(IF(VLOOKUP(TableHandbook[[#This Row],[UDC]],TableAvailabilities[],3,FALSE)&gt;0,"Y",""),"")</f>
        <v/>
      </c>
      <c r="I71" s="239" t="str">
        <f>IFERROR(IF(VLOOKUP(TableHandbook[[#This Row],[UDC]],TableAvailabilities[],4,FALSE)&gt;0,"Y",""),"")</f>
        <v>Y</v>
      </c>
      <c r="J71" s="239" t="str">
        <f>IFERROR(IF(VLOOKUP(TableHandbook[[#This Row],[UDC]],TableAvailabilities[],5,FALSE)&gt;0,"Y",""),"")</f>
        <v/>
      </c>
      <c r="K71" s="2"/>
      <c r="L71" s="242" t="str">
        <f>IFERROR(VLOOKUP(TableHandbook[[#This Row],[UDC]],TableOMTEACH1[],7,FALSE),"")</f>
        <v/>
      </c>
      <c r="M71" s="240" t="str">
        <f>IFERROR(VLOOKUP(TableHandbook[[#This Row],[UDC]],TableOUMPTCHEC[],7,FALSE),"")</f>
        <v/>
      </c>
      <c r="N71" s="240" t="str">
        <f>IFERROR(VLOOKUP(TableHandbook[[#This Row],[UDC]],TableOUMPTCHPE[],7,FALSE),"")</f>
        <v/>
      </c>
      <c r="O71" s="240" t="str">
        <f>IFERROR(VLOOKUP(TableHandbook[[#This Row],[UDC]],TableOUMPTCHSE[],7,FALSE),"")</f>
        <v/>
      </c>
      <c r="P71" s="242" t="str">
        <f>IFERROR(VLOOKUP(TableHandbook[[#This Row],[UDC]],TableOCTESOL1[],7,FALSE),"")</f>
        <v/>
      </c>
      <c r="Q71" s="240" t="str">
        <f>IFERROR(VLOOKUP(TableHandbook[[#This Row],[UDC]],TableOCTESOL[],7,FALSE),"")</f>
        <v/>
      </c>
      <c r="R71" s="240" t="str">
        <f>IFERROR(VLOOKUP(TableHandbook[[#This Row],[UDC]],TableOMAPLING[],7,FALSE),"")</f>
        <v/>
      </c>
      <c r="S71" s="242" t="str">
        <f>IFERROR(VLOOKUP(TableHandbook[[#This Row],[UDC]],TableOCEDHE1[],7,FALSE),"")</f>
        <v/>
      </c>
      <c r="T71" s="240" t="str">
        <f>IFERROR(VLOOKUP(TableHandbook[[#This Row],[UDC]],TableOCEDHE[],7,FALSE),"")</f>
        <v/>
      </c>
      <c r="U71" s="240" t="str">
        <f>IFERROR(VLOOKUP(TableHandbook[[#This Row],[UDC]],TableOCEDUCS1[],7,FALSE),"")</f>
        <v/>
      </c>
      <c r="V71" s="240" t="str">
        <f>IFERROR(VLOOKUP(TableHandbook[[#This Row],[UDC]],TableOCEDUC[],7,FALSE),"")</f>
        <v/>
      </c>
      <c r="W71" s="240" t="str">
        <f>IFERROR(VLOOKUP(TableHandbook[[#This Row],[UDC]],TableOGEDUC[],7,FALSE),"")</f>
        <v/>
      </c>
      <c r="X71" s="240" t="str">
        <f>IFERROR(VLOOKUP(TableHandbook[[#This Row],[UDC]],TableOUMPEDUPR[],7,FALSE),"")</f>
        <v/>
      </c>
      <c r="Y71" s="240" t="str">
        <f>IFERROR(VLOOKUP(TableHandbook[[#This Row],[UDC]],TableOUMPEDUSC[],7,FALSE),"")</f>
        <v/>
      </c>
      <c r="Z71" s="242" t="str">
        <f>IFERROR(VLOOKUP(TableHandbook[[#This Row],[UDC]],TableOMEDUC[],7,FALSE),"")</f>
        <v>Option</v>
      </c>
      <c r="AA71" s="240" t="str">
        <f>IFERROR(VLOOKUP(TableHandbook[[#This Row],[UDC]],TableOSEPCULIN[],7,FALSE),"")</f>
        <v/>
      </c>
      <c r="AB71" s="240" t="str">
        <f>IFERROR(VLOOKUP(TableHandbook[[#This Row],[UDC]],TableOSEPLNTCH[],7,FALSE),"")</f>
        <v>Core</v>
      </c>
      <c r="AC71" s="240" t="str">
        <f>IFERROR(VLOOKUP(TableHandbook[[#This Row],[UDC]],TableOSEPSTEME[],7,FALSE),"")</f>
        <v/>
      </c>
    </row>
    <row r="72" spans="1:29" x14ac:dyDescent="0.25">
      <c r="A72" s="2" t="s">
        <v>173</v>
      </c>
      <c r="B72" s="3">
        <v>1</v>
      </c>
      <c r="C72" s="3" t="s">
        <v>489</v>
      </c>
      <c r="D72" s="2" t="s">
        <v>490</v>
      </c>
      <c r="E72" s="3">
        <v>25</v>
      </c>
      <c r="F72" s="237" t="s">
        <v>357</v>
      </c>
      <c r="G72" s="239" t="str">
        <f>IFERROR(IF(VLOOKUP(TableHandbook[[#This Row],[UDC]],TableAvailabilities[],2,FALSE)&gt;0,"Y",""),"")</f>
        <v>Y</v>
      </c>
      <c r="H72" s="239" t="str">
        <f>IFERROR(IF(VLOOKUP(TableHandbook[[#This Row],[UDC]],TableAvailabilities[],3,FALSE)&gt;0,"Y",""),"")</f>
        <v/>
      </c>
      <c r="I72" s="239" t="str">
        <f>IFERROR(IF(VLOOKUP(TableHandbook[[#This Row],[UDC]],TableAvailabilities[],4,FALSE)&gt;0,"Y",""),"")</f>
        <v/>
      </c>
      <c r="J72" s="239" t="str">
        <f>IFERROR(IF(VLOOKUP(TableHandbook[[#This Row],[UDC]],TableAvailabilities[],5,FALSE)&gt;0,"Y",""),"")</f>
        <v/>
      </c>
      <c r="K72" s="2"/>
      <c r="L72" s="242" t="str">
        <f>IFERROR(VLOOKUP(TableHandbook[[#This Row],[UDC]],TableOMTEACH1[],7,FALSE),"")</f>
        <v/>
      </c>
      <c r="M72" s="240" t="str">
        <f>IFERROR(VLOOKUP(TableHandbook[[#This Row],[UDC]],TableOUMPTCHEC[],7,FALSE),"")</f>
        <v/>
      </c>
      <c r="N72" s="240" t="str">
        <f>IFERROR(VLOOKUP(TableHandbook[[#This Row],[UDC]],TableOUMPTCHPE[],7,FALSE),"")</f>
        <v/>
      </c>
      <c r="O72" s="240" t="str">
        <f>IFERROR(VLOOKUP(TableHandbook[[#This Row],[UDC]],TableOUMPTCHSE[],7,FALSE),"")</f>
        <v/>
      </c>
      <c r="P72" s="242" t="str">
        <f>IFERROR(VLOOKUP(TableHandbook[[#This Row],[UDC]],TableOCTESOL1[],7,FALSE),"")</f>
        <v/>
      </c>
      <c r="Q72" s="240" t="str">
        <f>IFERROR(VLOOKUP(TableHandbook[[#This Row],[UDC]],TableOCTESOL[],7,FALSE),"")</f>
        <v/>
      </c>
      <c r="R72" s="240" t="str">
        <f>IFERROR(VLOOKUP(TableHandbook[[#This Row],[UDC]],TableOMAPLING[],7,FALSE),"")</f>
        <v/>
      </c>
      <c r="S72" s="242" t="str">
        <f>IFERROR(VLOOKUP(TableHandbook[[#This Row],[UDC]],TableOCEDHE1[],7,FALSE),"")</f>
        <v/>
      </c>
      <c r="T72" s="240" t="str">
        <f>IFERROR(VLOOKUP(TableHandbook[[#This Row],[UDC]],TableOCEDHE[],7,FALSE),"")</f>
        <v/>
      </c>
      <c r="U72" s="240" t="str">
        <f>IFERROR(VLOOKUP(TableHandbook[[#This Row],[UDC]],TableOCEDUCS1[],7,FALSE),"")</f>
        <v/>
      </c>
      <c r="V72" s="240" t="str">
        <f>IFERROR(VLOOKUP(TableHandbook[[#This Row],[UDC]],TableOCEDUC[],7,FALSE),"")</f>
        <v/>
      </c>
      <c r="W72" s="240" t="str">
        <f>IFERROR(VLOOKUP(TableHandbook[[#This Row],[UDC]],TableOGEDUC[],7,FALSE),"")</f>
        <v/>
      </c>
      <c r="X72" s="240" t="str">
        <f>IFERROR(VLOOKUP(TableHandbook[[#This Row],[UDC]],TableOUMPEDUPR[],7,FALSE),"")</f>
        <v/>
      </c>
      <c r="Y72" s="240" t="str">
        <f>IFERROR(VLOOKUP(TableHandbook[[#This Row],[UDC]],TableOUMPEDUSC[],7,FALSE),"")</f>
        <v/>
      </c>
      <c r="Z72" s="242" t="str">
        <f>IFERROR(VLOOKUP(TableHandbook[[#This Row],[UDC]],TableOMEDUC[],7,FALSE),"")</f>
        <v>Option</v>
      </c>
      <c r="AA72" s="240" t="str">
        <f>IFERROR(VLOOKUP(TableHandbook[[#This Row],[UDC]],TableOSEPCULIN[],7,FALSE),"")</f>
        <v/>
      </c>
      <c r="AB72" s="240" t="str">
        <f>IFERROR(VLOOKUP(TableHandbook[[#This Row],[UDC]],TableOSEPLNTCH[],7,FALSE),"")</f>
        <v/>
      </c>
      <c r="AC72" s="240" t="str">
        <f>IFERROR(VLOOKUP(TableHandbook[[#This Row],[UDC]],TableOSEPSTEME[],7,FALSE),"")</f>
        <v>Core</v>
      </c>
    </row>
    <row r="73" spans="1:29" x14ac:dyDescent="0.25">
      <c r="A73" s="2" t="s">
        <v>120</v>
      </c>
      <c r="B73" s="3">
        <v>1</v>
      </c>
      <c r="C73" s="3" t="s">
        <v>491</v>
      </c>
      <c r="D73" s="2" t="s">
        <v>492</v>
      </c>
      <c r="E73" s="3">
        <v>25</v>
      </c>
      <c r="F73" s="275" t="s">
        <v>493</v>
      </c>
      <c r="G73" s="239" t="str">
        <f>IFERROR(IF(VLOOKUP(TableHandbook[[#This Row],[UDC]],TableAvailabilities[],2,FALSE)&gt;0,"Y",""),"")</f>
        <v>Y</v>
      </c>
      <c r="H73" s="239" t="str">
        <f>IFERROR(IF(VLOOKUP(TableHandbook[[#This Row],[UDC]],TableAvailabilities[],3,FALSE)&gt;0,"Y",""),"")</f>
        <v/>
      </c>
      <c r="I73" s="239" t="str">
        <f>IFERROR(IF(VLOOKUP(TableHandbook[[#This Row],[UDC]],TableAvailabilities[],4,FALSE)&gt;0,"Y",""),"")</f>
        <v>Y</v>
      </c>
      <c r="J73" s="239" t="str">
        <f>IFERROR(IF(VLOOKUP(TableHandbook[[#This Row],[UDC]],TableAvailabilities[],5,FALSE)&gt;0,"Y",""),"")</f>
        <v/>
      </c>
      <c r="K73" s="2"/>
      <c r="L73" s="242" t="str">
        <f>IFERROR(VLOOKUP(TableHandbook[[#This Row],[UDC]],TableOMTEACH1[],7,FALSE),"")</f>
        <v/>
      </c>
      <c r="M73" s="240" t="str">
        <f>IFERROR(VLOOKUP(TableHandbook[[#This Row],[UDC]],TableOUMPTCHEC[],7,FALSE),"")</f>
        <v>Core</v>
      </c>
      <c r="N73" s="240" t="str">
        <f>IFERROR(VLOOKUP(TableHandbook[[#This Row],[UDC]],TableOUMPTCHPE[],7,FALSE),"")</f>
        <v>Core</v>
      </c>
      <c r="O73" s="240" t="str">
        <f>IFERROR(VLOOKUP(TableHandbook[[#This Row],[UDC]],TableOUMPTCHSE[],7,FALSE),"")</f>
        <v>Core</v>
      </c>
      <c r="P73" s="242" t="str">
        <f>IFERROR(VLOOKUP(TableHandbook[[#This Row],[UDC]],TableOCTESOL1[],7,FALSE),"")</f>
        <v/>
      </c>
      <c r="Q73" s="240" t="str">
        <f>IFERROR(VLOOKUP(TableHandbook[[#This Row],[UDC]],TableOCTESOL[],7,FALSE),"")</f>
        <v/>
      </c>
      <c r="R73" s="240" t="str">
        <f>IFERROR(VLOOKUP(TableHandbook[[#This Row],[UDC]],TableOMAPLING[],7,FALSE),"")</f>
        <v/>
      </c>
      <c r="S73" s="242" t="str">
        <f>IFERROR(VLOOKUP(TableHandbook[[#This Row],[UDC]],TableOCEDHE1[],7,FALSE),"")</f>
        <v/>
      </c>
      <c r="T73" s="240" t="str">
        <f>IFERROR(VLOOKUP(TableHandbook[[#This Row],[UDC]],TableOCEDHE[],7,FALSE),"")</f>
        <v/>
      </c>
      <c r="U73" s="240" t="str">
        <f>IFERROR(VLOOKUP(TableHandbook[[#This Row],[UDC]],TableOCEDUCS1[],7,FALSE),"")</f>
        <v/>
      </c>
      <c r="V73" s="240" t="str">
        <f>IFERROR(VLOOKUP(TableHandbook[[#This Row],[UDC]],TableOCEDUC[],7,FALSE),"")</f>
        <v/>
      </c>
      <c r="W73" s="240" t="str">
        <f>IFERROR(VLOOKUP(TableHandbook[[#This Row],[UDC]],TableOGEDUC[],7,FALSE),"")</f>
        <v/>
      </c>
      <c r="X73" s="240" t="str">
        <f>IFERROR(VLOOKUP(TableHandbook[[#This Row],[UDC]],TableOUMPEDUPR[],7,FALSE),"")</f>
        <v>Core</v>
      </c>
      <c r="Y73" s="240" t="str">
        <f>IFERROR(VLOOKUP(TableHandbook[[#This Row],[UDC]],TableOUMPEDUSC[],7,FALSE),"")</f>
        <v>Core</v>
      </c>
      <c r="Z73" s="242" t="str">
        <f>IFERROR(VLOOKUP(TableHandbook[[#This Row],[UDC]],TableOMEDUC[],7,FALSE),"")</f>
        <v/>
      </c>
      <c r="AA73" s="240" t="str">
        <f>IFERROR(VLOOKUP(TableHandbook[[#This Row],[UDC]],TableOSEPCULIN[],7,FALSE),"")</f>
        <v/>
      </c>
      <c r="AB73" s="240" t="str">
        <f>IFERROR(VLOOKUP(TableHandbook[[#This Row],[UDC]],TableOSEPLNTCH[],7,FALSE),"")</f>
        <v/>
      </c>
      <c r="AC73" s="240" t="str">
        <f>IFERROR(VLOOKUP(TableHandbook[[#This Row],[UDC]],TableOSEPSTEME[],7,FALSE),"")</f>
        <v/>
      </c>
    </row>
    <row r="74" spans="1:29" x14ac:dyDescent="0.25">
      <c r="A74" s="2" t="s">
        <v>129</v>
      </c>
      <c r="B74" s="3">
        <v>1</v>
      </c>
      <c r="C74" s="3" t="s">
        <v>494</v>
      </c>
      <c r="D74" s="2" t="s">
        <v>495</v>
      </c>
      <c r="E74" s="3">
        <v>25</v>
      </c>
      <c r="F74" s="275" t="s">
        <v>491</v>
      </c>
      <c r="G74" s="239" t="str">
        <f>IFERROR(IF(VLOOKUP(TableHandbook[[#This Row],[UDC]],TableAvailabilities[],2,FALSE)&gt;0,"Y",""),"")</f>
        <v>Y</v>
      </c>
      <c r="H74" s="239" t="str">
        <f>IFERROR(IF(VLOOKUP(TableHandbook[[#This Row],[UDC]],TableAvailabilities[],3,FALSE)&gt;0,"Y",""),"")</f>
        <v>Y</v>
      </c>
      <c r="I74" s="239" t="str">
        <f>IFERROR(IF(VLOOKUP(TableHandbook[[#This Row],[UDC]],TableAvailabilities[],4,FALSE)&gt;0,"Y",""),"")</f>
        <v>Y</v>
      </c>
      <c r="J74" s="239" t="str">
        <f>IFERROR(IF(VLOOKUP(TableHandbook[[#This Row],[UDC]],TableAvailabilities[],5,FALSE)&gt;0,"Y",""),"")</f>
        <v>Y</v>
      </c>
      <c r="K74" s="2"/>
      <c r="L74" s="242" t="str">
        <f>IFERROR(VLOOKUP(TableHandbook[[#This Row],[UDC]],TableOMTEACH1[],7,FALSE),"")</f>
        <v/>
      </c>
      <c r="M74" s="240" t="str">
        <f>IFERROR(VLOOKUP(TableHandbook[[#This Row],[UDC]],TableOUMPTCHEC[],7,FALSE),"")</f>
        <v>Core</v>
      </c>
      <c r="N74" s="240" t="str">
        <f>IFERROR(VLOOKUP(TableHandbook[[#This Row],[UDC]],TableOUMPTCHPE[],7,FALSE),"")</f>
        <v>Core</v>
      </c>
      <c r="O74" s="240" t="str">
        <f>IFERROR(VLOOKUP(TableHandbook[[#This Row],[UDC]],TableOUMPTCHSE[],7,FALSE),"")</f>
        <v>Core</v>
      </c>
      <c r="P74" s="242" t="str">
        <f>IFERROR(VLOOKUP(TableHandbook[[#This Row],[UDC]],TableOCTESOL1[],7,FALSE),"")</f>
        <v/>
      </c>
      <c r="Q74" s="240" t="str">
        <f>IFERROR(VLOOKUP(TableHandbook[[#This Row],[UDC]],TableOCTESOL[],7,FALSE),"")</f>
        <v/>
      </c>
      <c r="R74" s="240" t="str">
        <f>IFERROR(VLOOKUP(TableHandbook[[#This Row],[UDC]],TableOMAPLING[],7,FALSE),"")</f>
        <v/>
      </c>
      <c r="S74" s="242" t="str">
        <f>IFERROR(VLOOKUP(TableHandbook[[#This Row],[UDC]],TableOCEDHE1[],7,FALSE),"")</f>
        <v/>
      </c>
      <c r="T74" s="240" t="str">
        <f>IFERROR(VLOOKUP(TableHandbook[[#This Row],[UDC]],TableOCEDHE[],7,FALSE),"")</f>
        <v/>
      </c>
      <c r="U74" s="240" t="str">
        <f>IFERROR(VLOOKUP(TableHandbook[[#This Row],[UDC]],TableOCEDUCS1[],7,FALSE),"")</f>
        <v/>
      </c>
      <c r="V74" s="240" t="str">
        <f>IFERROR(VLOOKUP(TableHandbook[[#This Row],[UDC]],TableOCEDUC[],7,FALSE),"")</f>
        <v/>
      </c>
      <c r="W74" s="240" t="str">
        <f>IFERROR(VLOOKUP(TableHandbook[[#This Row],[UDC]],TableOGEDUC[],7,FALSE),"")</f>
        <v/>
      </c>
      <c r="X74" s="240" t="str">
        <f>IFERROR(VLOOKUP(TableHandbook[[#This Row],[UDC]],TableOUMPEDUPR[],7,FALSE),"")</f>
        <v/>
      </c>
      <c r="Y74" s="240" t="str">
        <f>IFERROR(VLOOKUP(TableHandbook[[#This Row],[UDC]],TableOUMPEDUSC[],7,FALSE),"")</f>
        <v/>
      </c>
      <c r="Z74" s="242" t="str">
        <f>IFERROR(VLOOKUP(TableHandbook[[#This Row],[UDC]],TableOMEDUC[],7,FALSE),"")</f>
        <v/>
      </c>
      <c r="AA74" s="240" t="str">
        <f>IFERROR(VLOOKUP(TableHandbook[[#This Row],[UDC]],TableOSEPCULIN[],7,FALSE),"")</f>
        <v/>
      </c>
      <c r="AB74" s="240" t="str">
        <f>IFERROR(VLOOKUP(TableHandbook[[#This Row],[UDC]],TableOSEPLNTCH[],7,FALSE),"")</f>
        <v/>
      </c>
      <c r="AC74" s="240" t="str">
        <f>IFERROR(VLOOKUP(TableHandbook[[#This Row],[UDC]],TableOSEPSTEME[],7,FALSE),"")</f>
        <v/>
      </c>
    </row>
    <row r="75" spans="1:29" x14ac:dyDescent="0.25">
      <c r="A75" s="2" t="s">
        <v>122</v>
      </c>
      <c r="B75" s="3">
        <v>1</v>
      </c>
      <c r="C75" s="3" t="s">
        <v>496</v>
      </c>
      <c r="D75" s="2" t="s">
        <v>497</v>
      </c>
      <c r="E75" s="3">
        <v>25</v>
      </c>
      <c r="F75" s="237" t="s">
        <v>357</v>
      </c>
      <c r="G75" s="239" t="str">
        <f>IFERROR(IF(VLOOKUP(TableHandbook[[#This Row],[UDC]],TableAvailabilities[],2,FALSE)&gt;0,"Y",""),"")</f>
        <v>Y</v>
      </c>
      <c r="H75" s="239" t="str">
        <f>IFERROR(IF(VLOOKUP(TableHandbook[[#This Row],[UDC]],TableAvailabilities[],3,FALSE)&gt;0,"Y",""),"")</f>
        <v/>
      </c>
      <c r="I75" s="239" t="str">
        <f>IFERROR(IF(VLOOKUP(TableHandbook[[#This Row],[UDC]],TableAvailabilities[],4,FALSE)&gt;0,"Y",""),"")</f>
        <v/>
      </c>
      <c r="J75" s="239" t="str">
        <f>IFERROR(IF(VLOOKUP(TableHandbook[[#This Row],[UDC]],TableAvailabilities[],5,FALSE)&gt;0,"Y",""),"")</f>
        <v>Y</v>
      </c>
      <c r="K75" s="2"/>
      <c r="L75" s="242" t="str">
        <f>IFERROR(VLOOKUP(TableHandbook[[#This Row],[UDC]],TableOMTEACH1[],7,FALSE),"")</f>
        <v/>
      </c>
      <c r="M75" s="240" t="str">
        <f>IFERROR(VLOOKUP(TableHandbook[[#This Row],[UDC]],TableOUMPTCHEC[],7,FALSE),"")</f>
        <v/>
      </c>
      <c r="N75" s="240" t="str">
        <f>IFERROR(VLOOKUP(TableHandbook[[#This Row],[UDC]],TableOUMPTCHPE[],7,FALSE),"")</f>
        <v>Core</v>
      </c>
      <c r="O75" s="240" t="str">
        <f>IFERROR(VLOOKUP(TableHandbook[[#This Row],[UDC]],TableOUMPTCHSE[],7,FALSE),"")</f>
        <v>Core</v>
      </c>
      <c r="P75" s="242" t="str">
        <f>IFERROR(VLOOKUP(TableHandbook[[#This Row],[UDC]],TableOCTESOL1[],7,FALSE),"")</f>
        <v/>
      </c>
      <c r="Q75" s="240" t="str">
        <f>IFERROR(VLOOKUP(TableHandbook[[#This Row],[UDC]],TableOCTESOL[],7,FALSE),"")</f>
        <v/>
      </c>
      <c r="R75" s="240" t="str">
        <f>IFERROR(VLOOKUP(TableHandbook[[#This Row],[UDC]],TableOMAPLING[],7,FALSE),"")</f>
        <v/>
      </c>
      <c r="S75" s="242" t="str">
        <f>IFERROR(VLOOKUP(TableHandbook[[#This Row],[UDC]],TableOCEDHE1[],7,FALSE),"")</f>
        <v/>
      </c>
      <c r="T75" s="240" t="str">
        <f>IFERROR(VLOOKUP(TableHandbook[[#This Row],[UDC]],TableOCEDHE[],7,FALSE),"")</f>
        <v/>
      </c>
      <c r="U75" s="240" t="str">
        <f>IFERROR(VLOOKUP(TableHandbook[[#This Row],[UDC]],TableOCEDUCS1[],7,FALSE),"")</f>
        <v/>
      </c>
      <c r="V75" s="240" t="str">
        <f>IFERROR(VLOOKUP(TableHandbook[[#This Row],[UDC]],TableOCEDUC[],7,FALSE),"")</f>
        <v/>
      </c>
      <c r="W75" s="240" t="str">
        <f>IFERROR(VLOOKUP(TableHandbook[[#This Row],[UDC]],TableOGEDUC[],7,FALSE),"")</f>
        <v/>
      </c>
      <c r="X75" s="240" t="str">
        <f>IFERROR(VLOOKUP(TableHandbook[[#This Row],[UDC]],TableOUMPEDUPR[],7,FALSE),"")</f>
        <v/>
      </c>
      <c r="Y75" s="240" t="str">
        <f>IFERROR(VLOOKUP(TableHandbook[[#This Row],[UDC]],TableOUMPEDUSC[],7,FALSE),"")</f>
        <v/>
      </c>
      <c r="Z75" s="242" t="str">
        <f>IFERROR(VLOOKUP(TableHandbook[[#This Row],[UDC]],TableOMEDUC[],7,FALSE),"")</f>
        <v/>
      </c>
      <c r="AA75" s="240" t="str">
        <f>IFERROR(VLOOKUP(TableHandbook[[#This Row],[UDC]],TableOSEPCULIN[],7,FALSE),"")</f>
        <v/>
      </c>
      <c r="AB75" s="240" t="str">
        <f>IFERROR(VLOOKUP(TableHandbook[[#This Row],[UDC]],TableOSEPLNTCH[],7,FALSE),"")</f>
        <v/>
      </c>
      <c r="AC75" s="240" t="str">
        <f>IFERROR(VLOOKUP(TableHandbook[[#This Row],[UDC]],TableOSEPSTEME[],7,FALSE),"")</f>
        <v/>
      </c>
    </row>
    <row r="76" spans="1:29" x14ac:dyDescent="0.25">
      <c r="A76" s="2" t="s">
        <v>498</v>
      </c>
      <c r="B76" s="3"/>
      <c r="C76" s="3"/>
      <c r="D76" s="2" t="s">
        <v>499</v>
      </c>
      <c r="E76" s="3"/>
      <c r="F76" s="237"/>
      <c r="G76" s="239" t="str">
        <f>IFERROR(IF(VLOOKUP(TableHandbook[[#This Row],[UDC]],TableAvailabilities[],2,FALSE)&gt;0,"Y",""),"")</f>
        <v/>
      </c>
      <c r="H76" s="239" t="str">
        <f>IFERROR(IF(VLOOKUP(TableHandbook[[#This Row],[UDC]],TableAvailabilities[],3,FALSE)&gt;0,"Y",""),"")</f>
        <v/>
      </c>
      <c r="I76" s="239" t="str">
        <f>IFERROR(IF(VLOOKUP(TableHandbook[[#This Row],[UDC]],TableAvailabilities[],4,FALSE)&gt;0,"Y",""),"")</f>
        <v/>
      </c>
      <c r="J76" s="239" t="str">
        <f>IFERROR(IF(VLOOKUP(TableHandbook[[#This Row],[UDC]],TableAvailabilities[],5,FALSE)&gt;0,"Y",""),"")</f>
        <v/>
      </c>
      <c r="K76" s="2"/>
      <c r="L76" s="242" t="str">
        <f>IFERROR(VLOOKUP(TableHandbook[[#This Row],[UDC]],TableOMTEACH1[],7,FALSE),"")</f>
        <v/>
      </c>
      <c r="M76" s="240" t="str">
        <f>IFERROR(VLOOKUP(TableHandbook[[#This Row],[UDC]],TableOUMPTCHEC[],7,FALSE),"")</f>
        <v/>
      </c>
      <c r="N76" s="240" t="str">
        <f>IFERROR(VLOOKUP(TableHandbook[[#This Row],[UDC]],TableOUMPTCHPE[],7,FALSE),"")</f>
        <v/>
      </c>
      <c r="O76" s="240" t="str">
        <f>IFERROR(VLOOKUP(TableHandbook[[#This Row],[UDC]],TableOUMPTCHSE[],7,FALSE),"")</f>
        <v>Option</v>
      </c>
      <c r="P76" s="242" t="str">
        <f>IFERROR(VLOOKUP(TableHandbook[[#This Row],[UDC]],TableOCTESOL1[],7,FALSE),"")</f>
        <v/>
      </c>
      <c r="Q76" s="240" t="str">
        <f>IFERROR(VLOOKUP(TableHandbook[[#This Row],[UDC]],TableOCTESOL[],7,FALSE),"")</f>
        <v/>
      </c>
      <c r="R76" s="240" t="str">
        <f>IFERROR(VLOOKUP(TableHandbook[[#This Row],[UDC]],TableOMAPLING[],7,FALSE),"")</f>
        <v/>
      </c>
      <c r="S76" s="242" t="str">
        <f>IFERROR(VLOOKUP(TableHandbook[[#This Row],[UDC]],TableOCEDHE1[],7,FALSE),"")</f>
        <v/>
      </c>
      <c r="T76" s="240" t="str">
        <f>IFERROR(VLOOKUP(TableHandbook[[#This Row],[UDC]],TableOCEDHE[],7,FALSE),"")</f>
        <v/>
      </c>
      <c r="U76" s="240" t="str">
        <f>IFERROR(VLOOKUP(TableHandbook[[#This Row],[UDC]],TableOCEDUCS1[],7,FALSE),"")</f>
        <v/>
      </c>
      <c r="V76" s="240" t="str">
        <f>IFERROR(VLOOKUP(TableHandbook[[#This Row],[UDC]],TableOCEDUC[],7,FALSE),"")</f>
        <v/>
      </c>
      <c r="W76" s="240" t="str">
        <f>IFERROR(VLOOKUP(TableHandbook[[#This Row],[UDC]],TableOGEDUC[],7,FALSE),"")</f>
        <v/>
      </c>
      <c r="X76" s="240" t="str">
        <f>IFERROR(VLOOKUP(TableHandbook[[#This Row],[UDC]],TableOUMPEDUPR[],7,FALSE),"")</f>
        <v/>
      </c>
      <c r="Y76" s="240" t="str">
        <f>IFERROR(VLOOKUP(TableHandbook[[#This Row],[UDC]],TableOUMPEDUSC[],7,FALSE),"")</f>
        <v/>
      </c>
      <c r="Z76" s="242" t="str">
        <f>IFERROR(VLOOKUP(TableHandbook[[#This Row],[UDC]],TableOMEDUC[],7,FALSE),"")</f>
        <v/>
      </c>
      <c r="AA76" s="240" t="str">
        <f>IFERROR(VLOOKUP(TableHandbook[[#This Row],[UDC]],TableOSEPCULIN[],7,FALSE),"")</f>
        <v/>
      </c>
      <c r="AB76" s="240" t="str">
        <f>IFERROR(VLOOKUP(TableHandbook[[#This Row],[UDC]],TableOSEPLNTCH[],7,FALSE),"")</f>
        <v/>
      </c>
      <c r="AC76" s="240" t="str">
        <f>IFERROR(VLOOKUP(TableHandbook[[#This Row],[UDC]],TableOSEPSTEME[],7,FALSE),"")</f>
        <v/>
      </c>
    </row>
    <row r="77" spans="1:29" x14ac:dyDescent="0.25">
      <c r="A77" s="2" t="s">
        <v>313</v>
      </c>
      <c r="B77" s="3"/>
      <c r="C77" s="3"/>
      <c r="D77" s="2" t="s">
        <v>500</v>
      </c>
      <c r="E77" s="3"/>
      <c r="F77" s="237"/>
      <c r="G77" s="239" t="str">
        <f>IFERROR(IF(VLOOKUP(TableHandbook[[#This Row],[UDC]],TableAvailabilities[],2,FALSE)&gt;0,"Y",""),"")</f>
        <v/>
      </c>
      <c r="H77" s="239" t="str">
        <f>IFERROR(IF(VLOOKUP(TableHandbook[[#This Row],[UDC]],TableAvailabilities[],3,FALSE)&gt;0,"Y",""),"")</f>
        <v/>
      </c>
      <c r="I77" s="239" t="str">
        <f>IFERROR(IF(VLOOKUP(TableHandbook[[#This Row],[UDC]],TableAvailabilities[],4,FALSE)&gt;0,"Y",""),"")</f>
        <v/>
      </c>
      <c r="J77" s="239" t="str">
        <f>IFERROR(IF(VLOOKUP(TableHandbook[[#This Row],[UDC]],TableAvailabilities[],5,FALSE)&gt;0,"Y",""),"")</f>
        <v/>
      </c>
      <c r="K77" s="2"/>
      <c r="L77" s="242" t="str">
        <f>IFERROR(VLOOKUP(TableHandbook[[#This Row],[UDC]],TableOMTEACH1[],7,FALSE),"")</f>
        <v/>
      </c>
      <c r="M77" s="240" t="str">
        <f>IFERROR(VLOOKUP(TableHandbook[[#This Row],[UDC]],TableOUMPTCHEC[],7,FALSE),"")</f>
        <v/>
      </c>
      <c r="N77" s="240" t="str">
        <f>IFERROR(VLOOKUP(TableHandbook[[#This Row],[UDC]],TableOUMPTCHPE[],7,FALSE),"")</f>
        <v/>
      </c>
      <c r="O77" s="240" t="str">
        <f>IFERROR(VLOOKUP(TableHandbook[[#This Row],[UDC]],TableOUMPTCHSE[],7,FALSE),"")</f>
        <v/>
      </c>
      <c r="P77" s="242" t="str">
        <f>IFERROR(VLOOKUP(TableHandbook[[#This Row],[UDC]],TableOCTESOL1[],7,FALSE),"")</f>
        <v/>
      </c>
      <c r="Q77" s="240" t="str">
        <f>IFERROR(VLOOKUP(TableHandbook[[#This Row],[UDC]],TableOCTESOL[],7,FALSE),"")</f>
        <v/>
      </c>
      <c r="R77" s="240" t="str">
        <f>IFERROR(VLOOKUP(TableHandbook[[#This Row],[UDC]],TableOMAPLING[],7,FALSE),"")</f>
        <v/>
      </c>
      <c r="S77" s="242" t="str">
        <f>IFERROR(VLOOKUP(TableHandbook[[#This Row],[UDC]],TableOCEDHE1[],7,FALSE),"")</f>
        <v/>
      </c>
      <c r="T77" s="240" t="str">
        <f>IFERROR(VLOOKUP(TableHandbook[[#This Row],[UDC]],TableOCEDHE[],7,FALSE),"")</f>
        <v/>
      </c>
      <c r="U77" s="240" t="str">
        <f>IFERROR(VLOOKUP(TableHandbook[[#This Row],[UDC]],TableOCEDUCS1[],7,FALSE),"")</f>
        <v/>
      </c>
      <c r="V77" s="240" t="str">
        <f>IFERROR(VLOOKUP(TableHandbook[[#This Row],[UDC]],TableOCEDUC[],7,FALSE),"")</f>
        <v/>
      </c>
      <c r="W77" s="240" t="str">
        <f>IFERROR(VLOOKUP(TableHandbook[[#This Row],[UDC]],TableOGEDUC[],7,FALSE),"")</f>
        <v/>
      </c>
      <c r="X77" s="240" t="str">
        <f>IFERROR(VLOOKUP(TableHandbook[[#This Row],[UDC]],TableOUMPEDUPR[],7,FALSE),"")</f>
        <v/>
      </c>
      <c r="Y77" s="240" t="str">
        <f>IFERROR(VLOOKUP(TableHandbook[[#This Row],[UDC]],TableOUMPEDUSC[],7,FALSE),"")</f>
        <v/>
      </c>
      <c r="Z77" s="242" t="str">
        <f>IFERROR(VLOOKUP(TableHandbook[[#This Row],[UDC]],TableOMEDUC[],7,FALSE),"")</f>
        <v/>
      </c>
      <c r="AA77" s="240" t="str">
        <f>IFERROR(VLOOKUP(TableHandbook[[#This Row],[UDC]],TableOSEPCULIN[],7,FALSE),"")</f>
        <v/>
      </c>
      <c r="AB77" s="240" t="str">
        <f>IFERROR(VLOOKUP(TableHandbook[[#This Row],[UDC]],TableOSEPLNTCH[],7,FALSE),"")</f>
        <v/>
      </c>
      <c r="AC77" s="240" t="str">
        <f>IFERROR(VLOOKUP(TableHandbook[[#This Row],[UDC]],TableOSEPSTEME[],7,FALSE),"")</f>
        <v/>
      </c>
    </row>
    <row r="78" spans="1:29" x14ac:dyDescent="0.25">
      <c r="A78" s="2" t="s">
        <v>286</v>
      </c>
      <c r="B78" s="3"/>
      <c r="C78" s="3"/>
      <c r="D78" s="2" t="s">
        <v>501</v>
      </c>
      <c r="E78" s="3">
        <v>25</v>
      </c>
      <c r="F78" s="237" t="s">
        <v>354</v>
      </c>
      <c r="G78" s="239" t="str">
        <f>IFERROR(IF(VLOOKUP(TableHandbook[[#This Row],[UDC]],TableAvailabilities[],2,FALSE)&gt;0,"Y",""),"")</f>
        <v/>
      </c>
      <c r="H78" s="239" t="str">
        <f>IFERROR(IF(VLOOKUP(TableHandbook[[#This Row],[UDC]],TableAvailabilities[],3,FALSE)&gt;0,"Y",""),"")</f>
        <v/>
      </c>
      <c r="I78" s="239" t="str">
        <f>IFERROR(IF(VLOOKUP(TableHandbook[[#This Row],[UDC]],TableAvailabilities[],4,FALSE)&gt;0,"Y",""),"")</f>
        <v/>
      </c>
      <c r="J78" s="239" t="str">
        <f>IFERROR(IF(VLOOKUP(TableHandbook[[#This Row],[UDC]],TableAvailabilities[],5,FALSE)&gt;0,"Y",""),"")</f>
        <v/>
      </c>
      <c r="K78" s="2"/>
      <c r="L78" s="242" t="str">
        <f>IFERROR(VLOOKUP(TableHandbook[[#This Row],[UDC]],TableOMTEACH1[],7,FALSE),"")</f>
        <v/>
      </c>
      <c r="M78" s="240" t="str">
        <f>IFERROR(VLOOKUP(TableHandbook[[#This Row],[UDC]],TableOUMPTCHEC[],7,FALSE),"")</f>
        <v/>
      </c>
      <c r="N78" s="240" t="str">
        <f>IFERROR(VLOOKUP(TableHandbook[[#This Row],[UDC]],TableOUMPTCHPE[],7,FALSE),"")</f>
        <v/>
      </c>
      <c r="O78" s="240" t="str">
        <f>IFERROR(VLOOKUP(TableHandbook[[#This Row],[UDC]],TableOUMPTCHSE[],7,FALSE),"")</f>
        <v/>
      </c>
      <c r="P78" s="242" t="str">
        <f>IFERROR(VLOOKUP(TableHandbook[[#This Row],[UDC]],TableOCTESOL1[],7,FALSE),"")</f>
        <v/>
      </c>
      <c r="Q78" s="240" t="str">
        <f>IFERROR(VLOOKUP(TableHandbook[[#This Row],[UDC]],TableOCTESOL[],7,FALSE),"")</f>
        <v/>
      </c>
      <c r="R78" s="240" t="str">
        <f>IFERROR(VLOOKUP(TableHandbook[[#This Row],[UDC]],TableOMAPLING[],7,FALSE),"")</f>
        <v/>
      </c>
      <c r="S78" s="242" t="str">
        <f>IFERROR(VLOOKUP(TableHandbook[[#This Row],[UDC]],TableOCEDHE1[],7,FALSE),"")</f>
        <v/>
      </c>
      <c r="T78" s="240" t="str">
        <f>IFERROR(VLOOKUP(TableHandbook[[#This Row],[UDC]],TableOCEDHE[],7,FALSE),"")</f>
        <v/>
      </c>
      <c r="U78" s="240" t="str">
        <f>IFERROR(VLOOKUP(TableHandbook[[#This Row],[UDC]],TableOCEDUCS1[],7,FALSE),"")</f>
        <v/>
      </c>
      <c r="V78" s="240" t="str">
        <f>IFERROR(VLOOKUP(TableHandbook[[#This Row],[UDC]],TableOCEDUC[],7,FALSE),"")</f>
        <v/>
      </c>
      <c r="W78" s="240" t="str">
        <f>IFERROR(VLOOKUP(TableHandbook[[#This Row],[UDC]],TableOGEDUC[],7,FALSE),"")</f>
        <v/>
      </c>
      <c r="X78" s="240" t="str">
        <f>IFERROR(VLOOKUP(TableHandbook[[#This Row],[UDC]],TableOUMPEDUPR[],7,FALSE),"")</f>
        <v/>
      </c>
      <c r="Y78" s="240" t="str">
        <f>IFERROR(VLOOKUP(TableHandbook[[#This Row],[UDC]],TableOUMPEDUSC[],7,FALSE),"")</f>
        <v/>
      </c>
      <c r="Z78" s="242" t="str">
        <f>IFERROR(VLOOKUP(TableHandbook[[#This Row],[UDC]],TableOMEDUC[],7,FALSE),"")</f>
        <v/>
      </c>
      <c r="AA78" s="240" t="str">
        <f>IFERROR(VLOOKUP(TableHandbook[[#This Row],[UDC]],TableOSEPCULIN[],7,FALSE),"")</f>
        <v/>
      </c>
      <c r="AB78" s="240" t="str">
        <f>IFERROR(VLOOKUP(TableHandbook[[#This Row],[UDC]],TableOSEPLNTCH[],7,FALSE),"")</f>
        <v/>
      </c>
      <c r="AC78" s="240" t="str">
        <f>IFERROR(VLOOKUP(TableHandbook[[#This Row],[UDC]],TableOSEPSTEME[],7,FALSE),"")</f>
        <v/>
      </c>
    </row>
    <row r="79" spans="1:29" x14ac:dyDescent="0.25">
      <c r="A79" s="2" t="s">
        <v>304</v>
      </c>
      <c r="B79" s="3"/>
      <c r="C79" s="3"/>
      <c r="D79" s="2" t="s">
        <v>502</v>
      </c>
      <c r="E79" s="3">
        <v>25</v>
      </c>
      <c r="F79" s="237" t="s">
        <v>354</v>
      </c>
      <c r="G79" s="239" t="str">
        <f>IFERROR(IF(VLOOKUP(TableHandbook[[#This Row],[UDC]],TableAvailabilities[],2,FALSE)&gt;0,"Y",""),"")</f>
        <v/>
      </c>
      <c r="H79" s="239" t="str">
        <f>IFERROR(IF(VLOOKUP(TableHandbook[[#This Row],[UDC]],TableAvailabilities[],3,FALSE)&gt;0,"Y",""),"")</f>
        <v/>
      </c>
      <c r="I79" s="239" t="str">
        <f>IFERROR(IF(VLOOKUP(TableHandbook[[#This Row],[UDC]],TableAvailabilities[],4,FALSE)&gt;0,"Y",""),"")</f>
        <v/>
      </c>
      <c r="J79" s="239" t="str">
        <f>IFERROR(IF(VLOOKUP(TableHandbook[[#This Row],[UDC]],TableAvailabilities[],5,FALSE)&gt;0,"Y",""),"")</f>
        <v/>
      </c>
      <c r="K79" s="2"/>
      <c r="L79" s="242" t="str">
        <f>IFERROR(VLOOKUP(TableHandbook[[#This Row],[UDC]],TableOMTEACH1[],7,FALSE),"")</f>
        <v/>
      </c>
      <c r="M79" s="240" t="str">
        <f>IFERROR(VLOOKUP(TableHandbook[[#This Row],[UDC]],TableOUMPTCHEC[],7,FALSE),"")</f>
        <v/>
      </c>
      <c r="N79" s="240" t="str">
        <f>IFERROR(VLOOKUP(TableHandbook[[#This Row],[UDC]],TableOUMPTCHPE[],7,FALSE),"")</f>
        <v/>
      </c>
      <c r="O79" s="240" t="str">
        <f>IFERROR(VLOOKUP(TableHandbook[[#This Row],[UDC]],TableOUMPTCHSE[],7,FALSE),"")</f>
        <v/>
      </c>
      <c r="P79" s="242" t="str">
        <f>IFERROR(VLOOKUP(TableHandbook[[#This Row],[UDC]],TableOCTESOL1[],7,FALSE),"")</f>
        <v/>
      </c>
      <c r="Q79" s="240" t="str">
        <f>IFERROR(VLOOKUP(TableHandbook[[#This Row],[UDC]],TableOCTESOL[],7,FALSE),"")</f>
        <v/>
      </c>
      <c r="R79" s="240" t="str">
        <f>IFERROR(VLOOKUP(TableHandbook[[#This Row],[UDC]],TableOMAPLING[],7,FALSE),"")</f>
        <v/>
      </c>
      <c r="S79" s="242" t="str">
        <f>IFERROR(VLOOKUP(TableHandbook[[#This Row],[UDC]],TableOCEDHE1[],7,FALSE),"")</f>
        <v/>
      </c>
      <c r="T79" s="240" t="str">
        <f>IFERROR(VLOOKUP(TableHandbook[[#This Row],[UDC]],TableOCEDHE[],7,FALSE),"")</f>
        <v/>
      </c>
      <c r="U79" s="240" t="str">
        <f>IFERROR(VLOOKUP(TableHandbook[[#This Row],[UDC]],TableOCEDUCS1[],7,FALSE),"")</f>
        <v/>
      </c>
      <c r="V79" s="240" t="str">
        <f>IFERROR(VLOOKUP(TableHandbook[[#This Row],[UDC]],TableOCEDUC[],7,FALSE),"")</f>
        <v/>
      </c>
      <c r="W79" s="240" t="str">
        <f>IFERROR(VLOOKUP(TableHandbook[[#This Row],[UDC]],TableOGEDUC[],7,FALSE),"")</f>
        <v/>
      </c>
      <c r="X79" s="240" t="str">
        <f>IFERROR(VLOOKUP(TableHandbook[[#This Row],[UDC]],TableOUMPEDUPR[],7,FALSE),"")</f>
        <v/>
      </c>
      <c r="Y79" s="240" t="str">
        <f>IFERROR(VLOOKUP(TableHandbook[[#This Row],[UDC]],TableOUMPEDUSC[],7,FALSE),"")</f>
        <v/>
      </c>
      <c r="Z79" s="242" t="str">
        <f>IFERROR(VLOOKUP(TableHandbook[[#This Row],[UDC]],TableOMEDUC[],7,FALSE),"")</f>
        <v/>
      </c>
      <c r="AA79" s="240" t="str">
        <f>IFERROR(VLOOKUP(TableHandbook[[#This Row],[UDC]],TableOSEPCULIN[],7,FALSE),"")</f>
        <v/>
      </c>
      <c r="AB79" s="240" t="str">
        <f>IFERROR(VLOOKUP(TableHandbook[[#This Row],[UDC]],TableOSEPLNTCH[],7,FALSE),"")</f>
        <v/>
      </c>
      <c r="AC79" s="240" t="str">
        <f>IFERROR(VLOOKUP(TableHandbook[[#This Row],[UDC]],TableOSEPSTEME[],7,FALSE),"")</f>
        <v/>
      </c>
    </row>
    <row r="80" spans="1:29" x14ac:dyDescent="0.25">
      <c r="A80" s="2" t="s">
        <v>344</v>
      </c>
      <c r="B80" s="3"/>
      <c r="C80" s="3"/>
      <c r="D80" s="2" t="s">
        <v>503</v>
      </c>
      <c r="E80" s="3">
        <v>25</v>
      </c>
      <c r="F80" s="237" t="s">
        <v>354</v>
      </c>
      <c r="G80" s="239" t="str">
        <f>IFERROR(IF(VLOOKUP(TableHandbook[[#This Row],[UDC]],TableAvailabilities[],2,FALSE)&gt;0,"Y",""),"")</f>
        <v/>
      </c>
      <c r="H80" s="239" t="str">
        <f>IFERROR(IF(VLOOKUP(TableHandbook[[#This Row],[UDC]],TableAvailabilities[],3,FALSE)&gt;0,"Y",""),"")</f>
        <v/>
      </c>
      <c r="I80" s="239" t="str">
        <f>IFERROR(IF(VLOOKUP(TableHandbook[[#This Row],[UDC]],TableAvailabilities[],4,FALSE)&gt;0,"Y",""),"")</f>
        <v/>
      </c>
      <c r="J80" s="239" t="str">
        <f>IFERROR(IF(VLOOKUP(TableHandbook[[#This Row],[UDC]],TableAvailabilities[],5,FALSE)&gt;0,"Y",""),"")</f>
        <v/>
      </c>
      <c r="K80" s="2"/>
      <c r="L80" s="242" t="str">
        <f>IFERROR(VLOOKUP(TableHandbook[[#This Row],[UDC]],TableOMTEACH1[],7,FALSE),"")</f>
        <v/>
      </c>
      <c r="M80" s="240" t="str">
        <f>IFERROR(VLOOKUP(TableHandbook[[#This Row],[UDC]],TableOUMPTCHEC[],7,FALSE),"")</f>
        <v/>
      </c>
      <c r="N80" s="240" t="str">
        <f>IFERROR(VLOOKUP(TableHandbook[[#This Row],[UDC]],TableOUMPTCHPE[],7,FALSE),"")</f>
        <v/>
      </c>
      <c r="O80" s="240" t="str">
        <f>IFERROR(VLOOKUP(TableHandbook[[#This Row],[UDC]],TableOUMPTCHSE[],7,FALSE),"")</f>
        <v/>
      </c>
      <c r="P80" s="242" t="str">
        <f>IFERROR(VLOOKUP(TableHandbook[[#This Row],[UDC]],TableOCTESOL1[],7,FALSE),"")</f>
        <v/>
      </c>
      <c r="Q80" s="240" t="str">
        <f>IFERROR(VLOOKUP(TableHandbook[[#This Row],[UDC]],TableOCTESOL[],7,FALSE),"")</f>
        <v/>
      </c>
      <c r="R80" s="240" t="str">
        <f>IFERROR(VLOOKUP(TableHandbook[[#This Row],[UDC]],TableOMAPLING[],7,FALSE),"")</f>
        <v/>
      </c>
      <c r="S80" s="242" t="str">
        <f>IFERROR(VLOOKUP(TableHandbook[[#This Row],[UDC]],TableOCEDHE1[],7,FALSE),"")</f>
        <v/>
      </c>
      <c r="T80" s="240" t="str">
        <f>IFERROR(VLOOKUP(TableHandbook[[#This Row],[UDC]],TableOCEDHE[],7,FALSE),"")</f>
        <v/>
      </c>
      <c r="U80" s="240" t="str">
        <f>IFERROR(VLOOKUP(TableHandbook[[#This Row],[UDC]],TableOCEDUCS1[],7,FALSE),"")</f>
        <v/>
      </c>
      <c r="V80" s="240" t="str">
        <f>IFERROR(VLOOKUP(TableHandbook[[#This Row],[UDC]],TableOCEDUC[],7,FALSE),"")</f>
        <v/>
      </c>
      <c r="W80" s="240" t="str">
        <f>IFERROR(VLOOKUP(TableHandbook[[#This Row],[UDC]],TableOGEDUC[],7,FALSE),"")</f>
        <v/>
      </c>
      <c r="X80" s="240" t="str">
        <f>IFERROR(VLOOKUP(TableHandbook[[#This Row],[UDC]],TableOUMPEDUPR[],7,FALSE),"")</f>
        <v/>
      </c>
      <c r="Y80" s="240" t="str">
        <f>IFERROR(VLOOKUP(TableHandbook[[#This Row],[UDC]],TableOUMPEDUSC[],7,FALSE),"")</f>
        <v/>
      </c>
      <c r="Z80" s="242" t="str">
        <f>IFERROR(VLOOKUP(TableHandbook[[#This Row],[UDC]],TableOMEDUC[],7,FALSE),"")</f>
        <v/>
      </c>
      <c r="AA80" s="240" t="str">
        <f>IFERROR(VLOOKUP(TableHandbook[[#This Row],[UDC]],TableOSEPCULIN[],7,FALSE),"")</f>
        <v/>
      </c>
      <c r="AB80" s="240" t="str">
        <f>IFERROR(VLOOKUP(TableHandbook[[#This Row],[UDC]],TableOSEPLNTCH[],7,FALSE),"")</f>
        <v/>
      </c>
      <c r="AC80" s="240" t="str">
        <f>IFERROR(VLOOKUP(TableHandbook[[#This Row],[UDC]],TableOSEPSTEME[],7,FALSE),"")</f>
        <v/>
      </c>
    </row>
    <row r="81" spans="1:29" x14ac:dyDescent="0.25">
      <c r="A81" s="2" t="s">
        <v>345</v>
      </c>
      <c r="B81" s="3"/>
      <c r="C81" s="3"/>
      <c r="D81" s="2" t="s">
        <v>504</v>
      </c>
      <c r="E81" s="3">
        <v>25</v>
      </c>
      <c r="F81" s="237" t="s">
        <v>354</v>
      </c>
      <c r="G81" s="239" t="str">
        <f>IFERROR(IF(VLOOKUP(TableHandbook[[#This Row],[UDC]],TableAvailabilities[],2,FALSE)&gt;0,"Y",""),"")</f>
        <v/>
      </c>
      <c r="H81" s="239" t="str">
        <f>IFERROR(IF(VLOOKUP(TableHandbook[[#This Row],[UDC]],TableAvailabilities[],3,FALSE)&gt;0,"Y",""),"")</f>
        <v/>
      </c>
      <c r="I81" s="239" t="str">
        <f>IFERROR(IF(VLOOKUP(TableHandbook[[#This Row],[UDC]],TableAvailabilities[],4,FALSE)&gt;0,"Y",""),"")</f>
        <v/>
      </c>
      <c r="J81" s="239" t="str">
        <f>IFERROR(IF(VLOOKUP(TableHandbook[[#This Row],[UDC]],TableAvailabilities[],5,FALSE)&gt;0,"Y",""),"")</f>
        <v/>
      </c>
      <c r="K81" s="2"/>
      <c r="L81" s="242" t="str">
        <f>IFERROR(VLOOKUP(TableHandbook[[#This Row],[UDC]],TableOMTEACH1[],7,FALSE),"")</f>
        <v/>
      </c>
      <c r="M81" s="240" t="str">
        <f>IFERROR(VLOOKUP(TableHandbook[[#This Row],[UDC]],TableOUMPTCHEC[],7,FALSE),"")</f>
        <v/>
      </c>
      <c r="N81" s="240" t="str">
        <f>IFERROR(VLOOKUP(TableHandbook[[#This Row],[UDC]],TableOUMPTCHPE[],7,FALSE),"")</f>
        <v/>
      </c>
      <c r="O81" s="240" t="str">
        <f>IFERROR(VLOOKUP(TableHandbook[[#This Row],[UDC]],TableOUMPTCHSE[],7,FALSE),"")</f>
        <v/>
      </c>
      <c r="P81" s="242" t="str">
        <f>IFERROR(VLOOKUP(TableHandbook[[#This Row],[UDC]],TableOCTESOL1[],7,FALSE),"")</f>
        <v/>
      </c>
      <c r="Q81" s="240" t="str">
        <f>IFERROR(VLOOKUP(TableHandbook[[#This Row],[UDC]],TableOCTESOL[],7,FALSE),"")</f>
        <v/>
      </c>
      <c r="R81" s="240" t="str">
        <f>IFERROR(VLOOKUP(TableHandbook[[#This Row],[UDC]],TableOMAPLING[],7,FALSE),"")</f>
        <v/>
      </c>
      <c r="S81" s="242" t="str">
        <f>IFERROR(VLOOKUP(TableHandbook[[#This Row],[UDC]],TableOCEDHE1[],7,FALSE),"")</f>
        <v/>
      </c>
      <c r="T81" s="240" t="str">
        <f>IFERROR(VLOOKUP(TableHandbook[[#This Row],[UDC]],TableOCEDHE[],7,FALSE),"")</f>
        <v/>
      </c>
      <c r="U81" s="240" t="str">
        <f>IFERROR(VLOOKUP(TableHandbook[[#This Row],[UDC]],TableOCEDUCS1[],7,FALSE),"")</f>
        <v/>
      </c>
      <c r="V81" s="240" t="str">
        <f>IFERROR(VLOOKUP(TableHandbook[[#This Row],[UDC]],TableOCEDUC[],7,FALSE),"")</f>
        <v/>
      </c>
      <c r="W81" s="240" t="str">
        <f>IFERROR(VLOOKUP(TableHandbook[[#This Row],[UDC]],TableOGEDUC[],7,FALSE),"")</f>
        <v/>
      </c>
      <c r="X81" s="240" t="str">
        <f>IFERROR(VLOOKUP(TableHandbook[[#This Row],[UDC]],TableOUMPEDUPR[],7,FALSE),"")</f>
        <v/>
      </c>
      <c r="Y81" s="240" t="str">
        <f>IFERROR(VLOOKUP(TableHandbook[[#This Row],[UDC]],TableOUMPEDUSC[],7,FALSE),"")</f>
        <v/>
      </c>
      <c r="Z81" s="242" t="str">
        <f>IFERROR(VLOOKUP(TableHandbook[[#This Row],[UDC]],TableOMEDUC[],7,FALSE),"")</f>
        <v/>
      </c>
      <c r="AA81" s="240" t="str">
        <f>IFERROR(VLOOKUP(TableHandbook[[#This Row],[UDC]],TableOSEPCULIN[],7,FALSE),"")</f>
        <v/>
      </c>
      <c r="AB81" s="240" t="str">
        <f>IFERROR(VLOOKUP(TableHandbook[[#This Row],[UDC]],TableOSEPLNTCH[],7,FALSE),"")</f>
        <v/>
      </c>
      <c r="AC81" s="240" t="str">
        <f>IFERROR(VLOOKUP(TableHandbook[[#This Row],[UDC]],TableOSEPSTEME[],7,FALSE),"")</f>
        <v/>
      </c>
    </row>
    <row r="82" spans="1:29" x14ac:dyDescent="0.25">
      <c r="A82" s="2" t="s">
        <v>179</v>
      </c>
      <c r="B82" s="3">
        <v>1</v>
      </c>
      <c r="C82" s="3" t="s">
        <v>505</v>
      </c>
      <c r="D82" s="2" t="s">
        <v>506</v>
      </c>
      <c r="E82" s="3">
        <v>25</v>
      </c>
      <c r="F82" s="237" t="s">
        <v>357</v>
      </c>
      <c r="G82" s="239" t="str">
        <f>IFERROR(IF(VLOOKUP(TableHandbook[[#This Row],[UDC]],TableAvailabilities[],2,FALSE)&gt;0,"Y",""),"")</f>
        <v>Y</v>
      </c>
      <c r="H82" s="239" t="str">
        <f>IFERROR(IF(VLOOKUP(TableHandbook[[#This Row],[UDC]],TableAvailabilities[],3,FALSE)&gt;0,"Y",""),"")</f>
        <v/>
      </c>
      <c r="I82" s="239" t="str">
        <f>IFERROR(IF(VLOOKUP(TableHandbook[[#This Row],[UDC]],TableAvailabilities[],4,FALSE)&gt;0,"Y",""),"")</f>
        <v>Y</v>
      </c>
      <c r="J82" s="239" t="str">
        <f>IFERROR(IF(VLOOKUP(TableHandbook[[#This Row],[UDC]],TableAvailabilities[],5,FALSE)&gt;0,"Y",""),"")</f>
        <v/>
      </c>
      <c r="K82" s="2"/>
      <c r="L82" s="242" t="str">
        <f>IFERROR(VLOOKUP(TableHandbook[[#This Row],[UDC]],TableOMTEACH1[],7,FALSE),"")</f>
        <v/>
      </c>
      <c r="M82" s="240" t="str">
        <f>IFERROR(VLOOKUP(TableHandbook[[#This Row],[UDC]],TableOUMPTCHEC[],7,FALSE),"")</f>
        <v/>
      </c>
      <c r="N82" s="240" t="str">
        <f>IFERROR(VLOOKUP(TableHandbook[[#This Row],[UDC]],TableOUMPTCHPE[],7,FALSE),"")</f>
        <v/>
      </c>
      <c r="O82" s="240" t="str">
        <f>IFERROR(VLOOKUP(TableHandbook[[#This Row],[UDC]],TableOUMPTCHSE[],7,FALSE),"")</f>
        <v/>
      </c>
      <c r="P82" s="242" t="str">
        <f>IFERROR(VLOOKUP(TableHandbook[[#This Row],[UDC]],TableOCTESOL1[],7,FALSE),"")</f>
        <v/>
      </c>
      <c r="Q82" s="240" t="str">
        <f>IFERROR(VLOOKUP(TableHandbook[[#This Row],[UDC]],TableOCTESOL[],7,FALSE),"")</f>
        <v/>
      </c>
      <c r="R82" s="240" t="str">
        <f>IFERROR(VLOOKUP(TableHandbook[[#This Row],[UDC]],TableOMAPLING[],7,FALSE),"")</f>
        <v>Core</v>
      </c>
      <c r="S82" s="242" t="str">
        <f>IFERROR(VLOOKUP(TableHandbook[[#This Row],[UDC]],TableOCEDHE1[],7,FALSE),"")</f>
        <v/>
      </c>
      <c r="T82" s="240" t="str">
        <f>IFERROR(VLOOKUP(TableHandbook[[#This Row],[UDC]],TableOCEDHE[],7,FALSE),"")</f>
        <v/>
      </c>
      <c r="U82" s="240" t="str">
        <f>IFERROR(VLOOKUP(TableHandbook[[#This Row],[UDC]],TableOCEDUCS1[],7,FALSE),"")</f>
        <v/>
      </c>
      <c r="V82" s="240" t="str">
        <f>IFERROR(VLOOKUP(TableHandbook[[#This Row],[UDC]],TableOCEDUC[],7,FALSE),"")</f>
        <v/>
      </c>
      <c r="W82" s="240" t="str">
        <f>IFERROR(VLOOKUP(TableHandbook[[#This Row],[UDC]],TableOGEDUC[],7,FALSE),"")</f>
        <v/>
      </c>
      <c r="X82" s="240" t="str">
        <f>IFERROR(VLOOKUP(TableHandbook[[#This Row],[UDC]],TableOUMPEDUPR[],7,FALSE),"")</f>
        <v/>
      </c>
      <c r="Y82" s="240" t="str">
        <f>IFERROR(VLOOKUP(TableHandbook[[#This Row],[UDC]],TableOUMPEDUSC[],7,FALSE),"")</f>
        <v/>
      </c>
      <c r="Z82" s="242" t="str">
        <f>IFERROR(VLOOKUP(TableHandbook[[#This Row],[UDC]],TableOMEDUC[],7,FALSE),"")</f>
        <v>Option</v>
      </c>
      <c r="AA82" s="240" t="str">
        <f>IFERROR(VLOOKUP(TableHandbook[[#This Row],[UDC]],TableOSEPCULIN[],7,FALSE),"")</f>
        <v>Core</v>
      </c>
      <c r="AB82" s="240" t="str">
        <f>IFERROR(VLOOKUP(TableHandbook[[#This Row],[UDC]],TableOSEPLNTCH[],7,FALSE),"")</f>
        <v/>
      </c>
      <c r="AC82" s="240" t="str">
        <f>IFERROR(VLOOKUP(TableHandbook[[#This Row],[UDC]],TableOSEPSTEME[],7,FALSE),"")</f>
        <v/>
      </c>
    </row>
    <row r="83" spans="1:29" x14ac:dyDescent="0.25">
      <c r="A83" s="2" t="s">
        <v>230</v>
      </c>
      <c r="B83" s="3">
        <v>1</v>
      </c>
      <c r="C83" s="3" t="s">
        <v>507</v>
      </c>
      <c r="D83" s="2" t="s">
        <v>508</v>
      </c>
      <c r="E83" s="3">
        <v>25</v>
      </c>
      <c r="F83" s="237" t="s">
        <v>357</v>
      </c>
      <c r="G83" s="239" t="str">
        <f>IFERROR(IF(VLOOKUP(TableHandbook[[#This Row],[UDC]],TableAvailabilities[],2,FALSE)&gt;0,"Y",""),"")</f>
        <v>Y</v>
      </c>
      <c r="H83" s="239" t="str">
        <f>IFERROR(IF(VLOOKUP(TableHandbook[[#This Row],[UDC]],TableAvailabilities[],3,FALSE)&gt;0,"Y",""),"")</f>
        <v/>
      </c>
      <c r="I83" s="239" t="str">
        <f>IFERROR(IF(VLOOKUP(TableHandbook[[#This Row],[UDC]],TableAvailabilities[],4,FALSE)&gt;0,"Y",""),"")</f>
        <v/>
      </c>
      <c r="J83" s="239" t="str">
        <f>IFERROR(IF(VLOOKUP(TableHandbook[[#This Row],[UDC]],TableAvailabilities[],5,FALSE)&gt;0,"Y",""),"")</f>
        <v/>
      </c>
      <c r="K83" s="2"/>
      <c r="L83" s="242" t="str">
        <f>IFERROR(VLOOKUP(TableHandbook[[#This Row],[UDC]],TableOMTEACH1[],7,FALSE),"")</f>
        <v/>
      </c>
      <c r="M83" s="240" t="str">
        <f>IFERROR(VLOOKUP(TableHandbook[[#This Row],[UDC]],TableOUMPTCHEC[],7,FALSE),"")</f>
        <v/>
      </c>
      <c r="N83" s="240" t="str">
        <f>IFERROR(VLOOKUP(TableHandbook[[#This Row],[UDC]],TableOUMPTCHPE[],7,FALSE),"")</f>
        <v/>
      </c>
      <c r="O83" s="240" t="str">
        <f>IFERROR(VLOOKUP(TableHandbook[[#This Row],[UDC]],TableOUMPTCHSE[],7,FALSE),"")</f>
        <v/>
      </c>
      <c r="P83" s="242" t="str">
        <f>IFERROR(VLOOKUP(TableHandbook[[#This Row],[UDC]],TableOCTESOL1[],7,FALSE),"")</f>
        <v/>
      </c>
      <c r="Q83" s="240" t="str">
        <f>IFERROR(VLOOKUP(TableHandbook[[#This Row],[UDC]],TableOCTESOL[],7,FALSE),"")</f>
        <v/>
      </c>
      <c r="R83" s="240" t="str">
        <f>IFERROR(VLOOKUP(TableHandbook[[#This Row],[UDC]],TableOMAPLING[],7,FALSE),"")</f>
        <v>Core</v>
      </c>
      <c r="S83" s="242" t="str">
        <f>IFERROR(VLOOKUP(TableHandbook[[#This Row],[UDC]],TableOCEDHE1[],7,FALSE),"")</f>
        <v/>
      </c>
      <c r="T83" s="240" t="str">
        <f>IFERROR(VLOOKUP(TableHandbook[[#This Row],[UDC]],TableOCEDHE[],7,FALSE),"")</f>
        <v/>
      </c>
      <c r="U83" s="240" t="str">
        <f>IFERROR(VLOOKUP(TableHandbook[[#This Row],[UDC]],TableOCEDUCS1[],7,FALSE),"")</f>
        <v/>
      </c>
      <c r="V83" s="240" t="str">
        <f>IFERROR(VLOOKUP(TableHandbook[[#This Row],[UDC]],TableOCEDUC[],7,FALSE),"")</f>
        <v/>
      </c>
      <c r="W83" s="240" t="str">
        <f>IFERROR(VLOOKUP(TableHandbook[[#This Row],[UDC]],TableOGEDUC[],7,FALSE),"")</f>
        <v/>
      </c>
      <c r="X83" s="240" t="str">
        <f>IFERROR(VLOOKUP(TableHandbook[[#This Row],[UDC]],TableOUMPEDUPR[],7,FALSE),"")</f>
        <v/>
      </c>
      <c r="Y83" s="240" t="str">
        <f>IFERROR(VLOOKUP(TableHandbook[[#This Row],[UDC]],TableOUMPEDUSC[],7,FALSE),"")</f>
        <v/>
      </c>
      <c r="Z83" s="242" t="str">
        <f>IFERROR(VLOOKUP(TableHandbook[[#This Row],[UDC]],TableOMEDUC[],7,FALSE),"")</f>
        <v/>
      </c>
      <c r="AA83" s="240" t="str">
        <f>IFERROR(VLOOKUP(TableHandbook[[#This Row],[UDC]],TableOSEPCULIN[],7,FALSE),"")</f>
        <v/>
      </c>
      <c r="AB83" s="240" t="str">
        <f>IFERROR(VLOOKUP(TableHandbook[[#This Row],[UDC]],TableOSEPLNTCH[],7,FALSE),"")</f>
        <v/>
      </c>
      <c r="AC83" s="240" t="str">
        <f>IFERROR(VLOOKUP(TableHandbook[[#This Row],[UDC]],TableOSEPSTEME[],7,FALSE),"")</f>
        <v/>
      </c>
    </row>
    <row r="84" spans="1:29" x14ac:dyDescent="0.25">
      <c r="A84" s="2" t="s">
        <v>509</v>
      </c>
      <c r="B84" s="3"/>
      <c r="C84" s="3"/>
      <c r="D84" s="2" t="s">
        <v>510</v>
      </c>
      <c r="E84" s="3" t="s">
        <v>511</v>
      </c>
      <c r="F84" s="237"/>
      <c r="G84" s="239" t="str">
        <f>IFERROR(IF(VLOOKUP(TableHandbook[[#This Row],[UDC]],TableAvailabilities[],2,FALSE)&gt;0,"Y",""),"")</f>
        <v/>
      </c>
      <c r="H84" s="239" t="str">
        <f>IFERROR(IF(VLOOKUP(TableHandbook[[#This Row],[UDC]],TableAvailabilities[],3,FALSE)&gt;0,"Y",""),"")</f>
        <v/>
      </c>
      <c r="I84" s="239" t="str">
        <f>IFERROR(IF(VLOOKUP(TableHandbook[[#This Row],[UDC]],TableAvailabilities[],4,FALSE)&gt;0,"Y",""),"")</f>
        <v/>
      </c>
      <c r="J84" s="239" t="str">
        <f>IFERROR(IF(VLOOKUP(TableHandbook[[#This Row],[UDC]],TableAvailabilities[],5,FALSE)&gt;0,"Y",""),"")</f>
        <v/>
      </c>
      <c r="K84" s="2"/>
      <c r="L84" s="242" t="str">
        <f>IFERROR(VLOOKUP(TableHandbook[[#This Row],[UDC]],TableOMTEACH1[],7,FALSE),"")</f>
        <v/>
      </c>
      <c r="M84" s="240" t="str">
        <f>IFERROR(VLOOKUP(TableHandbook[[#This Row],[UDC]],TableOUMPTCHEC[],7,FALSE),"")</f>
        <v/>
      </c>
      <c r="N84" s="240" t="str">
        <f>IFERROR(VLOOKUP(TableHandbook[[#This Row],[UDC]],TableOUMPTCHPE[],7,FALSE),"")</f>
        <v/>
      </c>
      <c r="O84" s="240" t="str">
        <f>IFERROR(VLOOKUP(TableHandbook[[#This Row],[UDC]],TableOUMPTCHSE[],7,FALSE),"")</f>
        <v/>
      </c>
      <c r="P84" s="242" t="str">
        <f>IFERROR(VLOOKUP(TableHandbook[[#This Row],[UDC]],TableOCTESOL1[],7,FALSE),"")</f>
        <v/>
      </c>
      <c r="Q84" s="240" t="str">
        <f>IFERROR(VLOOKUP(TableHandbook[[#This Row],[UDC]],TableOCTESOL[],7,FALSE),"")</f>
        <v/>
      </c>
      <c r="R84" s="240" t="str">
        <f>IFERROR(VLOOKUP(TableHandbook[[#This Row],[UDC]],TableOMAPLING[],7,FALSE),"")</f>
        <v/>
      </c>
      <c r="S84" s="242" t="str">
        <f>IFERROR(VLOOKUP(TableHandbook[[#This Row],[UDC]],TableOCEDHE1[],7,FALSE),"")</f>
        <v/>
      </c>
      <c r="T84" s="240" t="str">
        <f>IFERROR(VLOOKUP(TableHandbook[[#This Row],[UDC]],TableOCEDHE[],7,FALSE),"")</f>
        <v/>
      </c>
      <c r="U84" s="240" t="str">
        <f>IFERROR(VLOOKUP(TableHandbook[[#This Row],[UDC]],TableOCEDUCS1[],7,FALSE),"")</f>
        <v/>
      </c>
      <c r="V84" s="240" t="str">
        <f>IFERROR(VLOOKUP(TableHandbook[[#This Row],[UDC]],TableOCEDUC[],7,FALSE),"")</f>
        <v/>
      </c>
      <c r="W84" s="240" t="str">
        <f>IFERROR(VLOOKUP(TableHandbook[[#This Row],[UDC]],TableOGEDUC[],7,FALSE),"")</f>
        <v/>
      </c>
      <c r="X84" s="240" t="str">
        <f>IFERROR(VLOOKUP(TableHandbook[[#This Row],[UDC]],TableOUMPEDUPR[],7,FALSE),"")</f>
        <v/>
      </c>
      <c r="Y84" s="240" t="str">
        <f>IFERROR(VLOOKUP(TableHandbook[[#This Row],[UDC]],TableOUMPEDUSC[],7,FALSE),"")</f>
        <v/>
      </c>
      <c r="Z84" s="242" t="str">
        <f>IFERROR(VLOOKUP(TableHandbook[[#This Row],[UDC]],TableOMEDUC[],7,FALSE),"")</f>
        <v/>
      </c>
      <c r="AA84" s="240" t="str">
        <f>IFERROR(VLOOKUP(TableHandbook[[#This Row],[UDC]],TableOSEPCULIN[],7,FALSE),"")</f>
        <v/>
      </c>
      <c r="AB84" s="240" t="str">
        <f>IFERROR(VLOOKUP(TableHandbook[[#This Row],[UDC]],TableOSEPLNTCH[],7,FALSE),"")</f>
        <v/>
      </c>
      <c r="AC84" s="240" t="str">
        <f>IFERROR(VLOOKUP(TableHandbook[[#This Row],[UDC]],TableOSEPSTEME[],7,FALSE),"")</f>
        <v/>
      </c>
    </row>
    <row r="85" spans="1:29" x14ac:dyDescent="0.25">
      <c r="A85" s="2" t="s">
        <v>512</v>
      </c>
      <c r="B85" s="3">
        <v>0</v>
      </c>
      <c r="C85" s="3"/>
      <c r="D85" s="2" t="s">
        <v>513</v>
      </c>
      <c r="E85" s="3">
        <v>100</v>
      </c>
      <c r="F85" s="237"/>
      <c r="G85" s="239" t="str">
        <f>IFERROR(IF(VLOOKUP(TableHandbook[[#This Row],[UDC]],TableAvailabilities[],2,FALSE)&gt;0,"Y",""),"")</f>
        <v/>
      </c>
      <c r="H85" s="239" t="str">
        <f>IFERROR(IF(VLOOKUP(TableHandbook[[#This Row],[UDC]],TableAvailabilities[],3,FALSE)&gt;0,"Y",""),"")</f>
        <v/>
      </c>
      <c r="I85" s="239" t="str">
        <f>IFERROR(IF(VLOOKUP(TableHandbook[[#This Row],[UDC]],TableAvailabilities[],4,FALSE)&gt;0,"Y",""),"")</f>
        <v/>
      </c>
      <c r="J85" s="239" t="str">
        <f>IFERROR(IF(VLOOKUP(TableHandbook[[#This Row],[UDC]],TableAvailabilities[],5,FALSE)&gt;0,"Y",""),"")</f>
        <v/>
      </c>
      <c r="K85" s="3"/>
      <c r="L85" s="242" t="str">
        <f>IFERROR(VLOOKUP(TableHandbook[[#This Row],[UDC]],TableOMTEACH1[],7,FALSE),"")</f>
        <v/>
      </c>
      <c r="M85" s="240" t="str">
        <f>IFERROR(VLOOKUP(TableHandbook[[#This Row],[UDC]],TableOUMPTCHEC[],7,FALSE),"")</f>
        <v/>
      </c>
      <c r="N85" s="240" t="str">
        <f>IFERROR(VLOOKUP(TableHandbook[[#This Row],[UDC]],TableOUMPTCHPE[],7,FALSE),"")</f>
        <v/>
      </c>
      <c r="O85" s="240" t="str">
        <f>IFERROR(VLOOKUP(TableHandbook[[#This Row],[UDC]],TableOUMPTCHSE[],7,FALSE),"")</f>
        <v/>
      </c>
      <c r="P85" s="242" t="str">
        <f>IFERROR(VLOOKUP(TableHandbook[[#This Row],[UDC]],TableOCTESOL1[],7,FALSE),"")</f>
        <v/>
      </c>
      <c r="Q85" s="240" t="str">
        <f>IFERROR(VLOOKUP(TableHandbook[[#This Row],[UDC]],TableOCTESOL[],7,FALSE),"")</f>
        <v/>
      </c>
      <c r="R85" s="240" t="str">
        <f>IFERROR(VLOOKUP(TableHandbook[[#This Row],[UDC]],TableOMAPLING[],7,FALSE),"")</f>
        <v/>
      </c>
      <c r="S85" s="242" t="str">
        <f>IFERROR(VLOOKUP(TableHandbook[[#This Row],[UDC]],TableOCEDHE1[],7,FALSE),"")</f>
        <v/>
      </c>
      <c r="T85" s="240" t="str">
        <f>IFERROR(VLOOKUP(TableHandbook[[#This Row],[UDC]],TableOCEDHE[],7,FALSE),"")</f>
        <v/>
      </c>
      <c r="U85" s="240" t="str">
        <f>IFERROR(VLOOKUP(TableHandbook[[#This Row],[UDC]],TableOCEDUCS1[],7,FALSE),"")</f>
        <v/>
      </c>
      <c r="V85" s="240" t="str">
        <f>IFERROR(VLOOKUP(TableHandbook[[#This Row],[UDC]],TableOCEDUC[],7,FALSE),"")</f>
        <v/>
      </c>
      <c r="W85" s="240" t="str">
        <f>IFERROR(VLOOKUP(TableHandbook[[#This Row],[UDC]],TableOGEDUC[],7,FALSE),"")</f>
        <v/>
      </c>
      <c r="X85" s="240" t="str">
        <f>IFERROR(VLOOKUP(TableHandbook[[#This Row],[UDC]],TableOUMPEDUPR[],7,FALSE),"")</f>
        <v/>
      </c>
      <c r="Y85" s="240" t="str">
        <f>IFERROR(VLOOKUP(TableHandbook[[#This Row],[UDC]],TableOUMPEDUSC[],7,FALSE),"")</f>
        <v/>
      </c>
      <c r="Z85" s="242" t="str">
        <f>IFERROR(VLOOKUP(TableHandbook[[#This Row],[UDC]],TableOMEDUC[],7,FALSE),"")</f>
        <v>Option</v>
      </c>
      <c r="AA85" s="240" t="str">
        <f>IFERROR(VLOOKUP(TableHandbook[[#This Row],[UDC]],TableOSEPCULIN[],7,FALSE),"")</f>
        <v/>
      </c>
      <c r="AB85" s="240" t="str">
        <f>IFERROR(VLOOKUP(TableHandbook[[#This Row],[UDC]],TableOSEPLNTCH[],7,FALSE),"")</f>
        <v/>
      </c>
      <c r="AC85" s="240" t="str">
        <f>IFERROR(VLOOKUP(TableHandbook[[#This Row],[UDC]],TableOSEPSTEME[],7,FALSE),"")</f>
        <v/>
      </c>
    </row>
    <row r="86" spans="1:29" x14ac:dyDescent="0.25">
      <c r="A86" s="2" t="s">
        <v>514</v>
      </c>
      <c r="B86" s="3"/>
      <c r="C86" s="3"/>
      <c r="D86" s="2" t="s">
        <v>515</v>
      </c>
      <c r="E86" s="3">
        <v>100</v>
      </c>
      <c r="F86" s="237"/>
      <c r="G86" s="239" t="str">
        <f>IFERROR(IF(VLOOKUP(TableHandbook[[#This Row],[UDC]],TableAvailabilities[],2,FALSE)&gt;0,"Y",""),"")</f>
        <v/>
      </c>
      <c r="H86" s="239" t="str">
        <f>IFERROR(IF(VLOOKUP(TableHandbook[[#This Row],[UDC]],TableAvailabilities[],3,FALSE)&gt;0,"Y",""),"")</f>
        <v/>
      </c>
      <c r="I86" s="239" t="str">
        <f>IFERROR(IF(VLOOKUP(TableHandbook[[#This Row],[UDC]],TableAvailabilities[],4,FALSE)&gt;0,"Y",""),"")</f>
        <v/>
      </c>
      <c r="J86" s="239" t="str">
        <f>IFERROR(IF(VLOOKUP(TableHandbook[[#This Row],[UDC]],TableAvailabilities[],5,FALSE)&gt;0,"Y",""),"")</f>
        <v/>
      </c>
      <c r="K86" s="2"/>
      <c r="L86" s="242" t="str">
        <f>IFERROR(VLOOKUP(TableHandbook[[#This Row],[UDC]],TableOMTEACH1[],7,FALSE),"")</f>
        <v/>
      </c>
      <c r="M86" s="240" t="str">
        <f>IFERROR(VLOOKUP(TableHandbook[[#This Row],[UDC]],TableOUMPTCHEC[],7,FALSE),"")</f>
        <v/>
      </c>
      <c r="N86" s="240" t="str">
        <f>IFERROR(VLOOKUP(TableHandbook[[#This Row],[UDC]],TableOUMPTCHPE[],7,FALSE),"")</f>
        <v/>
      </c>
      <c r="O86" s="240" t="str">
        <f>IFERROR(VLOOKUP(TableHandbook[[#This Row],[UDC]],TableOUMPTCHSE[],7,FALSE),"")</f>
        <v/>
      </c>
      <c r="P86" s="242" t="str">
        <f>IFERROR(VLOOKUP(TableHandbook[[#This Row],[UDC]],TableOCTESOL1[],7,FALSE),"")</f>
        <v/>
      </c>
      <c r="Q86" s="240" t="str">
        <f>IFERROR(VLOOKUP(TableHandbook[[#This Row],[UDC]],TableOCTESOL[],7,FALSE),"")</f>
        <v/>
      </c>
      <c r="R86" s="240" t="str">
        <f>IFERROR(VLOOKUP(TableHandbook[[#This Row],[UDC]],TableOMAPLING[],7,FALSE),"")</f>
        <v/>
      </c>
      <c r="S86" s="242" t="str">
        <f>IFERROR(VLOOKUP(TableHandbook[[#This Row],[UDC]],TableOCEDHE1[],7,FALSE),"")</f>
        <v/>
      </c>
      <c r="T86" s="240" t="str">
        <f>IFERROR(VLOOKUP(TableHandbook[[#This Row],[UDC]],TableOCEDHE[],7,FALSE),"")</f>
        <v/>
      </c>
      <c r="U86" s="240" t="str">
        <f>IFERROR(VLOOKUP(TableHandbook[[#This Row],[UDC]],TableOCEDUCS1[],7,FALSE),"")</f>
        <v>Option</v>
      </c>
      <c r="V86" s="240" t="str">
        <f>IFERROR(VLOOKUP(TableHandbook[[#This Row],[UDC]],TableOCEDUC[],7,FALSE),"")</f>
        <v>Option</v>
      </c>
      <c r="W86" s="240" t="str">
        <f>IFERROR(VLOOKUP(TableHandbook[[#This Row],[UDC]],TableOGEDUC[],7,FALSE),"")</f>
        <v/>
      </c>
      <c r="X86" s="240" t="str">
        <f>IFERROR(VLOOKUP(TableHandbook[[#This Row],[UDC]],TableOUMPEDUPR[],7,FALSE),"")</f>
        <v/>
      </c>
      <c r="Y86" s="240" t="str">
        <f>IFERROR(VLOOKUP(TableHandbook[[#This Row],[UDC]],TableOUMPEDUSC[],7,FALSE),"")</f>
        <v/>
      </c>
      <c r="Z86" s="242" t="str">
        <f>IFERROR(VLOOKUP(TableHandbook[[#This Row],[UDC]],TableOMEDUC[],7,FALSE),"")</f>
        <v/>
      </c>
      <c r="AA86" s="240" t="str">
        <f>IFERROR(VLOOKUP(TableHandbook[[#This Row],[UDC]],TableOSEPCULIN[],7,FALSE),"")</f>
        <v/>
      </c>
      <c r="AB86" s="240" t="str">
        <f>IFERROR(VLOOKUP(TableHandbook[[#This Row],[UDC]],TableOSEPLNTCH[],7,FALSE),"")</f>
        <v/>
      </c>
      <c r="AC86" s="240" t="str">
        <f>IFERROR(VLOOKUP(TableHandbook[[#This Row],[UDC]],TableOSEPSTEME[],7,FALSE),"")</f>
        <v/>
      </c>
    </row>
    <row r="87" spans="1:29" x14ac:dyDescent="0.25">
      <c r="A87" s="2" t="s">
        <v>182</v>
      </c>
      <c r="B87" s="3">
        <v>1</v>
      </c>
      <c r="C87" s="3"/>
      <c r="D87" s="2" t="s">
        <v>181</v>
      </c>
      <c r="E87" s="3">
        <v>100</v>
      </c>
      <c r="F87" s="237"/>
      <c r="G87" s="239" t="str">
        <f>IFERROR(IF(VLOOKUP(TableHandbook[[#This Row],[UDC]],TableAvailabilities[],2,FALSE)&gt;0,"Y",""),"")</f>
        <v/>
      </c>
      <c r="H87" s="239" t="str">
        <f>IFERROR(IF(VLOOKUP(TableHandbook[[#This Row],[UDC]],TableAvailabilities[],3,FALSE)&gt;0,"Y",""),"")</f>
        <v/>
      </c>
      <c r="I87" s="239" t="str">
        <f>IFERROR(IF(VLOOKUP(TableHandbook[[#This Row],[UDC]],TableAvailabilities[],4,FALSE)&gt;0,"Y",""),"")</f>
        <v/>
      </c>
      <c r="J87" s="239" t="str">
        <f>IFERROR(IF(VLOOKUP(TableHandbook[[#This Row],[UDC]],TableAvailabilities[],5,FALSE)&gt;0,"Y",""),"")</f>
        <v/>
      </c>
      <c r="K87" s="2"/>
      <c r="L87" s="242" t="str">
        <f>IFERROR(VLOOKUP(TableHandbook[[#This Row],[UDC]],TableOMTEACH1[],7,FALSE),"")</f>
        <v/>
      </c>
      <c r="M87" s="240" t="str">
        <f>IFERROR(VLOOKUP(TableHandbook[[#This Row],[UDC]],TableOUMPTCHEC[],7,FALSE),"")</f>
        <v/>
      </c>
      <c r="N87" s="240" t="str">
        <f>IFERROR(VLOOKUP(TableHandbook[[#This Row],[UDC]],TableOUMPTCHPE[],7,FALSE),"")</f>
        <v/>
      </c>
      <c r="O87" s="240" t="str">
        <f>IFERROR(VLOOKUP(TableHandbook[[#This Row],[UDC]],TableOUMPTCHSE[],7,FALSE),"")</f>
        <v/>
      </c>
      <c r="P87" s="242" t="str">
        <f>IFERROR(VLOOKUP(TableHandbook[[#This Row],[UDC]],TableOCTESOL1[],7,FALSE),"")</f>
        <v/>
      </c>
      <c r="Q87" s="240" t="str">
        <f>IFERROR(VLOOKUP(TableHandbook[[#This Row],[UDC]],TableOCTESOL[],7,FALSE),"")</f>
        <v/>
      </c>
      <c r="R87" s="240" t="str">
        <f>IFERROR(VLOOKUP(TableHandbook[[#This Row],[UDC]],TableOMAPLING[],7,FALSE),"")</f>
        <v/>
      </c>
      <c r="S87" s="242" t="str">
        <f>IFERROR(VLOOKUP(TableHandbook[[#This Row],[UDC]],TableOCEDHE1[],7,FALSE),"")</f>
        <v/>
      </c>
      <c r="T87" s="240" t="str">
        <f>IFERROR(VLOOKUP(TableHandbook[[#This Row],[UDC]],TableOCEDHE[],7,FALSE),"")</f>
        <v/>
      </c>
      <c r="U87" s="240" t="str">
        <f>IFERROR(VLOOKUP(TableHandbook[[#This Row],[UDC]],TableOCEDUCS1[],7,FALSE),"")</f>
        <v/>
      </c>
      <c r="V87" s="240" t="str">
        <f>IFERROR(VLOOKUP(TableHandbook[[#This Row],[UDC]],TableOCEDUC[],7,FALSE),"")</f>
        <v/>
      </c>
      <c r="W87" s="240" t="str">
        <f>IFERROR(VLOOKUP(TableHandbook[[#This Row],[UDC]],TableOGEDUC[],7,FALSE),"")</f>
        <v/>
      </c>
      <c r="X87" s="240" t="str">
        <f>IFERROR(VLOOKUP(TableHandbook[[#This Row],[UDC]],TableOUMPEDUPR[],7,FALSE),"")</f>
        <v/>
      </c>
      <c r="Y87" s="240" t="str">
        <f>IFERROR(VLOOKUP(TableHandbook[[#This Row],[UDC]],TableOUMPEDUSC[],7,FALSE),"")</f>
        <v/>
      </c>
      <c r="Z87" s="242" t="str">
        <f>IFERROR(VLOOKUP(TableHandbook[[#This Row],[UDC]],TableOMEDUC[],7,FALSE),"")</f>
        <v>Option</v>
      </c>
      <c r="AA87" s="240" t="str">
        <f>IFERROR(VLOOKUP(TableHandbook[[#This Row],[UDC]],TableOSEPCULIN[],7,FALSE),"")</f>
        <v/>
      </c>
      <c r="AB87" s="240" t="str">
        <f>IFERROR(VLOOKUP(TableHandbook[[#This Row],[UDC]],TableOSEPLNTCH[],7,FALSE),"")</f>
        <v/>
      </c>
      <c r="AC87" s="240" t="str">
        <f>IFERROR(VLOOKUP(TableHandbook[[#This Row],[UDC]],TableOSEPSTEME[],7,FALSE),"")</f>
        <v/>
      </c>
    </row>
    <row r="88" spans="1:29" x14ac:dyDescent="0.25">
      <c r="A88" s="2" t="s">
        <v>185</v>
      </c>
      <c r="B88" s="3">
        <v>1</v>
      </c>
      <c r="C88" s="3"/>
      <c r="D88" s="2" t="s">
        <v>184</v>
      </c>
      <c r="E88" s="3">
        <v>100</v>
      </c>
      <c r="F88" s="237"/>
      <c r="G88" s="239" t="str">
        <f>IFERROR(IF(VLOOKUP(TableHandbook[[#This Row],[UDC]],TableAvailabilities[],2,FALSE)&gt;0,"Y",""),"")</f>
        <v/>
      </c>
      <c r="H88" s="239" t="str">
        <f>IFERROR(IF(VLOOKUP(TableHandbook[[#This Row],[UDC]],TableAvailabilities[],3,FALSE)&gt;0,"Y",""),"")</f>
        <v/>
      </c>
      <c r="I88" s="239" t="str">
        <f>IFERROR(IF(VLOOKUP(TableHandbook[[#This Row],[UDC]],TableAvailabilities[],4,FALSE)&gt;0,"Y",""),"")</f>
        <v/>
      </c>
      <c r="J88" s="239" t="str">
        <f>IFERROR(IF(VLOOKUP(TableHandbook[[#This Row],[UDC]],TableAvailabilities[],5,FALSE)&gt;0,"Y",""),"")</f>
        <v/>
      </c>
      <c r="K88" s="2"/>
      <c r="L88" s="242" t="str">
        <f>IFERROR(VLOOKUP(TableHandbook[[#This Row],[UDC]],TableOMTEACH1[],7,FALSE),"")</f>
        <v/>
      </c>
      <c r="M88" s="240" t="str">
        <f>IFERROR(VLOOKUP(TableHandbook[[#This Row],[UDC]],TableOUMPTCHEC[],7,FALSE),"")</f>
        <v/>
      </c>
      <c r="N88" s="240" t="str">
        <f>IFERROR(VLOOKUP(TableHandbook[[#This Row],[UDC]],TableOUMPTCHPE[],7,FALSE),"")</f>
        <v/>
      </c>
      <c r="O88" s="240" t="str">
        <f>IFERROR(VLOOKUP(TableHandbook[[#This Row],[UDC]],TableOUMPTCHSE[],7,FALSE),"")</f>
        <v/>
      </c>
      <c r="P88" s="242" t="str">
        <f>IFERROR(VLOOKUP(TableHandbook[[#This Row],[UDC]],TableOCTESOL1[],7,FALSE),"")</f>
        <v/>
      </c>
      <c r="Q88" s="240" t="str">
        <f>IFERROR(VLOOKUP(TableHandbook[[#This Row],[UDC]],TableOCTESOL[],7,FALSE),"")</f>
        <v/>
      </c>
      <c r="R88" s="240" t="str">
        <f>IFERROR(VLOOKUP(TableHandbook[[#This Row],[UDC]],TableOMAPLING[],7,FALSE),"")</f>
        <v/>
      </c>
      <c r="S88" s="242" t="str">
        <f>IFERROR(VLOOKUP(TableHandbook[[#This Row],[UDC]],TableOCEDHE1[],7,FALSE),"")</f>
        <v/>
      </c>
      <c r="T88" s="240" t="str">
        <f>IFERROR(VLOOKUP(TableHandbook[[#This Row],[UDC]],TableOCEDHE[],7,FALSE),"")</f>
        <v/>
      </c>
      <c r="U88" s="240" t="str">
        <f>IFERROR(VLOOKUP(TableHandbook[[#This Row],[UDC]],TableOCEDUCS1[],7,FALSE),"")</f>
        <v/>
      </c>
      <c r="V88" s="240" t="str">
        <f>IFERROR(VLOOKUP(TableHandbook[[#This Row],[UDC]],TableOCEDUC[],7,FALSE),"")</f>
        <v/>
      </c>
      <c r="W88" s="240" t="str">
        <f>IFERROR(VLOOKUP(TableHandbook[[#This Row],[UDC]],TableOGEDUC[],7,FALSE),"")</f>
        <v/>
      </c>
      <c r="X88" s="240" t="str">
        <f>IFERROR(VLOOKUP(TableHandbook[[#This Row],[UDC]],TableOUMPEDUPR[],7,FALSE),"")</f>
        <v/>
      </c>
      <c r="Y88" s="240" t="str">
        <f>IFERROR(VLOOKUP(TableHandbook[[#This Row],[UDC]],TableOUMPEDUSC[],7,FALSE),"")</f>
        <v/>
      </c>
      <c r="Z88" s="242" t="str">
        <f>IFERROR(VLOOKUP(TableHandbook[[#This Row],[UDC]],TableOMEDUC[],7,FALSE),"")</f>
        <v>Option</v>
      </c>
      <c r="AA88" s="240" t="str">
        <f>IFERROR(VLOOKUP(TableHandbook[[#This Row],[UDC]],TableOSEPCULIN[],7,FALSE),"")</f>
        <v/>
      </c>
      <c r="AB88" s="240" t="str">
        <f>IFERROR(VLOOKUP(TableHandbook[[#This Row],[UDC]],TableOSEPLNTCH[],7,FALSE),"")</f>
        <v/>
      </c>
      <c r="AC88" s="240" t="str">
        <f>IFERROR(VLOOKUP(TableHandbook[[#This Row],[UDC]],TableOSEPSTEME[],7,FALSE),"")</f>
        <v/>
      </c>
    </row>
    <row r="89" spans="1:29" x14ac:dyDescent="0.25">
      <c r="A89" s="2" t="s">
        <v>187</v>
      </c>
      <c r="B89" s="3">
        <v>1</v>
      </c>
      <c r="C89" s="3"/>
      <c r="D89" s="2" t="s">
        <v>186</v>
      </c>
      <c r="E89" s="3">
        <v>100</v>
      </c>
      <c r="F89" s="237"/>
      <c r="G89" s="239" t="str">
        <f>IFERROR(IF(VLOOKUP(TableHandbook[[#This Row],[UDC]],TableAvailabilities[],2,FALSE)&gt;0,"Y",""),"")</f>
        <v/>
      </c>
      <c r="H89" s="239" t="str">
        <f>IFERROR(IF(VLOOKUP(TableHandbook[[#This Row],[UDC]],TableAvailabilities[],3,FALSE)&gt;0,"Y",""),"")</f>
        <v/>
      </c>
      <c r="I89" s="239" t="str">
        <f>IFERROR(IF(VLOOKUP(TableHandbook[[#This Row],[UDC]],TableAvailabilities[],4,FALSE)&gt;0,"Y",""),"")</f>
        <v/>
      </c>
      <c r="J89" s="239" t="str">
        <f>IFERROR(IF(VLOOKUP(TableHandbook[[#This Row],[UDC]],TableAvailabilities[],5,FALSE)&gt;0,"Y",""),"")</f>
        <v/>
      </c>
      <c r="K89" s="2"/>
      <c r="L89" s="242" t="str">
        <f>IFERROR(VLOOKUP(TableHandbook[[#This Row],[UDC]],TableOMTEACH1[],7,FALSE),"")</f>
        <v/>
      </c>
      <c r="M89" s="240" t="str">
        <f>IFERROR(VLOOKUP(TableHandbook[[#This Row],[UDC]],TableOUMPTCHEC[],7,FALSE),"")</f>
        <v/>
      </c>
      <c r="N89" s="240" t="str">
        <f>IFERROR(VLOOKUP(TableHandbook[[#This Row],[UDC]],TableOUMPTCHPE[],7,FALSE),"")</f>
        <v/>
      </c>
      <c r="O89" s="240" t="str">
        <f>IFERROR(VLOOKUP(TableHandbook[[#This Row],[UDC]],TableOUMPTCHSE[],7,FALSE),"")</f>
        <v/>
      </c>
      <c r="P89" s="242" t="str">
        <f>IFERROR(VLOOKUP(TableHandbook[[#This Row],[UDC]],TableOCTESOL1[],7,FALSE),"")</f>
        <v/>
      </c>
      <c r="Q89" s="240" t="str">
        <f>IFERROR(VLOOKUP(TableHandbook[[#This Row],[UDC]],TableOCTESOL[],7,FALSE),"")</f>
        <v/>
      </c>
      <c r="R89" s="240" t="str">
        <f>IFERROR(VLOOKUP(TableHandbook[[#This Row],[UDC]],TableOMAPLING[],7,FALSE),"")</f>
        <v/>
      </c>
      <c r="S89" s="242" t="str">
        <f>IFERROR(VLOOKUP(TableHandbook[[#This Row],[UDC]],TableOCEDHE1[],7,FALSE),"")</f>
        <v/>
      </c>
      <c r="T89" s="240" t="str">
        <f>IFERROR(VLOOKUP(TableHandbook[[#This Row],[UDC]],TableOCEDHE[],7,FALSE),"")</f>
        <v/>
      </c>
      <c r="U89" s="240" t="str">
        <f>IFERROR(VLOOKUP(TableHandbook[[#This Row],[UDC]],TableOCEDUCS1[],7,FALSE),"")</f>
        <v/>
      </c>
      <c r="V89" s="240" t="str">
        <f>IFERROR(VLOOKUP(TableHandbook[[#This Row],[UDC]],TableOCEDUC[],7,FALSE),"")</f>
        <v/>
      </c>
      <c r="W89" s="240" t="str">
        <f>IFERROR(VLOOKUP(TableHandbook[[#This Row],[UDC]],TableOGEDUC[],7,FALSE),"")</f>
        <v/>
      </c>
      <c r="X89" s="240" t="str">
        <f>IFERROR(VLOOKUP(TableHandbook[[#This Row],[UDC]],TableOUMPEDUPR[],7,FALSE),"")</f>
        <v/>
      </c>
      <c r="Y89" s="240" t="str">
        <f>IFERROR(VLOOKUP(TableHandbook[[#This Row],[UDC]],TableOUMPEDUSC[],7,FALSE),"")</f>
        <v/>
      </c>
      <c r="Z89" s="242" t="str">
        <f>IFERROR(VLOOKUP(TableHandbook[[#This Row],[UDC]],TableOMEDUC[],7,FALSE),"")</f>
        <v>Option</v>
      </c>
      <c r="AA89" s="240" t="str">
        <f>IFERROR(VLOOKUP(TableHandbook[[#This Row],[UDC]],TableOSEPCULIN[],7,FALSE),"")</f>
        <v/>
      </c>
      <c r="AB89" s="240" t="str">
        <f>IFERROR(VLOOKUP(TableHandbook[[#This Row],[UDC]],TableOSEPLNTCH[],7,FALSE),"")</f>
        <v/>
      </c>
      <c r="AC89" s="240" t="str">
        <f>IFERROR(VLOOKUP(TableHandbook[[#This Row],[UDC]],TableOSEPSTEME[],7,FALSE),"")</f>
        <v/>
      </c>
    </row>
    <row r="90" spans="1:29" x14ac:dyDescent="0.25">
      <c r="A90" s="2" t="s">
        <v>141</v>
      </c>
      <c r="B90" s="3">
        <v>1</v>
      </c>
      <c r="C90" s="3"/>
      <c r="D90" s="2" t="s">
        <v>140</v>
      </c>
      <c r="E90" s="3">
        <v>200</v>
      </c>
      <c r="F90" s="237"/>
      <c r="G90" s="239" t="str">
        <f>IFERROR(IF(VLOOKUP(TableHandbook[[#This Row],[UDC]],TableAvailabilities[],2,FALSE)&gt;0,"Y",""),"")</f>
        <v/>
      </c>
      <c r="H90" s="239" t="str">
        <f>IFERROR(IF(VLOOKUP(TableHandbook[[#This Row],[UDC]],TableAvailabilities[],3,FALSE)&gt;0,"Y",""),"")</f>
        <v/>
      </c>
      <c r="I90" s="239" t="str">
        <f>IFERROR(IF(VLOOKUP(TableHandbook[[#This Row],[UDC]],TableAvailabilities[],4,FALSE)&gt;0,"Y",""),"")</f>
        <v/>
      </c>
      <c r="J90" s="239" t="str">
        <f>IFERROR(IF(VLOOKUP(TableHandbook[[#This Row],[UDC]],TableAvailabilities[],5,FALSE)&gt;0,"Y",""),"")</f>
        <v/>
      </c>
      <c r="K90" s="2"/>
      <c r="L90" s="242" t="str">
        <f>IFERROR(VLOOKUP(TableHandbook[[#This Row],[UDC]],TableOMTEACH1[],7,FALSE),"")</f>
        <v/>
      </c>
      <c r="M90" s="240" t="str">
        <f>IFERROR(VLOOKUP(TableHandbook[[#This Row],[UDC]],TableOUMPTCHEC[],7,FALSE),"")</f>
        <v/>
      </c>
      <c r="N90" s="240" t="str">
        <f>IFERROR(VLOOKUP(TableHandbook[[#This Row],[UDC]],TableOUMPTCHPE[],7,FALSE),"")</f>
        <v/>
      </c>
      <c r="O90" s="240" t="str">
        <f>IFERROR(VLOOKUP(TableHandbook[[#This Row],[UDC]],TableOUMPTCHSE[],7,FALSE),"")</f>
        <v/>
      </c>
      <c r="P90" s="242" t="str">
        <f>IFERROR(VLOOKUP(TableHandbook[[#This Row],[UDC]],TableOCTESOL1[],7,FALSE),"")</f>
        <v/>
      </c>
      <c r="Q90" s="240" t="str">
        <f>IFERROR(VLOOKUP(TableHandbook[[#This Row],[UDC]],TableOCTESOL[],7,FALSE),"")</f>
        <v/>
      </c>
      <c r="R90" s="240" t="str">
        <f>IFERROR(VLOOKUP(TableHandbook[[#This Row],[UDC]],TableOMAPLING[],7,FALSE),"")</f>
        <v/>
      </c>
      <c r="S90" s="242" t="str">
        <f>IFERROR(VLOOKUP(TableHandbook[[#This Row],[UDC]],TableOCEDHE1[],7,FALSE),"")</f>
        <v/>
      </c>
      <c r="T90" s="240" t="str">
        <f>IFERROR(VLOOKUP(TableHandbook[[#This Row],[UDC]],TableOCEDHE[],7,FALSE),"")</f>
        <v/>
      </c>
      <c r="U90" s="240" t="str">
        <f>IFERROR(VLOOKUP(TableHandbook[[#This Row],[UDC]],TableOCEDUCS1[],7,FALSE),"")</f>
        <v/>
      </c>
      <c r="V90" s="240" t="str">
        <f>IFERROR(VLOOKUP(TableHandbook[[#This Row],[UDC]],TableOCEDUC[],7,FALSE),"")</f>
        <v/>
      </c>
      <c r="W90" s="240" t="str">
        <f>IFERROR(VLOOKUP(TableHandbook[[#This Row],[UDC]],TableOGEDUC[],7,FALSE),"")</f>
        <v>AltCore</v>
      </c>
      <c r="X90" s="240" t="str">
        <f>IFERROR(VLOOKUP(TableHandbook[[#This Row],[UDC]],TableOUMPEDUPR[],7,FALSE),"")</f>
        <v/>
      </c>
      <c r="Y90" s="240" t="str">
        <f>IFERROR(VLOOKUP(TableHandbook[[#This Row],[UDC]],TableOUMPEDUSC[],7,FALSE),"")</f>
        <v/>
      </c>
      <c r="Z90" s="242" t="str">
        <f>IFERROR(VLOOKUP(TableHandbook[[#This Row],[UDC]],TableOMEDUC[],7,FALSE),"")</f>
        <v/>
      </c>
      <c r="AA90" s="240" t="str">
        <f>IFERROR(VLOOKUP(TableHandbook[[#This Row],[UDC]],TableOSEPCULIN[],7,FALSE),"")</f>
        <v/>
      </c>
      <c r="AB90" s="240" t="str">
        <f>IFERROR(VLOOKUP(TableHandbook[[#This Row],[UDC]],TableOSEPLNTCH[],7,FALSE),"")</f>
        <v/>
      </c>
      <c r="AC90" s="240" t="str">
        <f>IFERROR(VLOOKUP(TableHandbook[[#This Row],[UDC]],TableOSEPSTEME[],7,FALSE),"")</f>
        <v/>
      </c>
    </row>
    <row r="91" spans="1:29" x14ac:dyDescent="0.25">
      <c r="A91" s="2" t="s">
        <v>160</v>
      </c>
      <c r="B91" s="3">
        <v>1</v>
      </c>
      <c r="C91" s="3"/>
      <c r="D91" s="2" t="s">
        <v>159</v>
      </c>
      <c r="E91" s="3">
        <v>200</v>
      </c>
      <c r="F91" s="237"/>
      <c r="G91" s="239" t="str">
        <f>IFERROR(IF(VLOOKUP(TableHandbook[[#This Row],[UDC]],TableAvailabilities[],2,FALSE)&gt;0,"Y",""),"")</f>
        <v/>
      </c>
      <c r="H91" s="239" t="str">
        <f>IFERROR(IF(VLOOKUP(TableHandbook[[#This Row],[UDC]],TableAvailabilities[],3,FALSE)&gt;0,"Y",""),"")</f>
        <v/>
      </c>
      <c r="I91" s="239" t="str">
        <f>IFERROR(IF(VLOOKUP(TableHandbook[[#This Row],[UDC]],TableAvailabilities[],4,FALSE)&gt;0,"Y",""),"")</f>
        <v/>
      </c>
      <c r="J91" s="239" t="str">
        <f>IFERROR(IF(VLOOKUP(TableHandbook[[#This Row],[UDC]],TableAvailabilities[],5,FALSE)&gt;0,"Y",""),"")</f>
        <v/>
      </c>
      <c r="K91" s="2"/>
      <c r="L91" s="242" t="str">
        <f>IFERROR(VLOOKUP(TableHandbook[[#This Row],[UDC]],TableOMTEACH1[],7,FALSE),"")</f>
        <v/>
      </c>
      <c r="M91" s="240" t="str">
        <f>IFERROR(VLOOKUP(TableHandbook[[#This Row],[UDC]],TableOUMPTCHEC[],7,FALSE),"")</f>
        <v/>
      </c>
      <c r="N91" s="240" t="str">
        <f>IFERROR(VLOOKUP(TableHandbook[[#This Row],[UDC]],TableOUMPTCHPE[],7,FALSE),"")</f>
        <v/>
      </c>
      <c r="O91" s="240" t="str">
        <f>IFERROR(VLOOKUP(TableHandbook[[#This Row],[UDC]],TableOUMPTCHSE[],7,FALSE),"")</f>
        <v/>
      </c>
      <c r="P91" s="242" t="str">
        <f>IFERROR(VLOOKUP(TableHandbook[[#This Row],[UDC]],TableOCTESOL1[],7,FALSE),"")</f>
        <v/>
      </c>
      <c r="Q91" s="240" t="str">
        <f>IFERROR(VLOOKUP(TableHandbook[[#This Row],[UDC]],TableOCTESOL[],7,FALSE),"")</f>
        <v/>
      </c>
      <c r="R91" s="240" t="str">
        <f>IFERROR(VLOOKUP(TableHandbook[[#This Row],[UDC]],TableOMAPLING[],7,FALSE),"")</f>
        <v/>
      </c>
      <c r="S91" s="242" t="str">
        <f>IFERROR(VLOOKUP(TableHandbook[[#This Row],[UDC]],TableOCEDHE1[],7,FALSE),"")</f>
        <v/>
      </c>
      <c r="T91" s="240" t="str">
        <f>IFERROR(VLOOKUP(TableHandbook[[#This Row],[UDC]],TableOCEDHE[],7,FALSE),"")</f>
        <v/>
      </c>
      <c r="U91" s="240" t="str">
        <f>IFERROR(VLOOKUP(TableHandbook[[#This Row],[UDC]],TableOCEDUCS1[],7,FALSE),"")</f>
        <v/>
      </c>
      <c r="V91" s="240" t="str">
        <f>IFERROR(VLOOKUP(TableHandbook[[#This Row],[UDC]],TableOCEDUC[],7,FALSE),"")</f>
        <v/>
      </c>
      <c r="W91" s="240" t="str">
        <f>IFERROR(VLOOKUP(TableHandbook[[#This Row],[UDC]],TableOGEDUC[],7,FALSE),"")</f>
        <v>AltCore</v>
      </c>
      <c r="X91" s="240" t="str">
        <f>IFERROR(VLOOKUP(TableHandbook[[#This Row],[UDC]],TableOUMPEDUPR[],7,FALSE),"")</f>
        <v/>
      </c>
      <c r="Y91" s="240" t="str">
        <f>IFERROR(VLOOKUP(TableHandbook[[#This Row],[UDC]],TableOUMPEDUSC[],7,FALSE),"")</f>
        <v/>
      </c>
      <c r="Z91" s="242" t="str">
        <f>IFERROR(VLOOKUP(TableHandbook[[#This Row],[UDC]],TableOMEDUC[],7,FALSE),"")</f>
        <v/>
      </c>
      <c r="AA91" s="240" t="str">
        <f>IFERROR(VLOOKUP(TableHandbook[[#This Row],[UDC]],TableOSEPCULIN[],7,FALSE),"")</f>
        <v/>
      </c>
      <c r="AB91" s="240" t="str">
        <f>IFERROR(VLOOKUP(TableHandbook[[#This Row],[UDC]],TableOSEPLNTCH[],7,FALSE),"")</f>
        <v/>
      </c>
      <c r="AC91" s="240" t="str">
        <f>IFERROR(VLOOKUP(TableHandbook[[#This Row],[UDC]],TableOSEPSTEME[],7,FALSE),"")</f>
        <v/>
      </c>
    </row>
    <row r="92" spans="1:29" x14ac:dyDescent="0.25">
      <c r="A92" s="2" t="s">
        <v>127</v>
      </c>
      <c r="B92" s="3">
        <v>2</v>
      </c>
      <c r="C92" s="3"/>
      <c r="D92" s="2" t="s">
        <v>14</v>
      </c>
      <c r="E92" s="3">
        <v>400</v>
      </c>
      <c r="F92" s="237"/>
      <c r="G92" s="239" t="str">
        <f>IFERROR(IF(VLOOKUP(TableHandbook[[#This Row],[UDC]],TableAvailabilities[],2,FALSE)&gt;0,"Y",""),"")</f>
        <v/>
      </c>
      <c r="H92" s="239" t="str">
        <f>IFERROR(IF(VLOOKUP(TableHandbook[[#This Row],[UDC]],TableAvailabilities[],3,FALSE)&gt;0,"Y",""),"")</f>
        <v/>
      </c>
      <c r="I92" s="239" t="str">
        <f>IFERROR(IF(VLOOKUP(TableHandbook[[#This Row],[UDC]],TableAvailabilities[],4,FALSE)&gt;0,"Y",""),"")</f>
        <v/>
      </c>
      <c r="J92" s="239" t="str">
        <f>IFERROR(IF(VLOOKUP(TableHandbook[[#This Row],[UDC]],TableAvailabilities[],5,FALSE)&gt;0,"Y",""),"")</f>
        <v/>
      </c>
      <c r="K92" s="2"/>
      <c r="L92" s="242" t="str">
        <f>IFERROR(VLOOKUP(TableHandbook[[#This Row],[UDC]],TableOMTEACH1[],7,FALSE),"")</f>
        <v>AltCore</v>
      </c>
      <c r="M92" s="240" t="str">
        <f>IFERROR(VLOOKUP(TableHandbook[[#This Row],[UDC]],TableOUMPTCHEC[],7,FALSE),"")</f>
        <v/>
      </c>
      <c r="N92" s="240" t="str">
        <f>IFERROR(VLOOKUP(TableHandbook[[#This Row],[UDC]],TableOUMPTCHPE[],7,FALSE),"")</f>
        <v/>
      </c>
      <c r="O92" s="240" t="str">
        <f>IFERROR(VLOOKUP(TableHandbook[[#This Row],[UDC]],TableOUMPTCHSE[],7,FALSE),"")</f>
        <v/>
      </c>
      <c r="P92" s="242" t="str">
        <f>IFERROR(VLOOKUP(TableHandbook[[#This Row],[UDC]],TableOCTESOL1[],7,FALSE),"")</f>
        <v/>
      </c>
      <c r="Q92" s="240" t="str">
        <f>IFERROR(VLOOKUP(TableHandbook[[#This Row],[UDC]],TableOCTESOL[],7,FALSE),"")</f>
        <v/>
      </c>
      <c r="R92" s="240" t="str">
        <f>IFERROR(VLOOKUP(TableHandbook[[#This Row],[UDC]],TableOMAPLING[],7,FALSE),"")</f>
        <v/>
      </c>
      <c r="S92" s="242" t="str">
        <f>IFERROR(VLOOKUP(TableHandbook[[#This Row],[UDC]],TableOCEDHE1[],7,FALSE),"")</f>
        <v/>
      </c>
      <c r="T92" s="240" t="str">
        <f>IFERROR(VLOOKUP(TableHandbook[[#This Row],[UDC]],TableOCEDHE[],7,FALSE),"")</f>
        <v/>
      </c>
      <c r="U92" s="240" t="str">
        <f>IFERROR(VLOOKUP(TableHandbook[[#This Row],[UDC]],TableOCEDUCS1[],7,FALSE),"")</f>
        <v/>
      </c>
      <c r="V92" s="240" t="str">
        <f>IFERROR(VLOOKUP(TableHandbook[[#This Row],[UDC]],TableOCEDUC[],7,FALSE),"")</f>
        <v/>
      </c>
      <c r="W92" s="240" t="str">
        <f>IFERROR(VLOOKUP(TableHandbook[[#This Row],[UDC]],TableOGEDUC[],7,FALSE),"")</f>
        <v/>
      </c>
      <c r="X92" s="240" t="str">
        <f>IFERROR(VLOOKUP(TableHandbook[[#This Row],[UDC]],TableOUMPEDUPR[],7,FALSE),"")</f>
        <v/>
      </c>
      <c r="Y92" s="240" t="str">
        <f>IFERROR(VLOOKUP(TableHandbook[[#This Row],[UDC]],TableOUMPEDUSC[],7,FALSE),"")</f>
        <v/>
      </c>
      <c r="Z92" s="242" t="str">
        <f>IFERROR(VLOOKUP(TableHandbook[[#This Row],[UDC]],TableOMEDUC[],7,FALSE),"")</f>
        <v/>
      </c>
      <c r="AA92" s="240" t="str">
        <f>IFERROR(VLOOKUP(TableHandbook[[#This Row],[UDC]],TableOSEPCULIN[],7,FALSE),"")</f>
        <v/>
      </c>
      <c r="AB92" s="240" t="str">
        <f>IFERROR(VLOOKUP(TableHandbook[[#This Row],[UDC]],TableOSEPLNTCH[],7,FALSE),"")</f>
        <v/>
      </c>
      <c r="AC92" s="240" t="str">
        <f>IFERROR(VLOOKUP(TableHandbook[[#This Row],[UDC]],TableOSEPSTEME[],7,FALSE),"")</f>
        <v/>
      </c>
    </row>
    <row r="93" spans="1:29" x14ac:dyDescent="0.25">
      <c r="A93" s="2" t="s">
        <v>128</v>
      </c>
      <c r="B93" s="3">
        <v>2</v>
      </c>
      <c r="C93" s="3"/>
      <c r="D93" s="2" t="s">
        <v>36</v>
      </c>
      <c r="E93" s="3">
        <v>400</v>
      </c>
      <c r="F93" s="237"/>
      <c r="G93" s="239" t="str">
        <f>IFERROR(IF(VLOOKUP(TableHandbook[[#This Row],[UDC]],TableAvailabilities[],2,FALSE)&gt;0,"Y",""),"")</f>
        <v/>
      </c>
      <c r="H93" s="239" t="str">
        <f>IFERROR(IF(VLOOKUP(TableHandbook[[#This Row],[UDC]],TableAvailabilities[],3,FALSE)&gt;0,"Y",""),"")</f>
        <v/>
      </c>
      <c r="I93" s="239" t="str">
        <f>IFERROR(IF(VLOOKUP(TableHandbook[[#This Row],[UDC]],TableAvailabilities[],4,FALSE)&gt;0,"Y",""),"")</f>
        <v/>
      </c>
      <c r="J93" s="239" t="str">
        <f>IFERROR(IF(VLOOKUP(TableHandbook[[#This Row],[UDC]],TableAvailabilities[],5,FALSE)&gt;0,"Y",""),"")</f>
        <v/>
      </c>
      <c r="K93" s="2"/>
      <c r="L93" s="242" t="str">
        <f>IFERROR(VLOOKUP(TableHandbook[[#This Row],[UDC]],TableOMTEACH1[],7,FALSE),"")</f>
        <v>AltCore</v>
      </c>
      <c r="M93" s="240" t="str">
        <f>IFERROR(VLOOKUP(TableHandbook[[#This Row],[UDC]],TableOUMPTCHEC[],7,FALSE),"")</f>
        <v/>
      </c>
      <c r="N93" s="240" t="str">
        <f>IFERROR(VLOOKUP(TableHandbook[[#This Row],[UDC]],TableOUMPTCHPE[],7,FALSE),"")</f>
        <v/>
      </c>
      <c r="O93" s="240" t="str">
        <f>IFERROR(VLOOKUP(TableHandbook[[#This Row],[UDC]],TableOUMPTCHSE[],7,FALSE),"")</f>
        <v/>
      </c>
      <c r="P93" s="242" t="str">
        <f>IFERROR(VLOOKUP(TableHandbook[[#This Row],[UDC]],TableOCTESOL1[],7,FALSE),"")</f>
        <v/>
      </c>
      <c r="Q93" s="240" t="str">
        <f>IFERROR(VLOOKUP(TableHandbook[[#This Row],[UDC]],TableOCTESOL[],7,FALSE),"")</f>
        <v/>
      </c>
      <c r="R93" s="240" t="str">
        <f>IFERROR(VLOOKUP(TableHandbook[[#This Row],[UDC]],TableOMAPLING[],7,FALSE),"")</f>
        <v/>
      </c>
      <c r="S93" s="242" t="str">
        <f>IFERROR(VLOOKUP(TableHandbook[[#This Row],[UDC]],TableOCEDHE1[],7,FALSE),"")</f>
        <v/>
      </c>
      <c r="T93" s="240" t="str">
        <f>IFERROR(VLOOKUP(TableHandbook[[#This Row],[UDC]],TableOCEDHE[],7,FALSE),"")</f>
        <v/>
      </c>
      <c r="U93" s="240" t="str">
        <f>IFERROR(VLOOKUP(TableHandbook[[#This Row],[UDC]],TableOCEDUCS1[],7,FALSE),"")</f>
        <v/>
      </c>
      <c r="V93" s="240" t="str">
        <f>IFERROR(VLOOKUP(TableHandbook[[#This Row],[UDC]],TableOCEDUC[],7,FALSE),"")</f>
        <v/>
      </c>
      <c r="W93" s="240" t="str">
        <f>IFERROR(VLOOKUP(TableHandbook[[#This Row],[UDC]],TableOGEDUC[],7,FALSE),"")</f>
        <v/>
      </c>
      <c r="X93" s="240" t="str">
        <f>IFERROR(VLOOKUP(TableHandbook[[#This Row],[UDC]],TableOUMPEDUPR[],7,FALSE),"")</f>
        <v/>
      </c>
      <c r="Y93" s="240" t="str">
        <f>IFERROR(VLOOKUP(TableHandbook[[#This Row],[UDC]],TableOUMPEDUSC[],7,FALSE),"")</f>
        <v/>
      </c>
      <c r="Z93" s="242" t="str">
        <f>IFERROR(VLOOKUP(TableHandbook[[#This Row],[UDC]],TableOMEDUC[],7,FALSE),"")</f>
        <v/>
      </c>
      <c r="AA93" s="240" t="str">
        <f>IFERROR(VLOOKUP(TableHandbook[[#This Row],[UDC]],TableOSEPCULIN[],7,FALSE),"")</f>
        <v/>
      </c>
      <c r="AB93" s="240" t="str">
        <f>IFERROR(VLOOKUP(TableHandbook[[#This Row],[UDC]],TableOSEPLNTCH[],7,FALSE),"")</f>
        <v/>
      </c>
      <c r="AC93" s="240" t="str">
        <f>IFERROR(VLOOKUP(TableHandbook[[#This Row],[UDC]],TableOSEPSTEME[],7,FALSE),"")</f>
        <v/>
      </c>
    </row>
    <row r="94" spans="1:29" x14ac:dyDescent="0.25">
      <c r="A94" s="2" t="s">
        <v>132</v>
      </c>
      <c r="B94" s="3">
        <v>3</v>
      </c>
      <c r="C94" s="3"/>
      <c r="D94" s="2" t="s">
        <v>131</v>
      </c>
      <c r="E94" s="3">
        <v>400</v>
      </c>
      <c r="F94" s="237"/>
      <c r="G94" s="239" t="str">
        <f>IFERROR(IF(VLOOKUP(TableHandbook[[#This Row],[UDC]],TableAvailabilities[],2,FALSE)&gt;0,"Y",""),"")</f>
        <v/>
      </c>
      <c r="H94" s="239" t="str">
        <f>IFERROR(IF(VLOOKUP(TableHandbook[[#This Row],[UDC]],TableAvailabilities[],3,FALSE)&gt;0,"Y",""),"")</f>
        <v/>
      </c>
      <c r="I94" s="239" t="str">
        <f>IFERROR(IF(VLOOKUP(TableHandbook[[#This Row],[UDC]],TableAvailabilities[],4,FALSE)&gt;0,"Y",""),"")</f>
        <v/>
      </c>
      <c r="J94" s="239" t="str">
        <f>IFERROR(IF(VLOOKUP(TableHandbook[[#This Row],[UDC]],TableAvailabilities[],5,FALSE)&gt;0,"Y",""),"")</f>
        <v/>
      </c>
      <c r="K94" s="2"/>
      <c r="L94" s="242" t="str">
        <f>IFERROR(VLOOKUP(TableHandbook[[#This Row],[UDC]],TableOMTEACH1[],7,FALSE),"")</f>
        <v>AltCore</v>
      </c>
      <c r="M94" s="240" t="str">
        <f>IFERROR(VLOOKUP(TableHandbook[[#This Row],[UDC]],TableOUMPTCHEC[],7,FALSE),"")</f>
        <v/>
      </c>
      <c r="N94" s="240" t="str">
        <f>IFERROR(VLOOKUP(TableHandbook[[#This Row],[UDC]],TableOUMPTCHPE[],7,FALSE),"")</f>
        <v/>
      </c>
      <c r="O94" s="240" t="str">
        <f>IFERROR(VLOOKUP(TableHandbook[[#This Row],[UDC]],TableOUMPTCHSE[],7,FALSE),"")</f>
        <v/>
      </c>
      <c r="P94" s="242" t="str">
        <f>IFERROR(VLOOKUP(TableHandbook[[#This Row],[UDC]],TableOCTESOL1[],7,FALSE),"")</f>
        <v/>
      </c>
      <c r="Q94" s="240" t="str">
        <f>IFERROR(VLOOKUP(TableHandbook[[#This Row],[UDC]],TableOCTESOL[],7,FALSE),"")</f>
        <v/>
      </c>
      <c r="R94" s="240" t="str">
        <f>IFERROR(VLOOKUP(TableHandbook[[#This Row],[UDC]],TableOMAPLING[],7,FALSE),"")</f>
        <v/>
      </c>
      <c r="S94" s="242" t="str">
        <f>IFERROR(VLOOKUP(TableHandbook[[#This Row],[UDC]],TableOCEDHE1[],7,FALSE),"")</f>
        <v/>
      </c>
      <c r="T94" s="240" t="str">
        <f>IFERROR(VLOOKUP(TableHandbook[[#This Row],[UDC]],TableOCEDHE[],7,FALSE),"")</f>
        <v/>
      </c>
      <c r="U94" s="240" t="str">
        <f>IFERROR(VLOOKUP(TableHandbook[[#This Row],[UDC]],TableOCEDUCS1[],7,FALSE),"")</f>
        <v/>
      </c>
      <c r="V94" s="240" t="str">
        <f>IFERROR(VLOOKUP(TableHandbook[[#This Row],[UDC]],TableOCEDUC[],7,FALSE),"")</f>
        <v/>
      </c>
      <c r="W94" s="240" t="str">
        <f>IFERROR(VLOOKUP(TableHandbook[[#This Row],[UDC]],TableOGEDUC[],7,FALSE),"")</f>
        <v/>
      </c>
      <c r="X94" s="240" t="str">
        <f>IFERROR(VLOOKUP(TableHandbook[[#This Row],[UDC]],TableOUMPEDUPR[],7,FALSE),"")</f>
        <v/>
      </c>
      <c r="Y94" s="240" t="str">
        <f>IFERROR(VLOOKUP(TableHandbook[[#This Row],[UDC]],TableOUMPEDUSC[],7,FALSE),"")</f>
        <v/>
      </c>
      <c r="Z94" s="242" t="str">
        <f>IFERROR(VLOOKUP(TableHandbook[[#This Row],[UDC]],TableOMEDUC[],7,FALSE),"")</f>
        <v/>
      </c>
      <c r="AA94" s="240" t="str">
        <f>IFERROR(VLOOKUP(TableHandbook[[#This Row],[UDC]],TableOSEPCULIN[],7,FALSE),"")</f>
        <v/>
      </c>
      <c r="AB94" s="240" t="str">
        <f>IFERROR(VLOOKUP(TableHandbook[[#This Row],[UDC]],TableOSEPLNTCH[],7,FALSE),"")</f>
        <v/>
      </c>
      <c r="AC94" s="240" t="str">
        <f>IFERROR(VLOOKUP(TableHandbook[[#This Row],[UDC]],TableOSEPSTEME[],7,FALSE),"")</f>
        <v/>
      </c>
    </row>
    <row r="95" spans="1:29" x14ac:dyDescent="0.25">
      <c r="A95" s="2" t="s">
        <v>516</v>
      </c>
      <c r="B95" s="3"/>
      <c r="C95" s="3"/>
      <c r="D95" s="2" t="s">
        <v>499</v>
      </c>
      <c r="E95" s="3"/>
      <c r="F95" s="237"/>
      <c r="G95" s="239" t="str">
        <f>IFERROR(IF(VLOOKUP(TableHandbook[[#This Row],[UDC]],TableAvailabilities[],2,FALSE)&gt;0,"Y",""),"")</f>
        <v/>
      </c>
      <c r="H95" s="239" t="str">
        <f>IFERROR(IF(VLOOKUP(TableHandbook[[#This Row],[UDC]],TableAvailabilities[],3,FALSE)&gt;0,"Y",""),"")</f>
        <v/>
      </c>
      <c r="I95" s="239" t="str">
        <f>IFERROR(IF(VLOOKUP(TableHandbook[[#This Row],[UDC]],TableAvailabilities[],4,FALSE)&gt;0,"Y",""),"")</f>
        <v/>
      </c>
      <c r="J95" s="239" t="str">
        <f>IFERROR(IF(VLOOKUP(TableHandbook[[#This Row],[UDC]],TableAvailabilities[],5,FALSE)&gt;0,"Y",""),"")</f>
        <v/>
      </c>
      <c r="K95" s="2"/>
      <c r="L95" s="242" t="str">
        <f>IFERROR(VLOOKUP(TableHandbook[[#This Row],[UDC]],TableOMTEACH1[],7,FALSE),"")</f>
        <v/>
      </c>
      <c r="M95" s="240" t="str">
        <f>IFERROR(VLOOKUP(TableHandbook[[#This Row],[UDC]],TableOUMPTCHEC[],7,FALSE),"")</f>
        <v/>
      </c>
      <c r="N95" s="240" t="str">
        <f>IFERROR(VLOOKUP(TableHandbook[[#This Row],[UDC]],TableOUMPTCHPE[],7,FALSE),"")</f>
        <v/>
      </c>
      <c r="O95" s="240" t="str">
        <f>IFERROR(VLOOKUP(TableHandbook[[#This Row],[UDC]],TableOUMPTCHSE[],7,FALSE),"")</f>
        <v>Option</v>
      </c>
      <c r="P95" s="242" t="str">
        <f>IFERROR(VLOOKUP(TableHandbook[[#This Row],[UDC]],TableOCTESOL1[],7,FALSE),"")</f>
        <v/>
      </c>
      <c r="Q95" s="240" t="str">
        <f>IFERROR(VLOOKUP(TableHandbook[[#This Row],[UDC]],TableOCTESOL[],7,FALSE),"")</f>
        <v/>
      </c>
      <c r="R95" s="240" t="str">
        <f>IFERROR(VLOOKUP(TableHandbook[[#This Row],[UDC]],TableOMAPLING[],7,FALSE),"")</f>
        <v/>
      </c>
      <c r="S95" s="242" t="str">
        <f>IFERROR(VLOOKUP(TableHandbook[[#This Row],[UDC]],TableOCEDHE1[],7,FALSE),"")</f>
        <v/>
      </c>
      <c r="T95" s="240" t="str">
        <f>IFERROR(VLOOKUP(TableHandbook[[#This Row],[UDC]],TableOCEDHE[],7,FALSE),"")</f>
        <v/>
      </c>
      <c r="U95" s="240" t="str">
        <f>IFERROR(VLOOKUP(TableHandbook[[#This Row],[UDC]],TableOCEDUCS1[],7,FALSE),"")</f>
        <v/>
      </c>
      <c r="V95" s="240" t="str">
        <f>IFERROR(VLOOKUP(TableHandbook[[#This Row],[UDC]],TableOCEDUC[],7,FALSE),"")</f>
        <v/>
      </c>
      <c r="W95" s="240" t="str">
        <f>IFERROR(VLOOKUP(TableHandbook[[#This Row],[UDC]],TableOGEDUC[],7,FALSE),"")</f>
        <v/>
      </c>
      <c r="X95" s="240" t="str">
        <f>IFERROR(VLOOKUP(TableHandbook[[#This Row],[UDC]],TableOUMPEDUPR[],7,FALSE),"")</f>
        <v/>
      </c>
      <c r="Y95" s="240" t="str">
        <f>IFERROR(VLOOKUP(TableHandbook[[#This Row],[UDC]],TableOUMPEDUSC[],7,FALSE),"")</f>
        <v/>
      </c>
      <c r="Z95" s="242" t="str">
        <f>IFERROR(VLOOKUP(TableHandbook[[#This Row],[UDC]],TableOMEDUC[],7,FALSE),"")</f>
        <v/>
      </c>
      <c r="AA95" s="240" t="str">
        <f>IFERROR(VLOOKUP(TableHandbook[[#This Row],[UDC]],TableOSEPCULIN[],7,FALSE),"")</f>
        <v/>
      </c>
      <c r="AB95" s="240" t="str">
        <f>IFERROR(VLOOKUP(TableHandbook[[#This Row],[UDC]],TableOSEPLNTCH[],7,FALSE),"")</f>
        <v/>
      </c>
      <c r="AC95" s="240" t="str">
        <f>IFERROR(VLOOKUP(TableHandbook[[#This Row],[UDC]],TableOSEPSTEME[],7,FALSE),"")</f>
        <v/>
      </c>
    </row>
    <row r="96" spans="1:29" x14ac:dyDescent="0.25">
      <c r="A96" s="2" t="s">
        <v>167</v>
      </c>
      <c r="B96" s="3"/>
      <c r="C96" s="3"/>
      <c r="D96" s="2" t="s">
        <v>517</v>
      </c>
      <c r="E96" s="3">
        <v>25</v>
      </c>
      <c r="F96" s="237" t="s">
        <v>354</v>
      </c>
      <c r="G96" s="239" t="str">
        <f>IFERROR(IF(VLOOKUP(TableHandbook[[#This Row],[UDC]],TableAvailabilities[],2,FALSE)&gt;0,"Y",""),"")</f>
        <v/>
      </c>
      <c r="H96" s="239" t="str">
        <f>IFERROR(IF(VLOOKUP(TableHandbook[[#This Row],[UDC]],TableAvailabilities[],3,FALSE)&gt;0,"Y",""),"")</f>
        <v/>
      </c>
      <c r="I96" s="239" t="str">
        <f>IFERROR(IF(VLOOKUP(TableHandbook[[#This Row],[UDC]],TableAvailabilities[],4,FALSE)&gt;0,"Y",""),"")</f>
        <v/>
      </c>
      <c r="J96" s="239" t="str">
        <f>IFERROR(IF(VLOOKUP(TableHandbook[[#This Row],[UDC]],TableAvailabilities[],5,FALSE)&gt;0,"Y",""),"")</f>
        <v/>
      </c>
      <c r="K96" s="2"/>
      <c r="L96" s="242" t="str">
        <f>IFERROR(VLOOKUP(TableHandbook[[#This Row],[UDC]],TableOMTEACH1[],7,FALSE),"")</f>
        <v/>
      </c>
      <c r="M96" s="240" t="str">
        <f>IFERROR(VLOOKUP(TableHandbook[[#This Row],[UDC]],TableOUMPTCHEC[],7,FALSE),"")</f>
        <v/>
      </c>
      <c r="N96" s="240" t="str">
        <f>IFERROR(VLOOKUP(TableHandbook[[#This Row],[UDC]],TableOUMPTCHPE[],7,FALSE),"")</f>
        <v/>
      </c>
      <c r="O96" s="240" t="str">
        <f>IFERROR(VLOOKUP(TableHandbook[[#This Row],[UDC]],TableOUMPTCHSE[],7,FALSE),"")</f>
        <v/>
      </c>
      <c r="P96" s="242" t="str">
        <f>IFERROR(VLOOKUP(TableHandbook[[#This Row],[UDC]],TableOCTESOL1[],7,FALSE),"")</f>
        <v/>
      </c>
      <c r="Q96" s="240" t="str">
        <f>IFERROR(VLOOKUP(TableHandbook[[#This Row],[UDC]],TableOCTESOL[],7,FALSE),"")</f>
        <v/>
      </c>
      <c r="R96" s="240" t="str">
        <f>IFERROR(VLOOKUP(TableHandbook[[#This Row],[UDC]],TableOMAPLING[],7,FALSE),"")</f>
        <v/>
      </c>
      <c r="S96" s="242" t="str">
        <f>IFERROR(VLOOKUP(TableHandbook[[#This Row],[UDC]],TableOCEDHE1[],7,FALSE),"")</f>
        <v/>
      </c>
      <c r="T96" s="240" t="str">
        <f>IFERROR(VLOOKUP(TableHandbook[[#This Row],[UDC]],TableOCEDHE[],7,FALSE),"")</f>
        <v/>
      </c>
      <c r="U96" s="240" t="str">
        <f>IFERROR(VLOOKUP(TableHandbook[[#This Row],[UDC]],TableOCEDUCS1[],7,FALSE),"")</f>
        <v/>
      </c>
      <c r="V96" s="240" t="str">
        <f>IFERROR(VLOOKUP(TableHandbook[[#This Row],[UDC]],TableOCEDUC[],7,FALSE),"")</f>
        <v/>
      </c>
      <c r="W96" s="240" t="str">
        <f>IFERROR(VLOOKUP(TableHandbook[[#This Row],[UDC]],TableOGEDUC[],7,FALSE),"")</f>
        <v/>
      </c>
      <c r="X96" s="240" t="str">
        <f>IFERROR(VLOOKUP(TableHandbook[[#This Row],[UDC]],TableOUMPEDUPR[],7,FALSE),"")</f>
        <v/>
      </c>
      <c r="Y96" s="240" t="str">
        <f>IFERROR(VLOOKUP(TableHandbook[[#This Row],[UDC]],TableOUMPEDUSC[],7,FALSE),"")</f>
        <v/>
      </c>
      <c r="Z96" s="242" t="str">
        <f>IFERROR(VLOOKUP(TableHandbook[[#This Row],[UDC]],TableOMEDUC[],7,FALSE),"")</f>
        <v/>
      </c>
      <c r="AA96" s="240" t="str">
        <f>IFERROR(VLOOKUP(TableHandbook[[#This Row],[UDC]],TableOSEPCULIN[],7,FALSE),"")</f>
        <v/>
      </c>
      <c r="AB96" s="240" t="str">
        <f>IFERROR(VLOOKUP(TableHandbook[[#This Row],[UDC]],TableOSEPLNTCH[],7,FALSE),"")</f>
        <v/>
      </c>
      <c r="AC96" s="240" t="str">
        <f>IFERROR(VLOOKUP(TableHandbook[[#This Row],[UDC]],TableOSEPSTEME[],7,FALSE),"")</f>
        <v/>
      </c>
    </row>
    <row r="97" spans="1:29" x14ac:dyDescent="0.25">
      <c r="A97" s="2" t="s">
        <v>329</v>
      </c>
      <c r="B97" s="3"/>
      <c r="C97" s="3"/>
      <c r="D97" s="2" t="s">
        <v>518</v>
      </c>
      <c r="E97" s="3"/>
      <c r="F97" s="237"/>
      <c r="G97" s="239" t="str">
        <f>IFERROR(IF(VLOOKUP(TableHandbook[[#This Row],[UDC]],TableAvailabilities[],2,FALSE)&gt;0,"Y",""),"")</f>
        <v/>
      </c>
      <c r="H97" s="239" t="str">
        <f>IFERROR(IF(VLOOKUP(TableHandbook[[#This Row],[UDC]],TableAvailabilities[],3,FALSE)&gt;0,"Y",""),"")</f>
        <v/>
      </c>
      <c r="I97" s="239" t="str">
        <f>IFERROR(IF(VLOOKUP(TableHandbook[[#This Row],[UDC]],TableAvailabilities[],4,FALSE)&gt;0,"Y",""),"")</f>
        <v/>
      </c>
      <c r="J97" s="239" t="str">
        <f>IFERROR(IF(VLOOKUP(TableHandbook[[#This Row],[UDC]],TableAvailabilities[],5,FALSE)&gt;0,"Y",""),"")</f>
        <v/>
      </c>
      <c r="K97" s="2"/>
      <c r="L97" s="242" t="str">
        <f>IFERROR(VLOOKUP(TableHandbook[[#This Row],[UDC]],TableOMTEACH1[],7,FALSE),"")</f>
        <v/>
      </c>
      <c r="M97" s="240" t="str">
        <f>IFERROR(VLOOKUP(TableHandbook[[#This Row],[UDC]],TableOUMPTCHEC[],7,FALSE),"")</f>
        <v/>
      </c>
      <c r="N97" s="240" t="str">
        <f>IFERROR(VLOOKUP(TableHandbook[[#This Row],[UDC]],TableOUMPTCHPE[],7,FALSE),"")</f>
        <v/>
      </c>
      <c r="O97" s="240" t="str">
        <f>IFERROR(VLOOKUP(TableHandbook[[#This Row],[UDC]],TableOUMPTCHSE[],7,FALSE),"")</f>
        <v/>
      </c>
      <c r="P97" s="242" t="str">
        <f>IFERROR(VLOOKUP(TableHandbook[[#This Row],[UDC]],TableOCTESOL1[],7,FALSE),"")</f>
        <v/>
      </c>
      <c r="Q97" s="240" t="str">
        <f>IFERROR(VLOOKUP(TableHandbook[[#This Row],[UDC]],TableOCTESOL[],7,FALSE),"")</f>
        <v/>
      </c>
      <c r="R97" s="240" t="str">
        <f>IFERROR(VLOOKUP(TableHandbook[[#This Row],[UDC]],TableOMAPLING[],7,FALSE),"")</f>
        <v/>
      </c>
      <c r="S97" s="242" t="str">
        <f>IFERROR(VLOOKUP(TableHandbook[[#This Row],[UDC]],TableOCEDHE1[],7,FALSE),"")</f>
        <v/>
      </c>
      <c r="T97" s="240" t="str">
        <f>IFERROR(VLOOKUP(TableHandbook[[#This Row],[UDC]],TableOCEDHE[],7,FALSE),"")</f>
        <v/>
      </c>
      <c r="U97" s="240" t="str">
        <f>IFERROR(VLOOKUP(TableHandbook[[#This Row],[UDC]],TableOCEDUCS1[],7,FALSE),"")</f>
        <v/>
      </c>
      <c r="V97" s="240" t="str">
        <f>IFERROR(VLOOKUP(TableHandbook[[#This Row],[UDC]],TableOCEDUC[],7,FALSE),"")</f>
        <v/>
      </c>
      <c r="W97" s="240" t="str">
        <f>IFERROR(VLOOKUP(TableHandbook[[#This Row],[UDC]],TableOGEDUC[],7,FALSE),"")</f>
        <v/>
      </c>
      <c r="X97" s="240" t="str">
        <f>IFERROR(VLOOKUP(TableHandbook[[#This Row],[UDC]],TableOUMPEDUPR[],7,FALSE),"")</f>
        <v/>
      </c>
      <c r="Y97" s="240" t="str">
        <f>IFERROR(VLOOKUP(TableHandbook[[#This Row],[UDC]],TableOUMPEDUSC[],7,FALSE),"")</f>
        <v/>
      </c>
      <c r="Z97" s="242" t="str">
        <f>IFERROR(VLOOKUP(TableHandbook[[#This Row],[UDC]],TableOMEDUC[],7,FALSE),"")</f>
        <v/>
      </c>
      <c r="AA97" s="240" t="str">
        <f>IFERROR(VLOOKUP(TableHandbook[[#This Row],[UDC]],TableOSEPCULIN[],7,FALSE),"")</f>
        <v/>
      </c>
      <c r="AB97" s="240" t="str">
        <f>IFERROR(VLOOKUP(TableHandbook[[#This Row],[UDC]],TableOSEPLNTCH[],7,FALSE),"")</f>
        <v/>
      </c>
      <c r="AC97" s="240" t="str">
        <f>IFERROR(VLOOKUP(TableHandbook[[#This Row],[UDC]],TableOSEPSTEME[],7,FALSE),"")</f>
        <v/>
      </c>
    </row>
    <row r="98" spans="1:29" x14ac:dyDescent="0.25">
      <c r="A98" s="2" t="s">
        <v>295</v>
      </c>
      <c r="B98" s="3"/>
      <c r="C98" s="3"/>
      <c r="D98" s="2" t="s">
        <v>519</v>
      </c>
      <c r="E98" s="3">
        <v>25</v>
      </c>
      <c r="F98" s="237" t="s">
        <v>354</v>
      </c>
      <c r="G98" s="239" t="str">
        <f>IFERROR(IF(VLOOKUP(TableHandbook[[#This Row],[UDC]],TableAvailabilities[],2,FALSE)&gt;0,"Y",""),"")</f>
        <v/>
      </c>
      <c r="H98" s="239" t="str">
        <f>IFERROR(IF(VLOOKUP(TableHandbook[[#This Row],[UDC]],TableAvailabilities[],3,FALSE)&gt;0,"Y",""),"")</f>
        <v/>
      </c>
      <c r="I98" s="239" t="str">
        <f>IFERROR(IF(VLOOKUP(TableHandbook[[#This Row],[UDC]],TableAvailabilities[],4,FALSE)&gt;0,"Y",""),"")</f>
        <v/>
      </c>
      <c r="J98" s="239" t="str">
        <f>IFERROR(IF(VLOOKUP(TableHandbook[[#This Row],[UDC]],TableAvailabilities[],5,FALSE)&gt;0,"Y",""),"")</f>
        <v/>
      </c>
      <c r="K98" s="2"/>
      <c r="L98" s="242" t="str">
        <f>IFERROR(VLOOKUP(TableHandbook[[#This Row],[UDC]],TableOMTEACH1[],7,FALSE),"")</f>
        <v/>
      </c>
      <c r="M98" s="240" t="str">
        <f>IFERROR(VLOOKUP(TableHandbook[[#This Row],[UDC]],TableOUMPTCHEC[],7,FALSE),"")</f>
        <v/>
      </c>
      <c r="N98" s="240" t="str">
        <f>IFERROR(VLOOKUP(TableHandbook[[#This Row],[UDC]],TableOUMPTCHPE[],7,FALSE),"")</f>
        <v/>
      </c>
      <c r="O98" s="240" t="str">
        <f>IFERROR(VLOOKUP(TableHandbook[[#This Row],[UDC]],TableOUMPTCHSE[],7,FALSE),"")</f>
        <v/>
      </c>
      <c r="P98" s="242" t="str">
        <f>IFERROR(VLOOKUP(TableHandbook[[#This Row],[UDC]],TableOCTESOL1[],7,FALSE),"")</f>
        <v/>
      </c>
      <c r="Q98" s="240" t="str">
        <f>IFERROR(VLOOKUP(TableHandbook[[#This Row],[UDC]],TableOCTESOL[],7,FALSE),"")</f>
        <v/>
      </c>
      <c r="R98" s="240" t="str">
        <f>IFERROR(VLOOKUP(TableHandbook[[#This Row],[UDC]],TableOMAPLING[],7,FALSE),"")</f>
        <v/>
      </c>
      <c r="S98" s="242" t="str">
        <f>IFERROR(VLOOKUP(TableHandbook[[#This Row],[UDC]],TableOCEDHE1[],7,FALSE),"")</f>
        <v/>
      </c>
      <c r="T98" s="240" t="str">
        <f>IFERROR(VLOOKUP(TableHandbook[[#This Row],[UDC]],TableOCEDHE[],7,FALSE),"")</f>
        <v/>
      </c>
      <c r="U98" s="240" t="str">
        <f>IFERROR(VLOOKUP(TableHandbook[[#This Row],[UDC]],TableOCEDUCS1[],7,FALSE),"")</f>
        <v/>
      </c>
      <c r="V98" s="240" t="str">
        <f>IFERROR(VLOOKUP(TableHandbook[[#This Row],[UDC]],TableOCEDUC[],7,FALSE),"")</f>
        <v/>
      </c>
      <c r="W98" s="240" t="str">
        <f>IFERROR(VLOOKUP(TableHandbook[[#This Row],[UDC]],TableOGEDUC[],7,FALSE),"")</f>
        <v/>
      </c>
      <c r="X98" s="240" t="str">
        <f>IFERROR(VLOOKUP(TableHandbook[[#This Row],[UDC]],TableOUMPEDUPR[],7,FALSE),"")</f>
        <v/>
      </c>
      <c r="Y98" s="240" t="str">
        <f>IFERROR(VLOOKUP(TableHandbook[[#This Row],[UDC]],TableOUMPEDUSC[],7,FALSE),"")</f>
        <v/>
      </c>
      <c r="Z98" s="242" t="str">
        <f>IFERROR(VLOOKUP(TableHandbook[[#This Row],[UDC]],TableOMEDUC[],7,FALSE),"")</f>
        <v/>
      </c>
      <c r="AA98" s="240" t="str">
        <f>IFERROR(VLOOKUP(TableHandbook[[#This Row],[UDC]],TableOSEPCULIN[],7,FALSE),"")</f>
        <v/>
      </c>
      <c r="AB98" s="240" t="str">
        <f>IFERROR(VLOOKUP(TableHandbook[[#This Row],[UDC]],TableOSEPLNTCH[],7,FALSE),"")</f>
        <v/>
      </c>
      <c r="AC98" s="240" t="str">
        <f>IFERROR(VLOOKUP(TableHandbook[[#This Row],[UDC]],TableOSEPSTEME[],7,FALSE),"")</f>
        <v/>
      </c>
    </row>
    <row r="99" spans="1:29" x14ac:dyDescent="0.25">
      <c r="A99" s="2" t="s">
        <v>307</v>
      </c>
      <c r="B99" s="3"/>
      <c r="C99" s="3"/>
      <c r="D99" s="2" t="s">
        <v>520</v>
      </c>
      <c r="E99" s="3">
        <v>25</v>
      </c>
      <c r="F99" s="237" t="s">
        <v>354</v>
      </c>
      <c r="G99" s="239" t="str">
        <f>IFERROR(IF(VLOOKUP(TableHandbook[[#This Row],[UDC]],TableAvailabilities[],2,FALSE)&gt;0,"Y",""),"")</f>
        <v/>
      </c>
      <c r="H99" s="239" t="str">
        <f>IFERROR(IF(VLOOKUP(TableHandbook[[#This Row],[UDC]],TableAvailabilities[],3,FALSE)&gt;0,"Y",""),"")</f>
        <v/>
      </c>
      <c r="I99" s="239" t="str">
        <f>IFERROR(IF(VLOOKUP(TableHandbook[[#This Row],[UDC]],TableAvailabilities[],4,FALSE)&gt;0,"Y",""),"")</f>
        <v/>
      </c>
      <c r="J99" s="239" t="str">
        <f>IFERROR(IF(VLOOKUP(TableHandbook[[#This Row],[UDC]],TableAvailabilities[],5,FALSE)&gt;0,"Y",""),"")</f>
        <v/>
      </c>
      <c r="K99" s="2"/>
      <c r="L99" s="242" t="str">
        <f>IFERROR(VLOOKUP(TableHandbook[[#This Row],[UDC]],TableOMTEACH1[],7,FALSE),"")</f>
        <v/>
      </c>
      <c r="M99" s="240" t="str">
        <f>IFERROR(VLOOKUP(TableHandbook[[#This Row],[UDC]],TableOUMPTCHEC[],7,FALSE),"")</f>
        <v/>
      </c>
      <c r="N99" s="240" t="str">
        <f>IFERROR(VLOOKUP(TableHandbook[[#This Row],[UDC]],TableOUMPTCHPE[],7,FALSE),"")</f>
        <v/>
      </c>
      <c r="O99" s="240" t="str">
        <f>IFERROR(VLOOKUP(TableHandbook[[#This Row],[UDC]],TableOUMPTCHSE[],7,FALSE),"")</f>
        <v/>
      </c>
      <c r="P99" s="242" t="str">
        <f>IFERROR(VLOOKUP(TableHandbook[[#This Row],[UDC]],TableOCTESOL1[],7,FALSE),"")</f>
        <v/>
      </c>
      <c r="Q99" s="240" t="str">
        <f>IFERROR(VLOOKUP(TableHandbook[[#This Row],[UDC]],TableOCTESOL[],7,FALSE),"")</f>
        <v/>
      </c>
      <c r="R99" s="240" t="str">
        <f>IFERROR(VLOOKUP(TableHandbook[[#This Row],[UDC]],TableOMAPLING[],7,FALSE),"")</f>
        <v/>
      </c>
      <c r="S99" s="242" t="str">
        <f>IFERROR(VLOOKUP(TableHandbook[[#This Row],[UDC]],TableOCEDHE1[],7,FALSE),"")</f>
        <v/>
      </c>
      <c r="T99" s="240" t="str">
        <f>IFERROR(VLOOKUP(TableHandbook[[#This Row],[UDC]],TableOCEDHE[],7,FALSE),"")</f>
        <v/>
      </c>
      <c r="U99" s="240" t="str">
        <f>IFERROR(VLOOKUP(TableHandbook[[#This Row],[UDC]],TableOCEDUCS1[],7,FALSE),"")</f>
        <v/>
      </c>
      <c r="V99" s="240" t="str">
        <f>IFERROR(VLOOKUP(TableHandbook[[#This Row],[UDC]],TableOCEDUC[],7,FALSE),"")</f>
        <v/>
      </c>
      <c r="W99" s="240" t="str">
        <f>IFERROR(VLOOKUP(TableHandbook[[#This Row],[UDC]],TableOGEDUC[],7,FALSE),"")</f>
        <v/>
      </c>
      <c r="X99" s="240" t="str">
        <f>IFERROR(VLOOKUP(TableHandbook[[#This Row],[UDC]],TableOUMPEDUPR[],7,FALSE),"")</f>
        <v/>
      </c>
      <c r="Y99" s="240" t="str">
        <f>IFERROR(VLOOKUP(TableHandbook[[#This Row],[UDC]],TableOUMPEDUSC[],7,FALSE),"")</f>
        <v/>
      </c>
      <c r="Z99" s="242" t="str">
        <f>IFERROR(VLOOKUP(TableHandbook[[#This Row],[UDC]],TableOMEDUC[],7,FALSE),"")</f>
        <v/>
      </c>
      <c r="AA99" s="240" t="str">
        <f>IFERROR(VLOOKUP(TableHandbook[[#This Row],[UDC]],TableOSEPCULIN[],7,FALSE),"")</f>
        <v/>
      </c>
      <c r="AB99" s="240" t="str">
        <f>IFERROR(VLOOKUP(TableHandbook[[#This Row],[UDC]],TableOSEPLNTCH[],7,FALSE),"")</f>
        <v/>
      </c>
      <c r="AC99" s="240" t="str">
        <f>IFERROR(VLOOKUP(TableHandbook[[#This Row],[UDC]],TableOSEPSTEME[],7,FALSE),"")</f>
        <v/>
      </c>
    </row>
  </sheetData>
  <sortState xmlns:xlrd2="http://schemas.microsoft.com/office/spreadsheetml/2017/richdata2" ref="A24:D38">
    <sortCondition ref="A24"/>
  </sortState>
  <conditionalFormatting sqref="A3:A99">
    <cfRule type="duplicateValues" dxfId="69" priority="120"/>
  </conditionalFormatting>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D7" sqref="D7"/>
      <selection pane="bottomLeft" activeCell="D7" sqref="D7"/>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70" t="s">
        <v>521</v>
      </c>
      <c r="P1" s="252">
        <v>45292</v>
      </c>
    </row>
    <row r="2" spans="1:18" x14ac:dyDescent="0.25">
      <c r="B2"/>
      <c r="E2"/>
      <c r="F2" s="87"/>
      <c r="G2" s="88" t="s">
        <v>522</v>
      </c>
      <c r="H2" s="249">
        <v>44562</v>
      </c>
      <c r="J2" s="250" t="s">
        <v>123</v>
      </c>
      <c r="K2" s="251" t="s">
        <v>98</v>
      </c>
      <c r="L2" s="119" t="s">
        <v>523</v>
      </c>
      <c r="M2" s="88"/>
      <c r="N2" s="234" t="s">
        <v>524</v>
      </c>
      <c r="O2" s="201">
        <v>45552</v>
      </c>
    </row>
    <row r="3" spans="1:18" x14ac:dyDescent="0.25">
      <c r="A3" t="s">
        <v>0</v>
      </c>
      <c r="B3" s="1" t="s">
        <v>525</v>
      </c>
      <c r="C3" t="s">
        <v>21</v>
      </c>
      <c r="D3" t="s">
        <v>3</v>
      </c>
      <c r="E3" s="89" t="s">
        <v>526</v>
      </c>
      <c r="F3" t="s">
        <v>527</v>
      </c>
      <c r="G3" t="s">
        <v>528</v>
      </c>
      <c r="H3" t="s">
        <v>529</v>
      </c>
      <c r="I3" t="s">
        <v>22</v>
      </c>
      <c r="J3" t="s">
        <v>530</v>
      </c>
      <c r="K3" t="s">
        <v>1</v>
      </c>
      <c r="L3" t="s">
        <v>531</v>
      </c>
      <c r="M3" t="s">
        <v>58</v>
      </c>
      <c r="N3" s="186" t="s">
        <v>532</v>
      </c>
      <c r="O3" s="186" t="s">
        <v>533</v>
      </c>
      <c r="Q3" t="s">
        <v>534</v>
      </c>
      <c r="R3" t="s">
        <v>535</v>
      </c>
    </row>
    <row r="4" spans="1:18" x14ac:dyDescent="0.25">
      <c r="A4" t="str">
        <f>TableOMTEACH1[[#This Row],[Study Package Code]]</f>
        <v/>
      </c>
      <c r="B4" s="1">
        <f>TableOMTEACH1[[#This Row],[Ver]]</f>
        <v>0</v>
      </c>
      <c r="D4" t="str">
        <f>TableOMTEACH1[[#This Row],[Structure Line]]</f>
        <v>Master of Teaching Major List</v>
      </c>
      <c r="E4" s="89">
        <f>TableOMTEACH1[[#This Row],[Credit Points]]</f>
        <v>400</v>
      </c>
      <c r="F4">
        <v>1</v>
      </c>
      <c r="G4" t="s">
        <v>536</v>
      </c>
      <c r="H4">
        <v>1</v>
      </c>
      <c r="I4" t="s">
        <v>537</v>
      </c>
      <c r="J4" t="s">
        <v>511</v>
      </c>
      <c r="K4">
        <v>0</v>
      </c>
      <c r="L4" t="s">
        <v>538</v>
      </c>
      <c r="M4">
        <v>400</v>
      </c>
      <c r="N4" s="187"/>
      <c r="O4" s="187"/>
      <c r="Q4" t="s">
        <v>511</v>
      </c>
      <c r="R4">
        <v>0</v>
      </c>
    </row>
    <row r="5" spans="1:18" x14ac:dyDescent="0.25">
      <c r="A5" t="str">
        <f>TableOMTEACH1[[#This Row],[Study Package Code]]</f>
        <v>OUMP-TCHEC</v>
      </c>
      <c r="B5" s="1">
        <f>TableOMTEACH1[[#This Row],[Ver]]</f>
        <v>2</v>
      </c>
      <c r="D5" t="str">
        <f>TableOMTEACH1[[#This Row],[Structure Line]]</f>
        <v>Early Childhood Education Major (MTeach OpenUnis)</v>
      </c>
      <c r="E5" s="89">
        <f>TableOMTEACH1[[#This Row],[Credit Points]]</f>
        <v>400</v>
      </c>
      <c r="F5">
        <v>1</v>
      </c>
      <c r="G5" t="s">
        <v>536</v>
      </c>
      <c r="H5">
        <v>1</v>
      </c>
      <c r="I5" t="s">
        <v>537</v>
      </c>
      <c r="J5" t="s">
        <v>127</v>
      </c>
      <c r="K5">
        <v>2</v>
      </c>
      <c r="L5" t="s">
        <v>14</v>
      </c>
      <c r="M5">
        <v>400</v>
      </c>
      <c r="N5" s="187">
        <v>44562</v>
      </c>
      <c r="O5" s="187"/>
      <c r="Q5" t="s">
        <v>127</v>
      </c>
      <c r="R5">
        <v>2</v>
      </c>
    </row>
    <row r="6" spans="1:18" x14ac:dyDescent="0.25">
      <c r="A6" t="str">
        <f>TableOMTEACH1[[#This Row],[Study Package Code]]</f>
        <v>OUMP-TCHPE</v>
      </c>
      <c r="B6" s="1">
        <f>TableOMTEACH1[[#This Row],[Ver]]</f>
        <v>2</v>
      </c>
      <c r="D6" t="str">
        <f>TableOMTEACH1[[#This Row],[Structure Line]]</f>
        <v>Primary Education Major (MTeach OpenUnis)</v>
      </c>
      <c r="E6" s="89">
        <f>TableOMTEACH1[[#This Row],[Credit Points]]</f>
        <v>400</v>
      </c>
      <c r="F6">
        <v>1</v>
      </c>
      <c r="G6" t="s">
        <v>536</v>
      </c>
      <c r="H6">
        <v>1</v>
      </c>
      <c r="I6" t="s">
        <v>537</v>
      </c>
      <c r="J6" t="s">
        <v>128</v>
      </c>
      <c r="K6">
        <v>2</v>
      </c>
      <c r="L6" t="s">
        <v>36</v>
      </c>
      <c r="M6">
        <v>400</v>
      </c>
      <c r="N6" s="187">
        <v>44562</v>
      </c>
      <c r="O6" s="187"/>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9">
        <f>TableOMTEACH1[[#This Row],[Credit Points]]</f>
        <v>400</v>
      </c>
      <c r="F7">
        <v>1</v>
      </c>
      <c r="G7" t="s">
        <v>536</v>
      </c>
      <c r="H7">
        <v>1</v>
      </c>
      <c r="I7" t="s">
        <v>537</v>
      </c>
      <c r="J7" t="s">
        <v>132</v>
      </c>
      <c r="K7">
        <v>3</v>
      </c>
      <c r="L7" t="s">
        <v>131</v>
      </c>
      <c r="M7">
        <v>400</v>
      </c>
      <c r="N7" s="187">
        <v>44562</v>
      </c>
      <c r="O7" s="187"/>
      <c r="Q7" t="s">
        <v>132</v>
      </c>
      <c r="R7">
        <v>3</v>
      </c>
    </row>
    <row r="8" spans="1:18" x14ac:dyDescent="0.25">
      <c r="B8"/>
      <c r="E8"/>
      <c r="F8" s="87"/>
      <c r="G8" s="88" t="s">
        <v>522</v>
      </c>
      <c r="H8" s="249">
        <v>44562</v>
      </c>
      <c r="J8" s="250" t="s">
        <v>127</v>
      </c>
      <c r="K8" s="251" t="s">
        <v>98</v>
      </c>
      <c r="L8" s="119" t="s">
        <v>14</v>
      </c>
      <c r="N8" s="234" t="s">
        <v>524</v>
      </c>
      <c r="O8" s="201">
        <v>45552</v>
      </c>
    </row>
    <row r="9" spans="1:18" x14ac:dyDescent="0.25">
      <c r="A9" t="s">
        <v>0</v>
      </c>
      <c r="B9" s="1" t="s">
        <v>525</v>
      </c>
      <c r="C9" t="s">
        <v>21</v>
      </c>
      <c r="D9" t="s">
        <v>3</v>
      </c>
      <c r="E9" s="89" t="s">
        <v>526</v>
      </c>
      <c r="F9" t="s">
        <v>527</v>
      </c>
      <c r="G9" t="s">
        <v>528</v>
      </c>
      <c r="H9" t="s">
        <v>529</v>
      </c>
      <c r="I9" t="s">
        <v>22</v>
      </c>
      <c r="J9" t="s">
        <v>530</v>
      </c>
      <c r="K9" t="s">
        <v>1</v>
      </c>
      <c r="L9" t="s">
        <v>531</v>
      </c>
      <c r="M9" t="s">
        <v>58</v>
      </c>
      <c r="N9" s="186" t="s">
        <v>532</v>
      </c>
      <c r="O9" s="186" t="s">
        <v>533</v>
      </c>
      <c r="Q9" t="s">
        <v>534</v>
      </c>
      <c r="R9" t="s">
        <v>535</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9">
        <f>TableOUMPTCHEC[[#This Row],[Credit Points]]</f>
        <v>25</v>
      </c>
      <c r="F10">
        <v>1</v>
      </c>
      <c r="G10" t="s">
        <v>539</v>
      </c>
      <c r="H10">
        <v>1</v>
      </c>
      <c r="I10" t="s">
        <v>537</v>
      </c>
      <c r="J10" t="s">
        <v>81</v>
      </c>
      <c r="K10">
        <v>1</v>
      </c>
      <c r="L10" t="s">
        <v>540</v>
      </c>
      <c r="M10">
        <v>25</v>
      </c>
      <c r="N10" s="187">
        <v>44562</v>
      </c>
      <c r="O10" s="187"/>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9">
        <f>TableOUMPTCHEC[[#This Row],[Credit Points]]</f>
        <v>25</v>
      </c>
      <c r="F11">
        <v>2</v>
      </c>
      <c r="G11" t="s">
        <v>539</v>
      </c>
      <c r="H11">
        <v>1</v>
      </c>
      <c r="I11" t="s">
        <v>537</v>
      </c>
      <c r="J11" t="s">
        <v>91</v>
      </c>
      <c r="K11">
        <v>1</v>
      </c>
      <c r="L11" t="s">
        <v>541</v>
      </c>
      <c r="M11">
        <v>25</v>
      </c>
      <c r="N11" s="187">
        <v>43101</v>
      </c>
      <c r="O11" s="187"/>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9">
        <f>TableOUMPTCHEC[[#This Row],[Credit Points]]</f>
        <v>25</v>
      </c>
      <c r="F12">
        <v>3</v>
      </c>
      <c r="G12" t="s">
        <v>539</v>
      </c>
      <c r="H12">
        <v>1</v>
      </c>
      <c r="I12" t="s">
        <v>537</v>
      </c>
      <c r="J12" t="s">
        <v>99</v>
      </c>
      <c r="K12">
        <v>2</v>
      </c>
      <c r="L12" t="s">
        <v>542</v>
      </c>
      <c r="M12">
        <v>25</v>
      </c>
      <c r="N12" s="187">
        <v>44562</v>
      </c>
      <c r="O12" s="187"/>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9">
        <f>TableOUMPTCHEC[[#This Row],[Credit Points]]</f>
        <v>25</v>
      </c>
      <c r="F13">
        <v>4</v>
      </c>
      <c r="G13" t="s">
        <v>539</v>
      </c>
      <c r="H13">
        <v>1</v>
      </c>
      <c r="I13" t="s">
        <v>537</v>
      </c>
      <c r="J13" t="s">
        <v>84</v>
      </c>
      <c r="K13">
        <v>1</v>
      </c>
      <c r="L13" t="s">
        <v>543</v>
      </c>
      <c r="M13">
        <v>25</v>
      </c>
      <c r="N13" s="187">
        <v>43101</v>
      </c>
      <c r="O13" s="187"/>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9">
        <f>TableOUMPTCHEC[[#This Row],[Credit Points]]</f>
        <v>25</v>
      </c>
      <c r="F14">
        <v>5</v>
      </c>
      <c r="G14" t="s">
        <v>539</v>
      </c>
      <c r="H14">
        <v>1</v>
      </c>
      <c r="I14" t="s">
        <v>537</v>
      </c>
      <c r="J14" t="s">
        <v>85</v>
      </c>
      <c r="K14">
        <v>1</v>
      </c>
      <c r="L14" t="s">
        <v>544</v>
      </c>
      <c r="M14">
        <v>25</v>
      </c>
      <c r="N14" s="187">
        <v>43101</v>
      </c>
      <c r="O14" s="187"/>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9">
        <f>TableOUMPTCHEC[[#This Row],[Credit Points]]</f>
        <v>25</v>
      </c>
      <c r="F15">
        <v>6</v>
      </c>
      <c r="G15" t="s">
        <v>539</v>
      </c>
      <c r="H15">
        <v>1</v>
      </c>
      <c r="I15" t="s">
        <v>537</v>
      </c>
      <c r="J15" t="s">
        <v>77</v>
      </c>
      <c r="K15">
        <v>1</v>
      </c>
      <c r="L15" t="s">
        <v>545</v>
      </c>
      <c r="M15">
        <v>25</v>
      </c>
      <c r="N15" s="187">
        <v>43101</v>
      </c>
      <c r="O15" s="187"/>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9">
        <f>TableOUMPTCHEC[[#This Row],[Credit Points]]</f>
        <v>25</v>
      </c>
      <c r="F16">
        <v>7</v>
      </c>
      <c r="G16" t="s">
        <v>539</v>
      </c>
      <c r="H16">
        <v>1</v>
      </c>
      <c r="I16" t="s">
        <v>537</v>
      </c>
      <c r="J16" t="s">
        <v>80</v>
      </c>
      <c r="K16">
        <v>1</v>
      </c>
      <c r="L16" t="s">
        <v>546</v>
      </c>
      <c r="M16">
        <v>25</v>
      </c>
      <c r="N16" s="187">
        <v>42736</v>
      </c>
      <c r="O16" s="187"/>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9">
        <f>TableOUMPTCHEC[[#This Row],[Credit Points]]</f>
        <v>25</v>
      </c>
      <c r="F17">
        <v>8</v>
      </c>
      <c r="G17" t="s">
        <v>539</v>
      </c>
      <c r="H17">
        <v>1</v>
      </c>
      <c r="I17" t="s">
        <v>537</v>
      </c>
      <c r="J17" t="s">
        <v>75</v>
      </c>
      <c r="K17">
        <v>2</v>
      </c>
      <c r="L17" t="s">
        <v>547</v>
      </c>
      <c r="M17">
        <v>25</v>
      </c>
      <c r="N17" s="187">
        <v>44197</v>
      </c>
      <c r="O17" s="187"/>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9">
        <f>TableOUMPTCHEC[[#This Row],[Credit Points]]</f>
        <v>25</v>
      </c>
      <c r="F18">
        <v>9</v>
      </c>
      <c r="G18" t="s">
        <v>539</v>
      </c>
      <c r="H18">
        <v>2</v>
      </c>
      <c r="I18" t="s">
        <v>537</v>
      </c>
      <c r="J18" t="s">
        <v>120</v>
      </c>
      <c r="K18">
        <v>1</v>
      </c>
      <c r="L18" t="s">
        <v>548</v>
      </c>
      <c r="M18">
        <v>25</v>
      </c>
      <c r="N18" s="187">
        <v>44562</v>
      </c>
      <c r="O18" s="187"/>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9">
        <f>TableOUMPTCHEC[[#This Row],[Credit Points]]</f>
        <v>25</v>
      </c>
      <c r="F19">
        <v>10</v>
      </c>
      <c r="G19" t="s">
        <v>539</v>
      </c>
      <c r="H19">
        <v>2</v>
      </c>
      <c r="I19" t="s">
        <v>537</v>
      </c>
      <c r="J19" t="s">
        <v>129</v>
      </c>
      <c r="K19">
        <v>1</v>
      </c>
      <c r="L19" t="s">
        <v>549</v>
      </c>
      <c r="M19">
        <v>25</v>
      </c>
      <c r="N19" s="187">
        <v>44562</v>
      </c>
      <c r="O19" s="187"/>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9">
        <f>TableOUMPTCHEC[[#This Row],[Credit Points]]</f>
        <v>25</v>
      </c>
      <c r="F20">
        <v>11</v>
      </c>
      <c r="G20" t="s">
        <v>539</v>
      </c>
      <c r="H20">
        <v>2</v>
      </c>
      <c r="I20" t="s">
        <v>537</v>
      </c>
      <c r="J20" t="s">
        <v>118</v>
      </c>
      <c r="K20">
        <v>1</v>
      </c>
      <c r="L20" t="s">
        <v>550</v>
      </c>
      <c r="M20">
        <v>25</v>
      </c>
      <c r="N20" s="187">
        <v>43101</v>
      </c>
      <c r="O20" s="187"/>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9">
        <f>TableOUMPTCHEC[[#This Row],[Credit Points]]</f>
        <v>25</v>
      </c>
      <c r="F21">
        <v>12</v>
      </c>
      <c r="G21" t="s">
        <v>539</v>
      </c>
      <c r="H21">
        <v>2</v>
      </c>
      <c r="I21" t="s">
        <v>537</v>
      </c>
      <c r="J21" t="s">
        <v>83</v>
      </c>
      <c r="K21">
        <v>1</v>
      </c>
      <c r="L21" t="s">
        <v>551</v>
      </c>
      <c r="M21">
        <v>25</v>
      </c>
      <c r="N21" s="187">
        <v>43101</v>
      </c>
      <c r="O21" s="187"/>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9">
        <f>TableOUMPTCHEC[[#This Row],[Credit Points]]</f>
        <v>25</v>
      </c>
      <c r="F22">
        <v>13</v>
      </c>
      <c r="G22" t="s">
        <v>539</v>
      </c>
      <c r="H22">
        <v>2</v>
      </c>
      <c r="I22" t="s">
        <v>537</v>
      </c>
      <c r="J22" t="s">
        <v>107</v>
      </c>
      <c r="K22">
        <v>1</v>
      </c>
      <c r="L22" t="s">
        <v>552</v>
      </c>
      <c r="M22">
        <v>25</v>
      </c>
      <c r="N22" s="187">
        <v>43101</v>
      </c>
      <c r="O22" s="187"/>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9">
        <f>TableOUMPTCHEC[[#This Row],[Credit Points]]</f>
        <v>25</v>
      </c>
      <c r="F23">
        <v>14</v>
      </c>
      <c r="G23" t="s">
        <v>539</v>
      </c>
      <c r="H23">
        <v>2</v>
      </c>
      <c r="I23" t="s">
        <v>537</v>
      </c>
      <c r="J23" t="s">
        <v>114</v>
      </c>
      <c r="K23">
        <v>1</v>
      </c>
      <c r="L23" t="s">
        <v>553</v>
      </c>
      <c r="M23">
        <v>25</v>
      </c>
      <c r="N23" s="187">
        <v>44562</v>
      </c>
      <c r="O23" s="187"/>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9">
        <f>TableOUMPTCHEC[[#This Row],[Credit Points]]</f>
        <v>25</v>
      </c>
      <c r="F24">
        <v>15</v>
      </c>
      <c r="G24" t="s">
        <v>539</v>
      </c>
      <c r="H24">
        <v>2</v>
      </c>
      <c r="I24" t="s">
        <v>537</v>
      </c>
      <c r="J24" t="s">
        <v>119</v>
      </c>
      <c r="K24">
        <v>1</v>
      </c>
      <c r="L24" t="s">
        <v>554</v>
      </c>
      <c r="M24">
        <v>25</v>
      </c>
      <c r="N24" s="187">
        <v>44562</v>
      </c>
      <c r="O24" s="187"/>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9">
        <f>TableOUMPTCHEC[[#This Row],[Credit Points]]</f>
        <v>25</v>
      </c>
      <c r="F25">
        <v>16</v>
      </c>
      <c r="G25" t="s">
        <v>539</v>
      </c>
      <c r="H25">
        <v>2</v>
      </c>
      <c r="I25" t="s">
        <v>537</v>
      </c>
      <c r="J25" t="s">
        <v>95</v>
      </c>
      <c r="K25">
        <v>1</v>
      </c>
      <c r="L25" t="s">
        <v>555</v>
      </c>
      <c r="M25">
        <v>25</v>
      </c>
      <c r="N25" s="187">
        <v>42736</v>
      </c>
      <c r="O25" s="187"/>
      <c r="Q25" t="s">
        <v>95</v>
      </c>
      <c r="R25">
        <v>1</v>
      </c>
    </row>
    <row r="26" spans="1:18" x14ac:dyDescent="0.25">
      <c r="B26"/>
      <c r="E26"/>
      <c r="F26" s="87"/>
      <c r="G26" s="88" t="s">
        <v>522</v>
      </c>
      <c r="H26" s="249">
        <v>44562</v>
      </c>
      <c r="J26" s="250" t="s">
        <v>128</v>
      </c>
      <c r="K26" s="251" t="s">
        <v>98</v>
      </c>
      <c r="L26" s="119" t="s">
        <v>36</v>
      </c>
      <c r="N26" s="234" t="s">
        <v>524</v>
      </c>
      <c r="O26" s="201">
        <v>45552</v>
      </c>
    </row>
    <row r="27" spans="1:18" x14ac:dyDescent="0.25">
      <c r="A27" t="s">
        <v>0</v>
      </c>
      <c r="B27" s="1" t="s">
        <v>525</v>
      </c>
      <c r="C27" t="s">
        <v>21</v>
      </c>
      <c r="D27" t="s">
        <v>3</v>
      </c>
      <c r="E27" s="89" t="s">
        <v>526</v>
      </c>
      <c r="F27" t="s">
        <v>527</v>
      </c>
      <c r="G27" t="s">
        <v>528</v>
      </c>
      <c r="H27" t="s">
        <v>529</v>
      </c>
      <c r="I27" t="s">
        <v>22</v>
      </c>
      <c r="J27" t="s">
        <v>530</v>
      </c>
      <c r="K27" t="s">
        <v>1</v>
      </c>
      <c r="L27" t="s">
        <v>531</v>
      </c>
      <c r="M27" t="s">
        <v>58</v>
      </c>
      <c r="N27" s="186" t="s">
        <v>532</v>
      </c>
      <c r="O27" s="186" t="s">
        <v>533</v>
      </c>
      <c r="Q27" t="s">
        <v>534</v>
      </c>
      <c r="R27" t="s">
        <v>535</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9">
        <f>TableOUMPTCHPE[[#This Row],[Credit Points]]</f>
        <v>25</v>
      </c>
      <c r="F28">
        <v>1</v>
      </c>
      <c r="G28" t="s">
        <v>539</v>
      </c>
      <c r="H28">
        <v>1</v>
      </c>
      <c r="I28" t="s">
        <v>537</v>
      </c>
      <c r="J28" t="s">
        <v>81</v>
      </c>
      <c r="K28">
        <v>1</v>
      </c>
      <c r="L28" t="s">
        <v>540</v>
      </c>
      <c r="M28">
        <v>25</v>
      </c>
      <c r="N28" s="187">
        <v>44562</v>
      </c>
      <c r="O28" s="187"/>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9">
        <f>TableOUMPTCHPE[[#This Row],[Credit Points]]</f>
        <v>25</v>
      </c>
      <c r="F29">
        <v>2</v>
      </c>
      <c r="G29" t="s">
        <v>539</v>
      </c>
      <c r="H29">
        <v>1</v>
      </c>
      <c r="I29" t="s">
        <v>537</v>
      </c>
      <c r="J29" t="s">
        <v>87</v>
      </c>
      <c r="K29">
        <v>1</v>
      </c>
      <c r="L29" t="s">
        <v>556</v>
      </c>
      <c r="M29">
        <v>25</v>
      </c>
      <c r="N29" s="187">
        <v>42736</v>
      </c>
      <c r="O29" s="187"/>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9">
        <f>TableOUMPTCHPE[[#This Row],[Credit Points]]</f>
        <v>25</v>
      </c>
      <c r="F30">
        <v>3</v>
      </c>
      <c r="G30" t="s">
        <v>539</v>
      </c>
      <c r="H30">
        <v>1</v>
      </c>
      <c r="I30" t="s">
        <v>537</v>
      </c>
      <c r="J30" t="s">
        <v>92</v>
      </c>
      <c r="K30">
        <v>3</v>
      </c>
      <c r="L30" t="s">
        <v>557</v>
      </c>
      <c r="M30">
        <v>25</v>
      </c>
      <c r="N30" s="187">
        <v>44562</v>
      </c>
      <c r="O30" s="187"/>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9">
        <f>TableOUMPTCHPE[[#This Row],[Credit Points]]</f>
        <v>25</v>
      </c>
      <c r="F31">
        <v>4</v>
      </c>
      <c r="G31" t="s">
        <v>539</v>
      </c>
      <c r="H31">
        <v>1</v>
      </c>
      <c r="I31" t="s">
        <v>537</v>
      </c>
      <c r="J31" t="s">
        <v>80</v>
      </c>
      <c r="K31">
        <v>1</v>
      </c>
      <c r="L31" t="s">
        <v>546</v>
      </c>
      <c r="M31">
        <v>25</v>
      </c>
      <c r="N31" s="187">
        <v>42736</v>
      </c>
      <c r="O31" s="187"/>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9">
        <f>TableOUMPTCHPE[[#This Row],[Credit Points]]</f>
        <v>25</v>
      </c>
      <c r="F32">
        <v>5</v>
      </c>
      <c r="G32" t="s">
        <v>539</v>
      </c>
      <c r="H32">
        <v>1</v>
      </c>
      <c r="I32" t="s">
        <v>537</v>
      </c>
      <c r="J32" t="s">
        <v>86</v>
      </c>
      <c r="K32">
        <v>1</v>
      </c>
      <c r="L32" t="s">
        <v>558</v>
      </c>
      <c r="M32">
        <v>25</v>
      </c>
      <c r="N32" s="187">
        <v>42736</v>
      </c>
      <c r="O32" s="187"/>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9">
        <f>TableOUMPTCHPE[[#This Row],[Credit Points]]</f>
        <v>25</v>
      </c>
      <c r="F33">
        <v>6</v>
      </c>
      <c r="G33" t="s">
        <v>539</v>
      </c>
      <c r="H33">
        <v>1</v>
      </c>
      <c r="I33" t="s">
        <v>537</v>
      </c>
      <c r="J33" t="s">
        <v>100</v>
      </c>
      <c r="K33">
        <v>1</v>
      </c>
      <c r="L33" t="s">
        <v>559</v>
      </c>
      <c r="M33">
        <v>25</v>
      </c>
      <c r="N33" s="187">
        <v>42736</v>
      </c>
      <c r="O33" s="187"/>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9">
        <f>TableOUMPTCHPE[[#This Row],[Credit Points]]</f>
        <v>25</v>
      </c>
      <c r="F34">
        <v>7</v>
      </c>
      <c r="G34" t="s">
        <v>539</v>
      </c>
      <c r="H34">
        <v>1</v>
      </c>
      <c r="I34" t="s">
        <v>537</v>
      </c>
      <c r="J34" t="s">
        <v>75</v>
      </c>
      <c r="K34">
        <v>2</v>
      </c>
      <c r="L34" t="s">
        <v>547</v>
      </c>
      <c r="M34">
        <v>25</v>
      </c>
      <c r="N34" s="187">
        <v>44197</v>
      </c>
      <c r="O34" s="187"/>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9">
        <f>TableOUMPTCHPE[[#This Row],[Credit Points]]</f>
        <v>25</v>
      </c>
      <c r="F35">
        <v>8</v>
      </c>
      <c r="G35" t="s">
        <v>539</v>
      </c>
      <c r="H35">
        <v>1</v>
      </c>
      <c r="I35" t="s">
        <v>537</v>
      </c>
      <c r="J35" t="s">
        <v>95</v>
      </c>
      <c r="K35">
        <v>1</v>
      </c>
      <c r="L35" t="s">
        <v>555</v>
      </c>
      <c r="M35">
        <v>25</v>
      </c>
      <c r="N35" s="187">
        <v>42736</v>
      </c>
      <c r="O35" s="187"/>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9">
        <f>TableOUMPTCHPE[[#This Row],[Credit Points]]</f>
        <v>25</v>
      </c>
      <c r="F36">
        <v>9</v>
      </c>
      <c r="G36" t="s">
        <v>539</v>
      </c>
      <c r="H36">
        <v>2</v>
      </c>
      <c r="I36" t="s">
        <v>537</v>
      </c>
      <c r="J36" t="s">
        <v>120</v>
      </c>
      <c r="K36">
        <v>1</v>
      </c>
      <c r="L36" t="s">
        <v>548</v>
      </c>
      <c r="M36">
        <v>25</v>
      </c>
      <c r="N36" s="187">
        <v>44562</v>
      </c>
      <c r="O36" s="187"/>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9">
        <f>TableOUMPTCHPE[[#This Row],[Credit Points]]</f>
        <v>25</v>
      </c>
      <c r="F37">
        <v>10</v>
      </c>
      <c r="G37" t="s">
        <v>539</v>
      </c>
      <c r="H37">
        <v>2</v>
      </c>
      <c r="I37" t="s">
        <v>537</v>
      </c>
      <c r="J37" t="s">
        <v>129</v>
      </c>
      <c r="K37">
        <v>1</v>
      </c>
      <c r="L37" t="s">
        <v>549</v>
      </c>
      <c r="M37">
        <v>25</v>
      </c>
      <c r="N37" s="187">
        <v>44562</v>
      </c>
      <c r="O37" s="187"/>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9">
        <f>TableOUMPTCHPE[[#This Row],[Credit Points]]</f>
        <v>25</v>
      </c>
      <c r="F38">
        <v>11</v>
      </c>
      <c r="G38" t="s">
        <v>539</v>
      </c>
      <c r="H38">
        <v>2</v>
      </c>
      <c r="I38" t="s">
        <v>537</v>
      </c>
      <c r="J38" t="s">
        <v>122</v>
      </c>
      <c r="K38">
        <v>1</v>
      </c>
      <c r="L38" t="s">
        <v>560</v>
      </c>
      <c r="M38">
        <v>25</v>
      </c>
      <c r="N38" s="187">
        <v>44562</v>
      </c>
      <c r="O38" s="187"/>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9">
        <f>TableOUMPTCHPE[[#This Row],[Credit Points]]</f>
        <v>25</v>
      </c>
      <c r="F39">
        <v>12</v>
      </c>
      <c r="G39" t="s">
        <v>539</v>
      </c>
      <c r="H39">
        <v>2</v>
      </c>
      <c r="I39" t="s">
        <v>537</v>
      </c>
      <c r="J39" t="s">
        <v>108</v>
      </c>
      <c r="K39">
        <v>1</v>
      </c>
      <c r="L39" t="s">
        <v>561</v>
      </c>
      <c r="M39">
        <v>25</v>
      </c>
      <c r="N39" s="187">
        <v>42736</v>
      </c>
      <c r="O39" s="187"/>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9">
        <f>TableOUMPTCHPE[[#This Row],[Credit Points]]</f>
        <v>25</v>
      </c>
      <c r="F40">
        <v>13</v>
      </c>
      <c r="G40" t="s">
        <v>539</v>
      </c>
      <c r="H40">
        <v>2</v>
      </c>
      <c r="I40" t="s">
        <v>537</v>
      </c>
      <c r="J40" t="s">
        <v>116</v>
      </c>
      <c r="K40">
        <v>2</v>
      </c>
      <c r="L40" t="s">
        <v>562</v>
      </c>
      <c r="M40">
        <v>25</v>
      </c>
      <c r="N40" s="187">
        <v>45292</v>
      </c>
      <c r="O40" s="187"/>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9">
        <f>TableOUMPTCHPE[[#This Row],[Credit Points]]</f>
        <v>25</v>
      </c>
      <c r="F41">
        <v>14</v>
      </c>
      <c r="G41" t="s">
        <v>539</v>
      </c>
      <c r="H41">
        <v>2</v>
      </c>
      <c r="I41" t="s">
        <v>537</v>
      </c>
      <c r="J41" t="s">
        <v>115</v>
      </c>
      <c r="K41">
        <v>1</v>
      </c>
      <c r="L41" t="s">
        <v>563</v>
      </c>
      <c r="M41">
        <v>25</v>
      </c>
      <c r="N41" s="187">
        <v>42736</v>
      </c>
      <c r="O41" s="187"/>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9">
        <f>TableOUMPTCHPE[[#This Row],[Credit Points]]</f>
        <v>25</v>
      </c>
      <c r="F42">
        <v>15</v>
      </c>
      <c r="G42" t="s">
        <v>539</v>
      </c>
      <c r="H42">
        <v>2</v>
      </c>
      <c r="I42" t="s">
        <v>537</v>
      </c>
      <c r="J42" t="s">
        <v>121</v>
      </c>
      <c r="K42">
        <v>1</v>
      </c>
      <c r="L42" t="s">
        <v>564</v>
      </c>
      <c r="M42">
        <v>25</v>
      </c>
      <c r="N42" s="187">
        <v>44562</v>
      </c>
      <c r="O42" s="187"/>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9">
        <f>TableOUMPTCHPE[[#This Row],[Credit Points]]</f>
        <v>25</v>
      </c>
      <c r="F43">
        <v>16</v>
      </c>
      <c r="G43" t="s">
        <v>539</v>
      </c>
      <c r="H43">
        <v>2</v>
      </c>
      <c r="I43" t="s">
        <v>537</v>
      </c>
      <c r="J43" t="s">
        <v>96</v>
      </c>
      <c r="K43">
        <v>1</v>
      </c>
      <c r="L43" t="s">
        <v>565</v>
      </c>
      <c r="M43">
        <v>25</v>
      </c>
      <c r="N43" s="187">
        <v>42736</v>
      </c>
      <c r="O43" s="187"/>
      <c r="Q43" t="s">
        <v>96</v>
      </c>
      <c r="R43">
        <v>1</v>
      </c>
    </row>
    <row r="44" spans="1:18" x14ac:dyDescent="0.25">
      <c r="B44"/>
      <c r="E44"/>
      <c r="F44" s="87"/>
      <c r="G44" s="88" t="s">
        <v>522</v>
      </c>
      <c r="H44" s="249">
        <v>44562</v>
      </c>
      <c r="J44" s="250" t="s">
        <v>132</v>
      </c>
      <c r="K44" s="251" t="s">
        <v>133</v>
      </c>
      <c r="L44" s="119" t="s">
        <v>131</v>
      </c>
      <c r="N44" s="234" t="s">
        <v>524</v>
      </c>
      <c r="O44" s="201">
        <v>45552</v>
      </c>
    </row>
    <row r="45" spans="1:18" x14ac:dyDescent="0.25">
      <c r="A45" t="s">
        <v>0</v>
      </c>
      <c r="B45" s="1" t="s">
        <v>525</v>
      </c>
      <c r="C45" t="s">
        <v>21</v>
      </c>
      <c r="D45" t="s">
        <v>3</v>
      </c>
      <c r="E45" s="89" t="s">
        <v>526</v>
      </c>
      <c r="F45" t="s">
        <v>527</v>
      </c>
      <c r="G45" t="s">
        <v>528</v>
      </c>
      <c r="H45" t="s">
        <v>529</v>
      </c>
      <c r="I45" t="s">
        <v>22</v>
      </c>
      <c r="J45" t="s">
        <v>530</v>
      </c>
      <c r="K45" t="s">
        <v>1</v>
      </c>
      <c r="L45" t="s">
        <v>531</v>
      </c>
      <c r="M45" t="s">
        <v>58</v>
      </c>
      <c r="N45" s="186" t="s">
        <v>532</v>
      </c>
      <c r="O45" s="186" t="s">
        <v>533</v>
      </c>
      <c r="Q45" t="s">
        <v>534</v>
      </c>
      <c r="R45" t="s">
        <v>535</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9">
        <f>TableOUMPTCHSE[[#This Row],[Credit Points]]</f>
        <v>25</v>
      </c>
      <c r="F46">
        <v>1</v>
      </c>
      <c r="G46" t="s">
        <v>539</v>
      </c>
      <c r="H46">
        <v>1</v>
      </c>
      <c r="I46" t="s">
        <v>537</v>
      </c>
      <c r="J46" t="s">
        <v>75</v>
      </c>
      <c r="K46">
        <v>2</v>
      </c>
      <c r="L46" t="s">
        <v>547</v>
      </c>
      <c r="M46">
        <v>25</v>
      </c>
      <c r="N46" s="187">
        <v>44197</v>
      </c>
      <c r="O46" s="187"/>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9">
        <f>TableOUMPTCHSE[[#This Row],[Credit Points]]</f>
        <v>25</v>
      </c>
      <c r="F47">
        <v>2</v>
      </c>
      <c r="G47" t="s">
        <v>539</v>
      </c>
      <c r="H47">
        <v>1</v>
      </c>
      <c r="I47" t="s">
        <v>537</v>
      </c>
      <c r="J47" t="s">
        <v>281</v>
      </c>
      <c r="K47">
        <v>1</v>
      </c>
      <c r="L47" t="s">
        <v>566</v>
      </c>
      <c r="M47">
        <v>25</v>
      </c>
      <c r="N47" s="187">
        <v>42736</v>
      </c>
      <c r="O47" s="187"/>
      <c r="Q47" t="s">
        <v>281</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9">
        <f>TableOUMPTCHSE[[#This Row],[Credit Points]]</f>
        <v>25</v>
      </c>
      <c r="F48">
        <v>3</v>
      </c>
      <c r="G48" t="s">
        <v>539</v>
      </c>
      <c r="H48">
        <v>1</v>
      </c>
      <c r="I48" t="s">
        <v>537</v>
      </c>
      <c r="J48" t="s">
        <v>282</v>
      </c>
      <c r="K48">
        <v>1</v>
      </c>
      <c r="L48" t="s">
        <v>567</v>
      </c>
      <c r="M48">
        <v>25</v>
      </c>
      <c r="N48" s="187">
        <v>42736</v>
      </c>
      <c r="O48" s="187"/>
      <c r="Q48" t="s">
        <v>282</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9">
        <f>TableOUMPTCHSE[[#This Row],[Credit Points]]</f>
        <v>25</v>
      </c>
      <c r="F49">
        <v>4</v>
      </c>
      <c r="G49" t="s">
        <v>539</v>
      </c>
      <c r="H49">
        <v>1</v>
      </c>
      <c r="I49" t="s">
        <v>537</v>
      </c>
      <c r="J49" t="s">
        <v>290</v>
      </c>
      <c r="K49">
        <v>1</v>
      </c>
      <c r="L49" t="s">
        <v>568</v>
      </c>
      <c r="M49">
        <v>25</v>
      </c>
      <c r="N49" s="187">
        <v>42736</v>
      </c>
      <c r="O49" s="187"/>
      <c r="Q49" t="s">
        <v>290</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9">
        <f>TableOUMPTCHSE[[#This Row],[Credit Points]]</f>
        <v>25</v>
      </c>
      <c r="F50">
        <v>5</v>
      </c>
      <c r="G50" t="s">
        <v>539</v>
      </c>
      <c r="H50">
        <v>1</v>
      </c>
      <c r="I50" t="s">
        <v>537</v>
      </c>
      <c r="J50" t="s">
        <v>262</v>
      </c>
      <c r="K50">
        <v>1</v>
      </c>
      <c r="L50" t="s">
        <v>569</v>
      </c>
      <c r="M50">
        <v>25</v>
      </c>
      <c r="N50" s="187">
        <v>42736</v>
      </c>
      <c r="O50" s="187"/>
      <c r="Q50" t="s">
        <v>262</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9">
        <f>TableOUMPTCHSE[[#This Row],[Credit Points]]</f>
        <v>25</v>
      </c>
      <c r="F51">
        <v>6</v>
      </c>
      <c r="G51" t="s">
        <v>539</v>
      </c>
      <c r="H51">
        <v>1</v>
      </c>
      <c r="I51" t="s">
        <v>537</v>
      </c>
      <c r="J51" t="s">
        <v>294</v>
      </c>
      <c r="K51">
        <v>1</v>
      </c>
      <c r="L51" t="s">
        <v>570</v>
      </c>
      <c r="M51">
        <v>25</v>
      </c>
      <c r="N51" s="187">
        <v>42736</v>
      </c>
      <c r="O51" s="187"/>
      <c r="Q51" t="s">
        <v>294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9">
        <f>TableOUMPTCHSE[[#This Row],[Credit Points]]</f>
        <v>50</v>
      </c>
      <c r="F52">
        <v>7</v>
      </c>
      <c r="G52" t="s">
        <v>571</v>
      </c>
      <c r="H52">
        <v>1</v>
      </c>
      <c r="I52" t="s">
        <v>537</v>
      </c>
      <c r="J52" t="s">
        <v>498</v>
      </c>
      <c r="K52">
        <v>0</v>
      </c>
      <c r="L52" t="s">
        <v>499</v>
      </c>
      <c r="M52">
        <v>50</v>
      </c>
      <c r="N52" s="187"/>
      <c r="O52" s="187"/>
      <c r="Q52" t="s">
        <v>498</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9">
        <f>TableOUMPTCHSE[[#This Row],[Credit Points]]</f>
        <v>25</v>
      </c>
      <c r="F53">
        <v>8</v>
      </c>
      <c r="G53" t="s">
        <v>539</v>
      </c>
      <c r="H53">
        <v>2</v>
      </c>
      <c r="I53" t="s">
        <v>537</v>
      </c>
      <c r="J53" t="s">
        <v>120</v>
      </c>
      <c r="K53">
        <v>1</v>
      </c>
      <c r="L53" t="s">
        <v>548</v>
      </c>
      <c r="M53">
        <v>25</v>
      </c>
      <c r="N53" s="187">
        <v>44562</v>
      </c>
      <c r="O53" s="187"/>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9">
        <f>TableOUMPTCHSE[[#This Row],[Credit Points]]</f>
        <v>25</v>
      </c>
      <c r="F54">
        <v>9</v>
      </c>
      <c r="G54" t="s">
        <v>539</v>
      </c>
      <c r="H54">
        <v>2</v>
      </c>
      <c r="I54" t="s">
        <v>537</v>
      </c>
      <c r="J54" t="s">
        <v>129</v>
      </c>
      <c r="K54">
        <v>1</v>
      </c>
      <c r="L54" t="s">
        <v>549</v>
      </c>
      <c r="M54">
        <v>25</v>
      </c>
      <c r="N54" s="187">
        <v>44562</v>
      </c>
      <c r="O54" s="187"/>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9">
        <f>TableOUMPTCHSE[[#This Row],[Credit Points]]</f>
        <v>25</v>
      </c>
      <c r="F55">
        <v>10</v>
      </c>
      <c r="G55" t="s">
        <v>539</v>
      </c>
      <c r="H55">
        <v>2</v>
      </c>
      <c r="I55" t="s">
        <v>537</v>
      </c>
      <c r="J55" t="s">
        <v>122</v>
      </c>
      <c r="K55">
        <v>1</v>
      </c>
      <c r="L55" t="s">
        <v>560</v>
      </c>
      <c r="M55">
        <v>25</v>
      </c>
      <c r="N55" s="187">
        <v>44562</v>
      </c>
      <c r="O55" s="187"/>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9">
        <f>TableOUMPTCHSE[[#This Row],[Credit Points]]</f>
        <v>25</v>
      </c>
      <c r="F56">
        <v>11</v>
      </c>
      <c r="G56" t="s">
        <v>539</v>
      </c>
      <c r="H56">
        <v>2</v>
      </c>
      <c r="I56" t="s">
        <v>537</v>
      </c>
      <c r="J56" t="s">
        <v>96</v>
      </c>
      <c r="K56">
        <v>1</v>
      </c>
      <c r="L56" t="s">
        <v>565</v>
      </c>
      <c r="M56">
        <v>25</v>
      </c>
      <c r="N56" s="187">
        <v>42736</v>
      </c>
      <c r="O56" s="187"/>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9">
        <f>TableOUMPTCHSE[[#This Row],[Credit Points]]</f>
        <v>25</v>
      </c>
      <c r="F57">
        <v>12</v>
      </c>
      <c r="G57" t="s">
        <v>539</v>
      </c>
      <c r="H57">
        <v>2</v>
      </c>
      <c r="I57" t="s">
        <v>537</v>
      </c>
      <c r="J57" t="s">
        <v>95</v>
      </c>
      <c r="K57">
        <v>1</v>
      </c>
      <c r="L57" t="s">
        <v>555</v>
      </c>
      <c r="M57">
        <v>25</v>
      </c>
      <c r="N57" s="187">
        <v>42736</v>
      </c>
      <c r="O57" s="187"/>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9">
        <f>TableOUMPTCHSE[[#This Row],[Credit Points]]</f>
        <v>25</v>
      </c>
      <c r="F58">
        <v>13</v>
      </c>
      <c r="G58" t="s">
        <v>539</v>
      </c>
      <c r="H58">
        <v>2</v>
      </c>
      <c r="I58" t="s">
        <v>537</v>
      </c>
      <c r="J58" t="s">
        <v>302</v>
      </c>
      <c r="K58">
        <v>1</v>
      </c>
      <c r="L58" t="s">
        <v>572</v>
      </c>
      <c r="M58">
        <v>25</v>
      </c>
      <c r="N58" s="187">
        <v>44562</v>
      </c>
      <c r="O58" s="187"/>
      <c r="Q58" t="s">
        <v>302</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9">
        <f>TableOUMPTCHSE[[#This Row],[Credit Points]]</f>
        <v>50</v>
      </c>
      <c r="F59">
        <v>14</v>
      </c>
      <c r="G59" t="s">
        <v>571</v>
      </c>
      <c r="H59">
        <v>2</v>
      </c>
      <c r="I59" t="s">
        <v>537</v>
      </c>
      <c r="J59" t="s">
        <v>516</v>
      </c>
      <c r="K59">
        <v>0</v>
      </c>
      <c r="L59" t="s">
        <v>499</v>
      </c>
      <c r="M59">
        <v>50</v>
      </c>
      <c r="N59" s="187"/>
      <c r="O59" s="187"/>
      <c r="Q59" t="s">
        <v>516</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9">
        <f>TableOUMPTCHSE[[#This Row],[Credit Points]]</f>
        <v>25</v>
      </c>
      <c r="F60">
        <v>7</v>
      </c>
      <c r="G60" t="s">
        <v>571</v>
      </c>
      <c r="H60">
        <v>1</v>
      </c>
      <c r="I60" t="s">
        <v>537</v>
      </c>
      <c r="J60" t="s">
        <v>315</v>
      </c>
      <c r="K60">
        <v>1</v>
      </c>
      <c r="L60" t="s">
        <v>573</v>
      </c>
      <c r="M60">
        <v>25</v>
      </c>
      <c r="N60" s="187">
        <v>42736</v>
      </c>
      <c r="O60" s="187"/>
      <c r="Q60" t="s">
        <v>315</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9">
        <f>TableOUMPTCHSE[[#This Row],[Credit Points]]</f>
        <v>25</v>
      </c>
      <c r="F61">
        <v>7</v>
      </c>
      <c r="G61" t="s">
        <v>571</v>
      </c>
      <c r="H61">
        <v>1</v>
      </c>
      <c r="I61" t="s">
        <v>537</v>
      </c>
      <c r="J61" t="s">
        <v>316</v>
      </c>
      <c r="K61">
        <v>1</v>
      </c>
      <c r="L61" t="s">
        <v>574</v>
      </c>
      <c r="M61">
        <v>25</v>
      </c>
      <c r="N61" s="187">
        <v>42736</v>
      </c>
      <c r="O61" s="187"/>
      <c r="Q61" t="s">
        <v>316</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9">
        <f>TableOUMPTCHSE[[#This Row],[Credit Points]]</f>
        <v>25</v>
      </c>
      <c r="F62">
        <v>7</v>
      </c>
      <c r="G62" t="s">
        <v>571</v>
      </c>
      <c r="H62">
        <v>1</v>
      </c>
      <c r="I62" t="s">
        <v>537</v>
      </c>
      <c r="J62" t="s">
        <v>318</v>
      </c>
      <c r="K62">
        <v>1</v>
      </c>
      <c r="L62" t="s">
        <v>575</v>
      </c>
      <c r="M62">
        <v>25</v>
      </c>
      <c r="N62" s="187">
        <v>42736</v>
      </c>
      <c r="O62" s="187"/>
      <c r="Q62" t="s">
        <v>318</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9">
        <f>TableOUMPTCHSE[[#This Row],[Credit Points]]</f>
        <v>25</v>
      </c>
      <c r="F63">
        <v>7</v>
      </c>
      <c r="G63" t="s">
        <v>571</v>
      </c>
      <c r="H63">
        <v>1</v>
      </c>
      <c r="I63" t="s">
        <v>537</v>
      </c>
      <c r="J63" t="s">
        <v>319</v>
      </c>
      <c r="K63">
        <v>1</v>
      </c>
      <c r="L63" t="s">
        <v>576</v>
      </c>
      <c r="M63">
        <v>25</v>
      </c>
      <c r="N63" s="187">
        <v>42736</v>
      </c>
      <c r="O63" s="187"/>
      <c r="Q63" t="s">
        <v>319</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9">
        <f>TableOUMPTCHSE[[#This Row],[Credit Points]]</f>
        <v>25</v>
      </c>
      <c r="F64">
        <v>7</v>
      </c>
      <c r="G64" t="s">
        <v>571</v>
      </c>
      <c r="H64">
        <v>1</v>
      </c>
      <c r="I64" t="s">
        <v>537</v>
      </c>
      <c r="J64" t="s">
        <v>320</v>
      </c>
      <c r="K64">
        <v>1</v>
      </c>
      <c r="L64" t="s">
        <v>577</v>
      </c>
      <c r="M64">
        <v>25</v>
      </c>
      <c r="N64" s="187">
        <v>42736</v>
      </c>
      <c r="O64" s="187"/>
      <c r="Q64" t="s">
        <v>320</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9">
        <f>TableOUMPTCHSE[[#This Row],[Credit Points]]</f>
        <v>25</v>
      </c>
      <c r="F65">
        <v>7</v>
      </c>
      <c r="G65" t="s">
        <v>571</v>
      </c>
      <c r="H65">
        <v>1</v>
      </c>
      <c r="I65" t="s">
        <v>537</v>
      </c>
      <c r="J65" t="s">
        <v>323</v>
      </c>
      <c r="K65">
        <v>2</v>
      </c>
      <c r="L65" t="s">
        <v>578</v>
      </c>
      <c r="M65">
        <v>25</v>
      </c>
      <c r="N65" s="187">
        <v>43831</v>
      </c>
      <c r="O65" s="187"/>
      <c r="Q65" t="s">
        <v>323</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9">
        <f>TableOUMPTCHSE[[#This Row],[Credit Points]]</f>
        <v>25</v>
      </c>
      <c r="F66">
        <v>7</v>
      </c>
      <c r="G66" t="s">
        <v>571</v>
      </c>
      <c r="H66">
        <v>1</v>
      </c>
      <c r="I66" t="s">
        <v>537</v>
      </c>
      <c r="J66" t="s">
        <v>326</v>
      </c>
      <c r="K66">
        <v>2</v>
      </c>
      <c r="L66" t="s">
        <v>579</v>
      </c>
      <c r="M66">
        <v>25</v>
      </c>
      <c r="N66" s="187">
        <v>43831</v>
      </c>
      <c r="O66" s="187"/>
      <c r="Q66" t="s">
        <v>326</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9">
        <f>TableOUMPTCHSE[[#This Row],[Credit Points]]</f>
        <v>25</v>
      </c>
      <c r="F67">
        <v>7</v>
      </c>
      <c r="G67" t="s">
        <v>571</v>
      </c>
      <c r="H67">
        <v>1</v>
      </c>
      <c r="I67" t="s">
        <v>537</v>
      </c>
      <c r="J67" t="s">
        <v>327</v>
      </c>
      <c r="K67">
        <v>2</v>
      </c>
      <c r="L67" t="s">
        <v>580</v>
      </c>
      <c r="M67">
        <v>25</v>
      </c>
      <c r="N67" s="187">
        <v>43831</v>
      </c>
      <c r="O67" s="187"/>
      <c r="Q67" t="s">
        <v>327</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9">
        <f>TableOUMPTCHSE[[#This Row],[Credit Points]]</f>
        <v>25</v>
      </c>
      <c r="F68">
        <v>7</v>
      </c>
      <c r="G68" t="s">
        <v>571</v>
      </c>
      <c r="H68">
        <v>1</v>
      </c>
      <c r="I68" t="s">
        <v>537</v>
      </c>
      <c r="J68" t="s">
        <v>328</v>
      </c>
      <c r="K68">
        <v>2</v>
      </c>
      <c r="L68" t="s">
        <v>581</v>
      </c>
      <c r="M68">
        <v>25</v>
      </c>
      <c r="N68" s="187">
        <v>43831</v>
      </c>
      <c r="O68" s="187"/>
      <c r="Q68" t="s">
        <v>328</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9">
        <f>TableOUMPTCHSE[[#This Row],[Credit Points]]</f>
        <v>25</v>
      </c>
      <c r="F69">
        <v>7</v>
      </c>
      <c r="G69" t="s">
        <v>571</v>
      </c>
      <c r="H69">
        <v>1</v>
      </c>
      <c r="I69" t="s">
        <v>537</v>
      </c>
      <c r="J69" t="s">
        <v>324</v>
      </c>
      <c r="K69">
        <v>1</v>
      </c>
      <c r="L69" t="s">
        <v>582</v>
      </c>
      <c r="M69">
        <v>25</v>
      </c>
      <c r="N69" s="187">
        <v>43831</v>
      </c>
      <c r="O69" s="187"/>
      <c r="Q69" t="s">
        <v>324</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9">
        <f>TableOUMPTCHSE[[#This Row],[Credit Points]]</f>
        <v>25</v>
      </c>
      <c r="F70">
        <v>7</v>
      </c>
      <c r="G70" t="s">
        <v>571</v>
      </c>
      <c r="H70">
        <v>1</v>
      </c>
      <c r="I70" t="s">
        <v>537</v>
      </c>
      <c r="J70" t="s">
        <v>317</v>
      </c>
      <c r="K70">
        <v>1</v>
      </c>
      <c r="L70" t="s">
        <v>583</v>
      </c>
      <c r="M70">
        <v>25</v>
      </c>
      <c r="N70" s="187">
        <v>43831</v>
      </c>
      <c r="O70" s="187"/>
      <c r="Q70" t="s">
        <v>317</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9">
        <f>TableOUMPTCHSE[[#This Row],[Credit Points]]</f>
        <v>25</v>
      </c>
      <c r="F71">
        <v>7</v>
      </c>
      <c r="G71" t="s">
        <v>571</v>
      </c>
      <c r="H71">
        <v>1</v>
      </c>
      <c r="I71" t="s">
        <v>537</v>
      </c>
      <c r="J71" t="s">
        <v>325</v>
      </c>
      <c r="K71">
        <v>1</v>
      </c>
      <c r="L71" t="s">
        <v>584</v>
      </c>
      <c r="M71">
        <v>25</v>
      </c>
      <c r="N71" s="187">
        <v>43831</v>
      </c>
      <c r="O71" s="187"/>
      <c r="Q71" t="s">
        <v>325</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9">
        <f>TableOUMPTCHSE[[#This Row],[Credit Points]]</f>
        <v>25</v>
      </c>
      <c r="F72">
        <v>14</v>
      </c>
      <c r="G72" t="s">
        <v>571</v>
      </c>
      <c r="H72">
        <v>2</v>
      </c>
      <c r="I72" t="s">
        <v>537</v>
      </c>
      <c r="J72" t="s">
        <v>315</v>
      </c>
      <c r="K72">
        <v>1</v>
      </c>
      <c r="L72" t="s">
        <v>573</v>
      </c>
      <c r="M72">
        <v>25</v>
      </c>
      <c r="N72" s="187">
        <v>42736</v>
      </c>
      <c r="O72" s="187"/>
      <c r="Q72" t="s">
        <v>315</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9">
        <f>TableOUMPTCHSE[[#This Row],[Credit Points]]</f>
        <v>25</v>
      </c>
      <c r="F73">
        <v>14</v>
      </c>
      <c r="G73" t="s">
        <v>571</v>
      </c>
      <c r="H73">
        <v>2</v>
      </c>
      <c r="I73" t="s">
        <v>537</v>
      </c>
      <c r="J73" t="s">
        <v>316</v>
      </c>
      <c r="K73">
        <v>1</v>
      </c>
      <c r="L73" t="s">
        <v>574</v>
      </c>
      <c r="M73">
        <v>25</v>
      </c>
      <c r="N73" s="187">
        <v>42736</v>
      </c>
      <c r="O73" s="187"/>
      <c r="Q73" t="s">
        <v>316</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9">
        <f>TableOUMPTCHSE[[#This Row],[Credit Points]]</f>
        <v>25</v>
      </c>
      <c r="F74">
        <v>14</v>
      </c>
      <c r="G74" t="s">
        <v>571</v>
      </c>
      <c r="H74">
        <v>2</v>
      </c>
      <c r="I74" t="s">
        <v>537</v>
      </c>
      <c r="J74" t="s">
        <v>318</v>
      </c>
      <c r="K74">
        <v>1</v>
      </c>
      <c r="L74" t="s">
        <v>575</v>
      </c>
      <c r="M74">
        <v>25</v>
      </c>
      <c r="N74" s="187">
        <v>42736</v>
      </c>
      <c r="O74" s="187"/>
      <c r="Q74" t="s">
        <v>318</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9">
        <f>TableOUMPTCHSE[[#This Row],[Credit Points]]</f>
        <v>25</v>
      </c>
      <c r="F75">
        <v>14</v>
      </c>
      <c r="G75" t="s">
        <v>571</v>
      </c>
      <c r="H75">
        <v>2</v>
      </c>
      <c r="I75" t="s">
        <v>537</v>
      </c>
      <c r="J75" t="s">
        <v>319</v>
      </c>
      <c r="K75">
        <v>1</v>
      </c>
      <c r="L75" t="s">
        <v>576</v>
      </c>
      <c r="M75">
        <v>25</v>
      </c>
      <c r="N75" s="187">
        <v>42736</v>
      </c>
      <c r="O75" s="187"/>
      <c r="Q75" t="s">
        <v>319</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9">
        <f>TableOUMPTCHSE[[#This Row],[Credit Points]]</f>
        <v>25</v>
      </c>
      <c r="F76">
        <v>14</v>
      </c>
      <c r="G76" t="s">
        <v>571</v>
      </c>
      <c r="H76">
        <v>2</v>
      </c>
      <c r="I76" t="s">
        <v>537</v>
      </c>
      <c r="J76" t="s">
        <v>320</v>
      </c>
      <c r="K76">
        <v>1</v>
      </c>
      <c r="L76" t="s">
        <v>577</v>
      </c>
      <c r="M76">
        <v>25</v>
      </c>
      <c r="N76" s="187">
        <v>42736</v>
      </c>
      <c r="O76" s="187"/>
      <c r="Q76" t="s">
        <v>320</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9">
        <f>TableOUMPTCHSE[[#This Row],[Credit Points]]</f>
        <v>25</v>
      </c>
      <c r="F77">
        <v>14</v>
      </c>
      <c r="G77" t="s">
        <v>571</v>
      </c>
      <c r="H77">
        <v>2</v>
      </c>
      <c r="I77" t="s">
        <v>537</v>
      </c>
      <c r="J77" t="s">
        <v>323</v>
      </c>
      <c r="K77">
        <v>2</v>
      </c>
      <c r="L77" t="s">
        <v>578</v>
      </c>
      <c r="M77">
        <v>25</v>
      </c>
      <c r="N77" s="187">
        <v>43831</v>
      </c>
      <c r="O77" s="187"/>
      <c r="Q77" t="s">
        <v>323</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9">
        <f>TableOUMPTCHSE[[#This Row],[Credit Points]]</f>
        <v>25</v>
      </c>
      <c r="F78">
        <v>14</v>
      </c>
      <c r="G78" t="s">
        <v>571</v>
      </c>
      <c r="H78">
        <v>2</v>
      </c>
      <c r="I78" t="s">
        <v>537</v>
      </c>
      <c r="J78" t="s">
        <v>326</v>
      </c>
      <c r="K78">
        <v>2</v>
      </c>
      <c r="L78" t="s">
        <v>579</v>
      </c>
      <c r="M78">
        <v>25</v>
      </c>
      <c r="N78" s="187">
        <v>43831</v>
      </c>
      <c r="O78" s="187"/>
      <c r="Q78" t="s">
        <v>326</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9">
        <f>TableOUMPTCHSE[[#This Row],[Credit Points]]</f>
        <v>25</v>
      </c>
      <c r="F79">
        <v>14</v>
      </c>
      <c r="G79" t="s">
        <v>571</v>
      </c>
      <c r="H79">
        <v>2</v>
      </c>
      <c r="I79" t="s">
        <v>537</v>
      </c>
      <c r="J79" t="s">
        <v>327</v>
      </c>
      <c r="K79">
        <v>2</v>
      </c>
      <c r="L79" t="s">
        <v>580</v>
      </c>
      <c r="M79">
        <v>25</v>
      </c>
      <c r="N79" s="187">
        <v>43831</v>
      </c>
      <c r="O79" s="187"/>
      <c r="Q79" t="s">
        <v>327</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9">
        <f>TableOUMPTCHSE[[#This Row],[Credit Points]]</f>
        <v>25</v>
      </c>
      <c r="F80">
        <v>14</v>
      </c>
      <c r="G80" t="s">
        <v>571</v>
      </c>
      <c r="H80">
        <v>2</v>
      </c>
      <c r="I80" t="s">
        <v>537</v>
      </c>
      <c r="J80" t="s">
        <v>328</v>
      </c>
      <c r="K80">
        <v>2</v>
      </c>
      <c r="L80" t="s">
        <v>581</v>
      </c>
      <c r="M80">
        <v>25</v>
      </c>
      <c r="N80" s="187">
        <v>43831</v>
      </c>
      <c r="O80" s="187"/>
      <c r="Q80" t="s">
        <v>328</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9">
        <f>TableOUMPTCHSE[[#This Row],[Credit Points]]</f>
        <v>25</v>
      </c>
      <c r="F81">
        <v>14</v>
      </c>
      <c r="G81" t="s">
        <v>571</v>
      </c>
      <c r="H81">
        <v>2</v>
      </c>
      <c r="I81" t="s">
        <v>537</v>
      </c>
      <c r="J81" t="s">
        <v>324</v>
      </c>
      <c r="K81">
        <v>1</v>
      </c>
      <c r="L81" t="s">
        <v>582</v>
      </c>
      <c r="M81">
        <v>25</v>
      </c>
      <c r="N81" s="187">
        <v>43831</v>
      </c>
      <c r="O81" s="187"/>
      <c r="Q81" t="s">
        <v>324</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9">
        <f>TableOUMPTCHSE[[#This Row],[Credit Points]]</f>
        <v>25</v>
      </c>
      <c r="F82">
        <v>14</v>
      </c>
      <c r="G82" t="s">
        <v>571</v>
      </c>
      <c r="H82">
        <v>2</v>
      </c>
      <c r="I82" t="s">
        <v>537</v>
      </c>
      <c r="J82" t="s">
        <v>317</v>
      </c>
      <c r="K82">
        <v>1</v>
      </c>
      <c r="L82" t="s">
        <v>583</v>
      </c>
      <c r="M82">
        <v>25</v>
      </c>
      <c r="N82" s="187">
        <v>43831</v>
      </c>
      <c r="O82" s="187"/>
      <c r="Q82" t="s">
        <v>317</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9">
        <f>TableOUMPTCHSE[[#This Row],[Credit Points]]</f>
        <v>25</v>
      </c>
      <c r="F83">
        <v>14</v>
      </c>
      <c r="G83" t="s">
        <v>571</v>
      </c>
      <c r="H83">
        <v>2</v>
      </c>
      <c r="I83" t="s">
        <v>537</v>
      </c>
      <c r="J83" t="s">
        <v>325</v>
      </c>
      <c r="K83">
        <v>1</v>
      </c>
      <c r="L83" t="s">
        <v>584</v>
      </c>
      <c r="M83">
        <v>25</v>
      </c>
      <c r="N83" s="187">
        <v>43831</v>
      </c>
      <c r="O83" s="187"/>
      <c r="Q83" t="s">
        <v>325</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9">
        <f>TableOUMPTCHSE[[#This Row],[Credit Points]]</f>
        <v>25</v>
      </c>
      <c r="F84">
        <v>14</v>
      </c>
      <c r="G84" t="s">
        <v>571</v>
      </c>
      <c r="H84">
        <v>2</v>
      </c>
      <c r="I84" t="s">
        <v>537</v>
      </c>
      <c r="J84" t="s">
        <v>333</v>
      </c>
      <c r="K84">
        <v>1</v>
      </c>
      <c r="L84" t="s">
        <v>585</v>
      </c>
      <c r="M84">
        <v>25</v>
      </c>
      <c r="N84" s="187">
        <v>44562</v>
      </c>
      <c r="O84" s="187"/>
      <c r="Q84" t="s">
        <v>333</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9">
        <f>TableOUMPTCHSE[[#This Row],[Credit Points]]</f>
        <v>25</v>
      </c>
      <c r="F85">
        <v>14</v>
      </c>
      <c r="G85" t="s">
        <v>571</v>
      </c>
      <c r="H85">
        <v>2</v>
      </c>
      <c r="I85" t="s">
        <v>537</v>
      </c>
      <c r="J85" t="s">
        <v>263</v>
      </c>
      <c r="K85">
        <v>1</v>
      </c>
      <c r="L85" t="s">
        <v>586</v>
      </c>
      <c r="M85">
        <v>25</v>
      </c>
      <c r="N85" s="187">
        <v>44562</v>
      </c>
      <c r="O85" s="187"/>
      <c r="Q85" t="s">
        <v>263</v>
      </c>
      <c r="R85">
        <v>1</v>
      </c>
    </row>
    <row r="86" spans="1:18" x14ac:dyDescent="0.25">
      <c r="B86"/>
      <c r="E86"/>
    </row>
    <row r="87" spans="1:18" x14ac:dyDescent="0.25">
      <c r="B87"/>
      <c r="E87"/>
      <c r="F87" s="87"/>
      <c r="G87" s="88" t="s">
        <v>522</v>
      </c>
      <c r="H87" s="249">
        <v>43647</v>
      </c>
      <c r="J87" s="250" t="s">
        <v>109</v>
      </c>
      <c r="K87" s="251" t="s">
        <v>71</v>
      </c>
      <c r="L87" s="119" t="s">
        <v>42</v>
      </c>
      <c r="N87" s="234" t="s">
        <v>524</v>
      </c>
      <c r="O87" s="201">
        <v>45552</v>
      </c>
    </row>
    <row r="88" spans="1:18" x14ac:dyDescent="0.25">
      <c r="A88" t="s">
        <v>0</v>
      </c>
      <c r="B88" s="1" t="s">
        <v>525</v>
      </c>
      <c r="C88" t="s">
        <v>21</v>
      </c>
      <c r="D88" t="s">
        <v>3</v>
      </c>
      <c r="E88" s="89" t="s">
        <v>526</v>
      </c>
      <c r="F88" t="s">
        <v>527</v>
      </c>
      <c r="G88" t="s">
        <v>528</v>
      </c>
      <c r="H88" t="s">
        <v>529</v>
      </c>
      <c r="I88" t="s">
        <v>22</v>
      </c>
      <c r="J88" t="s">
        <v>530</v>
      </c>
      <c r="K88" t="s">
        <v>1</v>
      </c>
      <c r="L88" t="s">
        <v>531</v>
      </c>
      <c r="M88" t="s">
        <v>58</v>
      </c>
      <c r="N88" s="186" t="s">
        <v>532</v>
      </c>
      <c r="O88" s="186" t="s">
        <v>533</v>
      </c>
      <c r="Q88" t="s">
        <v>534</v>
      </c>
      <c r="R88" t="s">
        <v>535</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9">
        <f>TableOMAPLING[[#This Row],[Credit Points]]</f>
        <v>50</v>
      </c>
      <c r="F89">
        <v>1</v>
      </c>
      <c r="G89" t="s">
        <v>539</v>
      </c>
      <c r="H89">
        <v>1</v>
      </c>
      <c r="I89" t="s">
        <v>537</v>
      </c>
      <c r="J89" t="s">
        <v>178</v>
      </c>
      <c r="K89">
        <v>2</v>
      </c>
      <c r="L89" t="s">
        <v>587</v>
      </c>
      <c r="M89">
        <v>50</v>
      </c>
      <c r="N89" s="187">
        <v>44562</v>
      </c>
      <c r="O89" s="187"/>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9">
        <f>TableOMAPLING[[#This Row],[Credit Points]]</f>
        <v>25</v>
      </c>
      <c r="F90">
        <v>2</v>
      </c>
      <c r="G90" t="s">
        <v>539</v>
      </c>
      <c r="H90">
        <v>1</v>
      </c>
      <c r="I90" t="s">
        <v>537</v>
      </c>
      <c r="J90" t="s">
        <v>230</v>
      </c>
      <c r="K90">
        <v>1</v>
      </c>
      <c r="L90" t="s">
        <v>588</v>
      </c>
      <c r="M90">
        <v>25</v>
      </c>
      <c r="N90" s="187">
        <v>42552</v>
      </c>
      <c r="O90" s="187"/>
      <c r="Q90" t="s">
        <v>230</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9">
        <f>TableOMAPLING[[#This Row],[Credit Points]]</f>
        <v>25</v>
      </c>
      <c r="F91">
        <v>3</v>
      </c>
      <c r="G91" t="s">
        <v>539</v>
      </c>
      <c r="H91">
        <v>1</v>
      </c>
      <c r="I91" t="s">
        <v>537</v>
      </c>
      <c r="J91" t="s">
        <v>170</v>
      </c>
      <c r="K91">
        <v>2</v>
      </c>
      <c r="L91" t="s">
        <v>589</v>
      </c>
      <c r="M91">
        <v>25</v>
      </c>
      <c r="N91" s="187">
        <v>44562</v>
      </c>
      <c r="O91" s="187"/>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9">
        <f>TableOMAPLING[[#This Row],[Credit Points]]</f>
        <v>25</v>
      </c>
      <c r="F92">
        <v>4</v>
      </c>
      <c r="G92" t="s">
        <v>539</v>
      </c>
      <c r="H92">
        <v>1</v>
      </c>
      <c r="I92" t="s">
        <v>537</v>
      </c>
      <c r="J92" t="s">
        <v>179</v>
      </c>
      <c r="K92">
        <v>1</v>
      </c>
      <c r="L92" t="s">
        <v>590</v>
      </c>
      <c r="M92">
        <v>25</v>
      </c>
      <c r="N92" s="187">
        <v>42736</v>
      </c>
      <c r="O92" s="187"/>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9">
        <f>TableOMAPLING[[#This Row],[Credit Points]]</f>
        <v>25</v>
      </c>
      <c r="F93">
        <v>5</v>
      </c>
      <c r="G93" t="s">
        <v>539</v>
      </c>
      <c r="H93">
        <v>1</v>
      </c>
      <c r="I93" t="s">
        <v>537</v>
      </c>
      <c r="J93" t="s">
        <v>231</v>
      </c>
      <c r="K93">
        <v>1</v>
      </c>
      <c r="L93" t="s">
        <v>591</v>
      </c>
      <c r="M93">
        <v>25</v>
      </c>
      <c r="N93" s="187">
        <v>42736</v>
      </c>
      <c r="O93" s="187"/>
      <c r="Q93" t="s">
        <v>231</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9">
        <f>TableOMAPLING[[#This Row],[Credit Points]]</f>
        <v>25</v>
      </c>
      <c r="F94">
        <v>6</v>
      </c>
      <c r="G94" t="s">
        <v>539</v>
      </c>
      <c r="H94">
        <v>1</v>
      </c>
      <c r="I94" t="s">
        <v>537</v>
      </c>
      <c r="J94" t="s">
        <v>226</v>
      </c>
      <c r="K94">
        <v>1</v>
      </c>
      <c r="L94" t="s">
        <v>592</v>
      </c>
      <c r="M94">
        <v>25</v>
      </c>
      <c r="N94" s="187">
        <v>43647</v>
      </c>
      <c r="O94" s="187"/>
      <c r="Q94" t="s">
        <v>226</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9">
        <f>TableOMAPLING[[#This Row],[Credit Points]]</f>
        <v>25</v>
      </c>
      <c r="F95">
        <v>7</v>
      </c>
      <c r="G95" t="s">
        <v>539</v>
      </c>
      <c r="H95">
        <v>1</v>
      </c>
      <c r="I95" t="s">
        <v>537</v>
      </c>
      <c r="J95" t="s">
        <v>225</v>
      </c>
      <c r="K95">
        <v>1</v>
      </c>
      <c r="L95" t="s">
        <v>593</v>
      </c>
      <c r="M95">
        <v>25</v>
      </c>
      <c r="N95" s="187">
        <v>43647</v>
      </c>
      <c r="O95" s="187"/>
      <c r="Q95" t="s">
        <v>225</v>
      </c>
      <c r="R95">
        <v>1</v>
      </c>
    </row>
    <row r="96" spans="1:18" x14ac:dyDescent="0.25">
      <c r="B96"/>
      <c r="E96"/>
      <c r="F96" s="87"/>
      <c r="G96" s="88" t="s">
        <v>522</v>
      </c>
      <c r="H96" s="249">
        <v>44197</v>
      </c>
      <c r="J96" s="250" t="s">
        <v>94</v>
      </c>
      <c r="K96" s="251" t="s">
        <v>71</v>
      </c>
      <c r="L96" s="119" t="s">
        <v>93</v>
      </c>
      <c r="N96" s="234" t="s">
        <v>524</v>
      </c>
      <c r="O96" s="201">
        <v>45552</v>
      </c>
    </row>
    <row r="97" spans="1:18" x14ac:dyDescent="0.25">
      <c r="A97" t="s">
        <v>0</v>
      </c>
      <c r="B97" s="1" t="s">
        <v>525</v>
      </c>
      <c r="C97" t="s">
        <v>21</v>
      </c>
      <c r="D97" t="s">
        <v>3</v>
      </c>
      <c r="E97" s="89" t="s">
        <v>526</v>
      </c>
      <c r="F97" t="s">
        <v>527</v>
      </c>
      <c r="G97" t="s">
        <v>528</v>
      </c>
      <c r="H97" t="s">
        <v>529</v>
      </c>
      <c r="I97" t="s">
        <v>22</v>
      </c>
      <c r="J97" t="s">
        <v>530</v>
      </c>
      <c r="K97" t="s">
        <v>1</v>
      </c>
      <c r="L97" t="s">
        <v>531</v>
      </c>
      <c r="M97" t="s">
        <v>58</v>
      </c>
      <c r="N97" s="186" t="s">
        <v>532</v>
      </c>
      <c r="O97" s="186" t="s">
        <v>533</v>
      </c>
      <c r="Q97" t="s">
        <v>534</v>
      </c>
      <c r="R97" t="s">
        <v>535</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9">
        <f>TableOCTESOL1[[#This Row],[Credit Points]]</f>
        <v>25</v>
      </c>
      <c r="F98">
        <v>1</v>
      </c>
      <c r="G98" t="s">
        <v>539</v>
      </c>
      <c r="H98">
        <v>1</v>
      </c>
      <c r="I98" t="s">
        <v>537</v>
      </c>
      <c r="J98" t="s">
        <v>223</v>
      </c>
      <c r="K98">
        <v>1</v>
      </c>
      <c r="L98" t="s">
        <v>594</v>
      </c>
      <c r="M98">
        <v>25</v>
      </c>
      <c r="N98" s="187">
        <v>42736</v>
      </c>
      <c r="O98" s="187"/>
      <c r="Q98" t="s">
        <v>223</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9">
        <f>TableOCTESOL1[[#This Row],[Credit Points]]</f>
        <v>25</v>
      </c>
      <c r="F99">
        <v>2</v>
      </c>
      <c r="G99" t="s">
        <v>539</v>
      </c>
      <c r="H99">
        <v>1</v>
      </c>
      <c r="I99" t="s">
        <v>537</v>
      </c>
      <c r="J99" t="s">
        <v>224</v>
      </c>
      <c r="K99">
        <v>1</v>
      </c>
      <c r="L99" t="s">
        <v>595</v>
      </c>
      <c r="M99">
        <v>25</v>
      </c>
      <c r="N99" s="187">
        <v>42736</v>
      </c>
      <c r="O99" s="187"/>
      <c r="Q99" t="s">
        <v>224</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9">
        <f>TableOCTESOL1[[#This Row],[Credit Points]]</f>
        <v>25</v>
      </c>
      <c r="F100">
        <v>3</v>
      </c>
      <c r="G100" t="s">
        <v>539</v>
      </c>
      <c r="H100">
        <v>1</v>
      </c>
      <c r="I100" t="s">
        <v>537</v>
      </c>
      <c r="J100" t="s">
        <v>229</v>
      </c>
      <c r="K100">
        <v>1</v>
      </c>
      <c r="L100" t="s">
        <v>596</v>
      </c>
      <c r="M100">
        <v>25</v>
      </c>
      <c r="N100" s="187">
        <v>42736</v>
      </c>
      <c r="O100" s="187"/>
      <c r="Q100" t="s">
        <v>229</v>
      </c>
      <c r="R100">
        <v>1</v>
      </c>
    </row>
    <row r="101" spans="1:18" x14ac:dyDescent="0.25">
      <c r="A101" t="str">
        <f>TableOCTESOL1[[#This Row],[Study Package Code]]</f>
        <v>AC-TESOL</v>
      </c>
      <c r="B101" s="1">
        <f>TableOCTESOL1[[#This Row],[Ver]]</f>
        <v>0</v>
      </c>
      <c r="D101" t="str">
        <f>TableOCTESOL1[[#This Row],[Structure Line]]</f>
        <v>Choose TESOL501 or TESOL505</v>
      </c>
      <c r="E101" s="89">
        <f>TableOCTESOL1[[#This Row],[Credit Points]]</f>
        <v>25</v>
      </c>
      <c r="F101">
        <v>4</v>
      </c>
      <c r="G101" t="s">
        <v>536</v>
      </c>
      <c r="H101">
        <v>1</v>
      </c>
      <c r="I101" t="s">
        <v>537</v>
      </c>
      <c r="J101" t="s">
        <v>228</v>
      </c>
      <c r="K101">
        <v>0</v>
      </c>
      <c r="L101" t="s">
        <v>597</v>
      </c>
      <c r="M101">
        <v>25</v>
      </c>
      <c r="N101" s="187"/>
      <c r="O101" s="187"/>
      <c r="Q101" t="s">
        <v>598</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9">
        <f>TableOCTESOL1[[#This Row],[Credit Points]]</f>
        <v>25</v>
      </c>
      <c r="F102">
        <v>4</v>
      </c>
      <c r="G102" t="s">
        <v>536</v>
      </c>
      <c r="H102">
        <v>1</v>
      </c>
      <c r="I102" t="s">
        <v>537</v>
      </c>
      <c r="J102" t="s">
        <v>239</v>
      </c>
      <c r="K102">
        <v>1</v>
      </c>
      <c r="L102" t="s">
        <v>599</v>
      </c>
      <c r="M102">
        <v>25</v>
      </c>
      <c r="N102" s="187">
        <v>42736</v>
      </c>
      <c r="O102" s="187"/>
      <c r="Q102" t="s">
        <v>239</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9">
        <f>TableOCTESOL1[[#This Row],[Credit Points]]</f>
        <v>25</v>
      </c>
      <c r="F103">
        <v>4</v>
      </c>
      <c r="G103" t="s">
        <v>536</v>
      </c>
      <c r="H103">
        <v>1</v>
      </c>
      <c r="I103" t="s">
        <v>537</v>
      </c>
      <c r="J103" t="s">
        <v>242</v>
      </c>
      <c r="K103">
        <v>2</v>
      </c>
      <c r="L103" t="s">
        <v>600</v>
      </c>
      <c r="M103">
        <v>25</v>
      </c>
      <c r="N103" s="187">
        <v>44562</v>
      </c>
      <c r="O103" s="187"/>
      <c r="Q103" t="s">
        <v>242</v>
      </c>
      <c r="R103">
        <v>2</v>
      </c>
    </row>
    <row r="104" spans="1:18" x14ac:dyDescent="0.25">
      <c r="B104"/>
      <c r="E104"/>
      <c r="F104" s="87"/>
      <c r="G104" s="88" t="s">
        <v>522</v>
      </c>
      <c r="H104" s="249">
        <v>42736</v>
      </c>
      <c r="J104" s="250" t="s">
        <v>97</v>
      </c>
      <c r="K104" s="251" t="s">
        <v>98</v>
      </c>
      <c r="L104" s="119" t="s">
        <v>43</v>
      </c>
      <c r="N104" s="234" t="s">
        <v>524</v>
      </c>
      <c r="O104" s="201">
        <v>45552</v>
      </c>
    </row>
    <row r="105" spans="1:18" x14ac:dyDescent="0.25">
      <c r="A105" t="s">
        <v>0</v>
      </c>
      <c r="B105" s="1" t="s">
        <v>525</v>
      </c>
      <c r="C105" t="s">
        <v>21</v>
      </c>
      <c r="D105" t="s">
        <v>3</v>
      </c>
      <c r="E105" s="89" t="s">
        <v>526</v>
      </c>
      <c r="F105" t="s">
        <v>527</v>
      </c>
      <c r="G105" t="s">
        <v>528</v>
      </c>
      <c r="H105" t="s">
        <v>529</v>
      </c>
      <c r="I105" t="s">
        <v>22</v>
      </c>
      <c r="J105" t="s">
        <v>530</v>
      </c>
      <c r="K105" t="s">
        <v>1</v>
      </c>
      <c r="L105" t="s">
        <v>531</v>
      </c>
      <c r="M105" t="s">
        <v>58</v>
      </c>
      <c r="N105" s="186" t="s">
        <v>532</v>
      </c>
      <c r="O105" s="186" t="s">
        <v>533</v>
      </c>
      <c r="Q105" t="s">
        <v>534</v>
      </c>
      <c r="R105" t="s">
        <v>535</v>
      </c>
    </row>
    <row r="106" spans="1:18" x14ac:dyDescent="0.25">
      <c r="A106" t="str">
        <f>TableOCTESOL[[#This Row],[Study Package Code]]</f>
        <v>AC-TESOL</v>
      </c>
      <c r="B106" s="1">
        <f>TableOCTESOL[[#This Row],[Ver]]</f>
        <v>0</v>
      </c>
      <c r="D106" t="str">
        <f>TableOCTESOL[[#This Row],[Structure Line]]</f>
        <v>Choose TESOL501 or TESOL505</v>
      </c>
      <c r="E106" s="89">
        <f>TableOCTESOL[[#This Row],[Credit Points]]</f>
        <v>25</v>
      </c>
      <c r="F106">
        <v>1</v>
      </c>
      <c r="G106" t="s">
        <v>536</v>
      </c>
      <c r="H106">
        <v>0</v>
      </c>
      <c r="I106" t="s">
        <v>537</v>
      </c>
      <c r="J106" t="s">
        <v>228</v>
      </c>
      <c r="K106">
        <v>0</v>
      </c>
      <c r="L106" t="s">
        <v>597</v>
      </c>
      <c r="M106">
        <v>25</v>
      </c>
      <c r="N106" s="187"/>
      <c r="O106" s="187"/>
      <c r="Q106" t="s">
        <v>598</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9">
        <f>TableOCTESOL[[#This Row],[Credit Points]]</f>
        <v>25</v>
      </c>
      <c r="F107">
        <v>2</v>
      </c>
      <c r="G107" t="s">
        <v>539</v>
      </c>
      <c r="H107">
        <v>0</v>
      </c>
      <c r="I107" t="s">
        <v>537</v>
      </c>
      <c r="J107" t="s">
        <v>223</v>
      </c>
      <c r="K107">
        <v>1</v>
      </c>
      <c r="L107" t="s">
        <v>594</v>
      </c>
      <c r="M107">
        <v>25</v>
      </c>
      <c r="N107" s="187">
        <v>42736</v>
      </c>
      <c r="O107" s="187"/>
      <c r="Q107" t="s">
        <v>223</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9">
        <f>TableOCTESOL[[#This Row],[Credit Points]]</f>
        <v>25</v>
      </c>
      <c r="F108">
        <v>3</v>
      </c>
      <c r="G108" t="s">
        <v>539</v>
      </c>
      <c r="H108">
        <v>0</v>
      </c>
      <c r="I108" t="s">
        <v>537</v>
      </c>
      <c r="J108" t="s">
        <v>224</v>
      </c>
      <c r="K108">
        <v>1</v>
      </c>
      <c r="L108" t="s">
        <v>595</v>
      </c>
      <c r="M108">
        <v>25</v>
      </c>
      <c r="N108" s="187">
        <v>42736</v>
      </c>
      <c r="O108" s="187"/>
      <c r="Q108" t="s">
        <v>224</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9">
        <f>TableOCTESOL[[#This Row],[Credit Points]]</f>
        <v>25</v>
      </c>
      <c r="F109">
        <v>4</v>
      </c>
      <c r="G109" t="s">
        <v>539</v>
      </c>
      <c r="H109">
        <v>0</v>
      </c>
      <c r="I109" t="s">
        <v>537</v>
      </c>
      <c r="J109" t="s">
        <v>229</v>
      </c>
      <c r="K109">
        <v>1</v>
      </c>
      <c r="L109" t="s">
        <v>596</v>
      </c>
      <c r="M109">
        <v>25</v>
      </c>
      <c r="N109" s="187">
        <v>42736</v>
      </c>
      <c r="O109" s="187"/>
      <c r="Q109" t="s">
        <v>229</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9">
        <f>TableOCTESOL[[#This Row],[Credit Points]]</f>
        <v>25</v>
      </c>
      <c r="F110">
        <v>1</v>
      </c>
      <c r="G110" t="s">
        <v>536</v>
      </c>
      <c r="H110">
        <v>0</v>
      </c>
      <c r="I110" t="s">
        <v>537</v>
      </c>
      <c r="J110" t="s">
        <v>239</v>
      </c>
      <c r="K110">
        <v>1</v>
      </c>
      <c r="L110" t="s">
        <v>599</v>
      </c>
      <c r="M110">
        <v>25</v>
      </c>
      <c r="N110" s="187">
        <v>42736</v>
      </c>
      <c r="O110" s="187"/>
      <c r="Q110" t="s">
        <v>239</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9">
        <f>TableOCTESOL[[#This Row],[Credit Points]]</f>
        <v>25</v>
      </c>
      <c r="F111">
        <v>1</v>
      </c>
      <c r="G111" t="s">
        <v>536</v>
      </c>
      <c r="H111">
        <v>0</v>
      </c>
      <c r="I111" t="s">
        <v>537</v>
      </c>
      <c r="J111" t="s">
        <v>242</v>
      </c>
      <c r="K111">
        <v>2</v>
      </c>
      <c r="L111" t="s">
        <v>600</v>
      </c>
      <c r="M111">
        <v>25</v>
      </c>
      <c r="N111" s="187">
        <v>44562</v>
      </c>
      <c r="O111" s="187"/>
      <c r="Q111" t="s">
        <v>242</v>
      </c>
      <c r="R111">
        <v>2</v>
      </c>
    </row>
    <row r="113" spans="1:18" x14ac:dyDescent="0.25">
      <c r="B113"/>
      <c r="E113"/>
      <c r="F113" s="87"/>
      <c r="G113" s="88" t="s">
        <v>522</v>
      </c>
      <c r="H113" s="249">
        <v>44562</v>
      </c>
      <c r="J113" s="250" t="s">
        <v>117</v>
      </c>
      <c r="K113" s="251" t="s">
        <v>98</v>
      </c>
      <c r="L113" s="119" t="s">
        <v>37</v>
      </c>
      <c r="N113" s="234" t="s">
        <v>524</v>
      </c>
      <c r="O113" s="201">
        <v>45552</v>
      </c>
    </row>
    <row r="114" spans="1:18" x14ac:dyDescent="0.25">
      <c r="A114" t="s">
        <v>0</v>
      </c>
      <c r="B114" s="1" t="s">
        <v>525</v>
      </c>
      <c r="C114" t="s">
        <v>21</v>
      </c>
      <c r="D114" t="s">
        <v>3</v>
      </c>
      <c r="E114" s="89" t="s">
        <v>526</v>
      </c>
      <c r="F114" t="s">
        <v>527</v>
      </c>
      <c r="G114" t="s">
        <v>528</v>
      </c>
      <c r="H114" t="s">
        <v>529</v>
      </c>
      <c r="I114" t="s">
        <v>22</v>
      </c>
      <c r="J114" t="s">
        <v>530</v>
      </c>
      <c r="K114" t="s">
        <v>1</v>
      </c>
      <c r="L114" t="s">
        <v>531</v>
      </c>
      <c r="M114" t="s">
        <v>58</v>
      </c>
      <c r="N114" s="186" t="s">
        <v>532</v>
      </c>
      <c r="O114" s="186" t="s">
        <v>533</v>
      </c>
      <c r="Q114" t="s">
        <v>534</v>
      </c>
      <c r="R114" t="s">
        <v>535</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9">
        <f>TableOMEDUC[[#This Row],[Credit Points]]</f>
        <v>25</v>
      </c>
      <c r="F115">
        <v>1</v>
      </c>
      <c r="G115" t="s">
        <v>539</v>
      </c>
      <c r="H115">
        <v>1</v>
      </c>
      <c r="I115" t="s">
        <v>537</v>
      </c>
      <c r="J115" t="s">
        <v>162</v>
      </c>
      <c r="K115">
        <v>2</v>
      </c>
      <c r="L115" t="s">
        <v>601</v>
      </c>
      <c r="M115">
        <v>25</v>
      </c>
      <c r="N115" s="187">
        <v>44562</v>
      </c>
      <c r="O115" s="187"/>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9">
        <f>TableOMEDUC[[#This Row],[Credit Points]]</f>
        <v>50</v>
      </c>
      <c r="F116">
        <v>2</v>
      </c>
      <c r="G116" t="s">
        <v>539</v>
      </c>
      <c r="H116">
        <v>1</v>
      </c>
      <c r="I116" t="s">
        <v>537</v>
      </c>
      <c r="J116" t="s">
        <v>178</v>
      </c>
      <c r="K116">
        <v>2</v>
      </c>
      <c r="L116" t="s">
        <v>587</v>
      </c>
      <c r="M116">
        <v>50</v>
      </c>
      <c r="N116" s="187">
        <v>44562</v>
      </c>
      <c r="O116" s="187"/>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9">
        <f>TableOMEDUC[[#This Row],[Credit Points]]</f>
        <v>25</v>
      </c>
      <c r="F117">
        <v>3</v>
      </c>
      <c r="G117" t="s">
        <v>539</v>
      </c>
      <c r="H117">
        <v>1</v>
      </c>
      <c r="I117" t="s">
        <v>537</v>
      </c>
      <c r="J117" t="s">
        <v>164</v>
      </c>
      <c r="K117">
        <v>1</v>
      </c>
      <c r="L117" t="s">
        <v>602</v>
      </c>
      <c r="M117">
        <v>25</v>
      </c>
      <c r="N117" s="187">
        <v>44562</v>
      </c>
      <c r="O117" s="187"/>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9">
        <f>TableOMEDUC[[#This Row],[Credit Points]]</f>
        <v>100</v>
      </c>
      <c r="F118">
        <v>4</v>
      </c>
      <c r="G118" t="s">
        <v>571</v>
      </c>
      <c r="H118">
        <v>1</v>
      </c>
      <c r="I118" t="s">
        <v>537</v>
      </c>
      <c r="J118" t="s">
        <v>512</v>
      </c>
      <c r="K118">
        <v>0</v>
      </c>
      <c r="L118" t="s">
        <v>513</v>
      </c>
      <c r="M118">
        <v>100</v>
      </c>
      <c r="N118" s="187"/>
      <c r="O118" s="187"/>
      <c r="Q118" t="s">
        <v>603</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9">
        <f>TableOMEDUC[[#This Row],[Credit Points]]</f>
        <v>25</v>
      </c>
      <c r="F119">
        <v>4</v>
      </c>
      <c r="G119" t="s">
        <v>571</v>
      </c>
      <c r="H119">
        <v>1</v>
      </c>
      <c r="I119" t="s">
        <v>537</v>
      </c>
      <c r="J119" t="s">
        <v>170</v>
      </c>
      <c r="K119">
        <v>2</v>
      </c>
      <c r="L119" t="s">
        <v>589</v>
      </c>
      <c r="M119">
        <v>25</v>
      </c>
      <c r="N119" s="187">
        <v>44562</v>
      </c>
      <c r="O119" s="187"/>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9">
        <f>TableOMEDUC[[#This Row],[Credit Points]]</f>
        <v>25</v>
      </c>
      <c r="F120">
        <v>4</v>
      </c>
      <c r="G120" t="s">
        <v>571</v>
      </c>
      <c r="H120">
        <v>1</v>
      </c>
      <c r="I120" t="s">
        <v>537</v>
      </c>
      <c r="J120" t="s">
        <v>174</v>
      </c>
      <c r="K120">
        <v>1</v>
      </c>
      <c r="L120" t="s">
        <v>604</v>
      </c>
      <c r="M120">
        <v>25</v>
      </c>
      <c r="N120" s="187">
        <v>44562</v>
      </c>
      <c r="O120" s="187"/>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9">
        <f>TableOMEDUC[[#This Row],[Credit Points]]</f>
        <v>25</v>
      </c>
      <c r="F121">
        <v>4</v>
      </c>
      <c r="G121" t="s">
        <v>571</v>
      </c>
      <c r="H121">
        <v>1</v>
      </c>
      <c r="I121" t="s">
        <v>537</v>
      </c>
      <c r="J121" t="s">
        <v>180</v>
      </c>
      <c r="K121">
        <v>1</v>
      </c>
      <c r="L121" t="s">
        <v>605</v>
      </c>
      <c r="M121">
        <v>25</v>
      </c>
      <c r="N121" s="187">
        <v>44562</v>
      </c>
      <c r="O121" s="187"/>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9">
        <f>TableOMEDUC[[#This Row],[Credit Points]]</f>
        <v>25</v>
      </c>
      <c r="F122">
        <v>4</v>
      </c>
      <c r="G122" t="s">
        <v>571</v>
      </c>
      <c r="H122">
        <v>1</v>
      </c>
      <c r="I122" t="s">
        <v>537</v>
      </c>
      <c r="J122" t="s">
        <v>169</v>
      </c>
      <c r="K122">
        <v>1</v>
      </c>
      <c r="L122" t="s">
        <v>606</v>
      </c>
      <c r="M122">
        <v>25</v>
      </c>
      <c r="N122" s="187">
        <v>44562</v>
      </c>
      <c r="O122" s="187"/>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9">
        <f>TableOMEDUC[[#This Row],[Credit Points]]</f>
        <v>25</v>
      </c>
      <c r="F123">
        <v>4</v>
      </c>
      <c r="G123" t="s">
        <v>571</v>
      </c>
      <c r="H123">
        <v>1</v>
      </c>
      <c r="I123" t="s">
        <v>537</v>
      </c>
      <c r="J123" t="s">
        <v>171</v>
      </c>
      <c r="K123">
        <v>1</v>
      </c>
      <c r="L123" t="s">
        <v>607</v>
      </c>
      <c r="M123">
        <v>25</v>
      </c>
      <c r="N123" s="187">
        <v>44562</v>
      </c>
      <c r="O123" s="187"/>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9">
        <f>TableOMEDUC[[#This Row],[Credit Points]]</f>
        <v>25</v>
      </c>
      <c r="F124">
        <v>4</v>
      </c>
      <c r="G124" t="s">
        <v>571</v>
      </c>
      <c r="H124">
        <v>1</v>
      </c>
      <c r="I124" t="s">
        <v>537</v>
      </c>
      <c r="J124" t="s">
        <v>168</v>
      </c>
      <c r="K124">
        <v>1</v>
      </c>
      <c r="L124" t="s">
        <v>608</v>
      </c>
      <c r="M124">
        <v>25</v>
      </c>
      <c r="N124" s="187">
        <v>44562</v>
      </c>
      <c r="O124" s="187"/>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9">
        <f>TableOMEDUC[[#This Row],[Credit Points]]</f>
        <v>25</v>
      </c>
      <c r="F125">
        <v>4</v>
      </c>
      <c r="G125" t="s">
        <v>571</v>
      </c>
      <c r="H125">
        <v>1</v>
      </c>
      <c r="I125" t="s">
        <v>537</v>
      </c>
      <c r="J125" t="s">
        <v>172</v>
      </c>
      <c r="K125">
        <v>1</v>
      </c>
      <c r="L125" t="s">
        <v>609</v>
      </c>
      <c r="M125">
        <v>25</v>
      </c>
      <c r="N125" s="187">
        <v>44562</v>
      </c>
      <c r="O125" s="187"/>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9">
        <f>TableOMEDUC[[#This Row],[Credit Points]]</f>
        <v>25</v>
      </c>
      <c r="F126">
        <v>4</v>
      </c>
      <c r="G126" t="s">
        <v>571</v>
      </c>
      <c r="H126">
        <v>1</v>
      </c>
      <c r="I126" t="s">
        <v>537</v>
      </c>
      <c r="J126" t="s">
        <v>173</v>
      </c>
      <c r="K126">
        <v>1</v>
      </c>
      <c r="L126" t="s">
        <v>610</v>
      </c>
      <c r="M126">
        <v>25</v>
      </c>
      <c r="N126" s="187">
        <v>44562</v>
      </c>
      <c r="O126" s="187"/>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9">
        <f>TableOMEDUC[[#This Row],[Credit Points]]</f>
        <v>25</v>
      </c>
      <c r="F127">
        <v>4</v>
      </c>
      <c r="G127" t="s">
        <v>571</v>
      </c>
      <c r="H127">
        <v>1</v>
      </c>
      <c r="I127" t="s">
        <v>537</v>
      </c>
      <c r="J127" t="s">
        <v>179</v>
      </c>
      <c r="K127">
        <v>1</v>
      </c>
      <c r="L127" t="s">
        <v>590</v>
      </c>
      <c r="M127">
        <v>25</v>
      </c>
      <c r="N127" s="187">
        <v>42736</v>
      </c>
      <c r="O127" s="187"/>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9">
        <f>TableOMEDUC[[#This Row],[Credit Points]]</f>
        <v>100</v>
      </c>
      <c r="F128">
        <v>4</v>
      </c>
      <c r="G128" t="s">
        <v>571</v>
      </c>
      <c r="H128">
        <v>1</v>
      </c>
      <c r="I128" t="s">
        <v>537</v>
      </c>
      <c r="J128" t="s">
        <v>182</v>
      </c>
      <c r="K128">
        <v>1</v>
      </c>
      <c r="L128" t="s">
        <v>181</v>
      </c>
      <c r="M128">
        <v>100</v>
      </c>
      <c r="N128" s="187">
        <v>44562</v>
      </c>
      <c r="O128" s="187"/>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9">
        <f>TableOMEDUC[[#This Row],[Credit Points]]</f>
        <v>100</v>
      </c>
      <c r="F129">
        <v>4</v>
      </c>
      <c r="G129" t="s">
        <v>571</v>
      </c>
      <c r="H129">
        <v>1</v>
      </c>
      <c r="I129" t="s">
        <v>537</v>
      </c>
      <c r="J129" t="s">
        <v>185</v>
      </c>
      <c r="K129">
        <v>1</v>
      </c>
      <c r="L129" t="s">
        <v>184</v>
      </c>
      <c r="M129">
        <v>100</v>
      </c>
      <c r="N129" s="187">
        <v>44562</v>
      </c>
      <c r="O129" s="187"/>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9">
        <f>TableOMEDUC[[#This Row],[Credit Points]]</f>
        <v>100</v>
      </c>
      <c r="F130">
        <v>4</v>
      </c>
      <c r="G130" t="s">
        <v>571</v>
      </c>
      <c r="H130">
        <v>1</v>
      </c>
      <c r="I130" t="s">
        <v>537</v>
      </c>
      <c r="J130" t="s">
        <v>187</v>
      </c>
      <c r="K130">
        <v>1</v>
      </c>
      <c r="L130" t="s">
        <v>186</v>
      </c>
      <c r="M130">
        <v>100</v>
      </c>
      <c r="N130" s="187">
        <v>44562</v>
      </c>
      <c r="O130" s="187"/>
      <c r="Q130" t="s">
        <v>187</v>
      </c>
      <c r="R130">
        <v>1</v>
      </c>
    </row>
    <row r="131" spans="1:18" x14ac:dyDescent="0.25">
      <c r="B131"/>
      <c r="E131"/>
      <c r="F131" s="87"/>
      <c r="G131" s="88" t="s">
        <v>522</v>
      </c>
      <c r="H131" s="249">
        <v>44562</v>
      </c>
      <c r="J131" s="250" t="s">
        <v>182</v>
      </c>
      <c r="K131" s="251" t="s">
        <v>71</v>
      </c>
      <c r="L131" s="119" t="s">
        <v>181</v>
      </c>
      <c r="N131" s="234" t="s">
        <v>524</v>
      </c>
      <c r="O131" s="201">
        <v>45552</v>
      </c>
    </row>
    <row r="132" spans="1:18" x14ac:dyDescent="0.25">
      <c r="A132" t="s">
        <v>0</v>
      </c>
      <c r="B132" s="1" t="s">
        <v>525</v>
      </c>
      <c r="C132" t="s">
        <v>21</v>
      </c>
      <c r="D132" t="s">
        <v>3</v>
      </c>
      <c r="E132" s="89" t="s">
        <v>526</v>
      </c>
      <c r="F132" t="s">
        <v>527</v>
      </c>
      <c r="G132" t="s">
        <v>528</v>
      </c>
      <c r="H132" t="s">
        <v>529</v>
      </c>
      <c r="I132" t="s">
        <v>22</v>
      </c>
      <c r="J132" t="s">
        <v>530</v>
      </c>
      <c r="K132" t="s">
        <v>1</v>
      </c>
      <c r="L132" t="s">
        <v>531</v>
      </c>
      <c r="M132" t="s">
        <v>58</v>
      </c>
      <c r="N132" s="186" t="s">
        <v>532</v>
      </c>
      <c r="O132" s="186" t="s">
        <v>533</v>
      </c>
      <c r="Q132" t="s">
        <v>534</v>
      </c>
      <c r="R132" t="s">
        <v>535</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9">
        <f>TableOSEPCULIN[[#This Row],[Credit Points]]</f>
        <v>25</v>
      </c>
      <c r="F133">
        <v>1</v>
      </c>
      <c r="G133" t="s">
        <v>539</v>
      </c>
      <c r="H133">
        <v>1</v>
      </c>
      <c r="I133" t="s">
        <v>537</v>
      </c>
      <c r="J133" t="s">
        <v>170</v>
      </c>
      <c r="K133">
        <v>2</v>
      </c>
      <c r="L133" t="s">
        <v>589</v>
      </c>
      <c r="M133">
        <v>25</v>
      </c>
      <c r="N133" s="187">
        <v>44562</v>
      </c>
      <c r="O133" s="187"/>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9">
        <f>TableOSEPCULIN[[#This Row],[Credit Points]]</f>
        <v>25</v>
      </c>
      <c r="F134">
        <v>2</v>
      </c>
      <c r="G134" t="s">
        <v>539</v>
      </c>
      <c r="H134">
        <v>1</v>
      </c>
      <c r="I134" t="s">
        <v>537</v>
      </c>
      <c r="J134" t="s">
        <v>179</v>
      </c>
      <c r="K134">
        <v>1</v>
      </c>
      <c r="L134" t="s">
        <v>590</v>
      </c>
      <c r="M134">
        <v>25</v>
      </c>
      <c r="N134" s="187">
        <v>42736</v>
      </c>
      <c r="O134" s="187"/>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9">
        <f>TableOSEPCULIN[[#This Row],[Credit Points]]</f>
        <v>25</v>
      </c>
      <c r="F135">
        <v>3</v>
      </c>
      <c r="G135" t="s">
        <v>539</v>
      </c>
      <c r="H135">
        <v>1</v>
      </c>
      <c r="I135" t="s">
        <v>537</v>
      </c>
      <c r="J135" t="s">
        <v>168</v>
      </c>
      <c r="K135">
        <v>1</v>
      </c>
      <c r="L135" t="s">
        <v>608</v>
      </c>
      <c r="M135">
        <v>25</v>
      </c>
      <c r="N135" s="187">
        <v>44562</v>
      </c>
      <c r="O135" s="187"/>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9">
        <f>TableOSEPCULIN[[#This Row],[Credit Points]]</f>
        <v>25</v>
      </c>
      <c r="F136">
        <v>4</v>
      </c>
      <c r="G136" t="s">
        <v>539</v>
      </c>
      <c r="H136">
        <v>1</v>
      </c>
      <c r="I136" t="s">
        <v>537</v>
      </c>
      <c r="J136" t="s">
        <v>169</v>
      </c>
      <c r="K136">
        <v>1</v>
      </c>
      <c r="L136" t="s">
        <v>606</v>
      </c>
      <c r="M136">
        <v>25</v>
      </c>
      <c r="N136" s="187">
        <v>44562</v>
      </c>
      <c r="O136" s="187"/>
      <c r="Q136" t="s">
        <v>169</v>
      </c>
      <c r="R136">
        <v>1</v>
      </c>
    </row>
    <row r="137" spans="1:18" x14ac:dyDescent="0.25">
      <c r="B137"/>
      <c r="E137"/>
      <c r="F137" s="87"/>
      <c r="G137" s="88" t="s">
        <v>522</v>
      </c>
      <c r="H137" s="249">
        <v>44562</v>
      </c>
      <c r="J137" s="250" t="s">
        <v>185</v>
      </c>
      <c r="K137" s="251" t="s">
        <v>71</v>
      </c>
      <c r="L137" s="119" t="s">
        <v>184</v>
      </c>
      <c r="N137" s="234" t="s">
        <v>524</v>
      </c>
      <c r="O137" s="201">
        <v>45552</v>
      </c>
    </row>
    <row r="138" spans="1:18" x14ac:dyDescent="0.25">
      <c r="A138" t="s">
        <v>0</v>
      </c>
      <c r="B138" s="1" t="s">
        <v>525</v>
      </c>
      <c r="C138" t="s">
        <v>21</v>
      </c>
      <c r="D138" t="s">
        <v>3</v>
      </c>
      <c r="E138" s="89" t="s">
        <v>526</v>
      </c>
      <c r="F138" t="s">
        <v>527</v>
      </c>
      <c r="G138" t="s">
        <v>528</v>
      </c>
      <c r="H138" t="s">
        <v>529</v>
      </c>
      <c r="I138" t="s">
        <v>22</v>
      </c>
      <c r="J138" t="s">
        <v>530</v>
      </c>
      <c r="K138" t="s">
        <v>1</v>
      </c>
      <c r="L138" t="s">
        <v>531</v>
      </c>
      <c r="M138" t="s">
        <v>58</v>
      </c>
      <c r="N138" s="186" t="s">
        <v>532</v>
      </c>
      <c r="O138" s="186" t="s">
        <v>533</v>
      </c>
      <c r="Q138" t="s">
        <v>534</v>
      </c>
      <c r="R138" t="s">
        <v>535</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9">
        <f>TableOSEPLNTCH[[#This Row],[Credit Points]]</f>
        <v>25</v>
      </c>
      <c r="F139">
        <v>1</v>
      </c>
      <c r="G139" t="s">
        <v>539</v>
      </c>
      <c r="H139">
        <v>1</v>
      </c>
      <c r="I139" t="s">
        <v>537</v>
      </c>
      <c r="J139" t="s">
        <v>180</v>
      </c>
      <c r="K139">
        <v>1</v>
      </c>
      <c r="L139" t="s">
        <v>605</v>
      </c>
      <c r="M139">
        <v>25</v>
      </c>
      <c r="N139" s="187">
        <v>44562</v>
      </c>
      <c r="O139" s="187"/>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9">
        <f>TableOSEPLNTCH[[#This Row],[Credit Points]]</f>
        <v>25</v>
      </c>
      <c r="F140">
        <v>2</v>
      </c>
      <c r="G140" t="s">
        <v>539</v>
      </c>
      <c r="H140">
        <v>1</v>
      </c>
      <c r="I140" t="s">
        <v>537</v>
      </c>
      <c r="J140" t="s">
        <v>169</v>
      </c>
      <c r="K140">
        <v>1</v>
      </c>
      <c r="L140" t="s">
        <v>606</v>
      </c>
      <c r="M140">
        <v>25</v>
      </c>
      <c r="N140" s="187">
        <v>44562</v>
      </c>
      <c r="O140" s="187"/>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9">
        <f>TableOSEPLNTCH[[#This Row],[Credit Points]]</f>
        <v>25</v>
      </c>
      <c r="F141">
        <v>3</v>
      </c>
      <c r="G141" t="s">
        <v>539</v>
      </c>
      <c r="H141">
        <v>1</v>
      </c>
      <c r="I141" t="s">
        <v>537</v>
      </c>
      <c r="J141" t="s">
        <v>171</v>
      </c>
      <c r="K141">
        <v>1</v>
      </c>
      <c r="L141" t="s">
        <v>607</v>
      </c>
      <c r="M141">
        <v>25</v>
      </c>
      <c r="N141" s="187">
        <v>44562</v>
      </c>
      <c r="O141" s="187"/>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9">
        <f>TableOSEPLNTCH[[#This Row],[Credit Points]]</f>
        <v>25</v>
      </c>
      <c r="F142">
        <v>4</v>
      </c>
      <c r="G142" t="s">
        <v>539</v>
      </c>
      <c r="H142">
        <v>1</v>
      </c>
      <c r="I142" t="s">
        <v>537</v>
      </c>
      <c r="J142" t="s">
        <v>172</v>
      </c>
      <c r="K142">
        <v>1</v>
      </c>
      <c r="L142" t="s">
        <v>609</v>
      </c>
      <c r="M142">
        <v>25</v>
      </c>
      <c r="N142" s="187">
        <v>44562</v>
      </c>
      <c r="O142" s="187"/>
      <c r="Q142" t="s">
        <v>172</v>
      </c>
      <c r="R142">
        <v>1</v>
      </c>
    </row>
    <row r="143" spans="1:18" x14ac:dyDescent="0.25">
      <c r="B143"/>
      <c r="E143"/>
      <c r="F143" s="87"/>
      <c r="G143" s="88" t="s">
        <v>522</v>
      </c>
      <c r="H143" s="249">
        <v>44562</v>
      </c>
      <c r="J143" s="250" t="s">
        <v>187</v>
      </c>
      <c r="K143" s="251" t="s">
        <v>71</v>
      </c>
      <c r="L143" s="119" t="s">
        <v>186</v>
      </c>
      <c r="N143" s="234" t="s">
        <v>524</v>
      </c>
      <c r="O143" s="201">
        <v>45552</v>
      </c>
    </row>
    <row r="144" spans="1:18" x14ac:dyDescent="0.25">
      <c r="A144" t="s">
        <v>0</v>
      </c>
      <c r="B144" s="1" t="s">
        <v>525</v>
      </c>
      <c r="C144" t="s">
        <v>21</v>
      </c>
      <c r="D144" t="s">
        <v>3</v>
      </c>
      <c r="E144" s="89" t="s">
        <v>526</v>
      </c>
      <c r="F144" t="s">
        <v>527</v>
      </c>
      <c r="G144" t="s">
        <v>528</v>
      </c>
      <c r="H144" t="s">
        <v>529</v>
      </c>
      <c r="I144" t="s">
        <v>22</v>
      </c>
      <c r="J144" t="s">
        <v>530</v>
      </c>
      <c r="K144" t="s">
        <v>1</v>
      </c>
      <c r="L144" t="s">
        <v>531</v>
      </c>
      <c r="M144" t="s">
        <v>58</v>
      </c>
      <c r="N144" s="186" t="s">
        <v>532</v>
      </c>
      <c r="O144" s="186" t="s">
        <v>533</v>
      </c>
      <c r="Q144" t="s">
        <v>534</v>
      </c>
      <c r="R144" t="s">
        <v>535</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9">
        <f>TableOSEPSTEME[[#This Row],[Credit Points]]</f>
        <v>25</v>
      </c>
      <c r="F145">
        <v>1</v>
      </c>
      <c r="G145" t="s">
        <v>539</v>
      </c>
      <c r="H145">
        <v>1</v>
      </c>
      <c r="I145" t="s">
        <v>537</v>
      </c>
      <c r="J145" t="s">
        <v>180</v>
      </c>
      <c r="K145">
        <v>1</v>
      </c>
      <c r="L145" t="s">
        <v>605</v>
      </c>
      <c r="M145">
        <v>25</v>
      </c>
      <c r="N145" s="187">
        <v>44562</v>
      </c>
      <c r="O145" s="187"/>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9">
        <f>TableOSEPSTEME[[#This Row],[Credit Points]]</f>
        <v>25</v>
      </c>
      <c r="F146">
        <v>2</v>
      </c>
      <c r="G146" t="s">
        <v>539</v>
      </c>
      <c r="H146">
        <v>1</v>
      </c>
      <c r="I146" t="s">
        <v>537</v>
      </c>
      <c r="J146" t="s">
        <v>169</v>
      </c>
      <c r="K146">
        <v>1</v>
      </c>
      <c r="L146" t="s">
        <v>606</v>
      </c>
      <c r="M146">
        <v>25</v>
      </c>
      <c r="N146" s="187">
        <v>44562</v>
      </c>
      <c r="O146" s="187"/>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9">
        <f>TableOSEPSTEME[[#This Row],[Credit Points]]</f>
        <v>25</v>
      </c>
      <c r="F147">
        <v>3</v>
      </c>
      <c r="G147" t="s">
        <v>539</v>
      </c>
      <c r="H147">
        <v>1</v>
      </c>
      <c r="I147" t="s">
        <v>537</v>
      </c>
      <c r="J147" t="s">
        <v>173</v>
      </c>
      <c r="K147">
        <v>1</v>
      </c>
      <c r="L147" t="s">
        <v>610</v>
      </c>
      <c r="M147">
        <v>25</v>
      </c>
      <c r="N147" s="187">
        <v>44562</v>
      </c>
      <c r="O147" s="187"/>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9">
        <f>TableOSEPSTEME[[#This Row],[Credit Points]]</f>
        <v>25</v>
      </c>
      <c r="F148">
        <v>4</v>
      </c>
      <c r="G148" t="s">
        <v>539</v>
      </c>
      <c r="H148">
        <v>1</v>
      </c>
      <c r="I148" t="s">
        <v>537</v>
      </c>
      <c r="J148" t="s">
        <v>174</v>
      </c>
      <c r="K148">
        <v>1</v>
      </c>
      <c r="L148" t="s">
        <v>604</v>
      </c>
      <c r="M148">
        <v>25</v>
      </c>
      <c r="N148" s="187">
        <v>44562</v>
      </c>
      <c r="O148" s="187"/>
      <c r="Q148" t="s">
        <v>174</v>
      </c>
      <c r="R148">
        <v>1</v>
      </c>
    </row>
    <row r="149" spans="1:18" x14ac:dyDescent="0.25">
      <c r="N149" s="187"/>
      <c r="O149" s="187"/>
    </row>
    <row r="150" spans="1:18" x14ac:dyDescent="0.25">
      <c r="B150"/>
      <c r="E150"/>
      <c r="F150" s="87"/>
      <c r="G150" s="88" t="s">
        <v>522</v>
      </c>
      <c r="H150" s="249">
        <v>45292</v>
      </c>
      <c r="J150" s="250" t="s">
        <v>102</v>
      </c>
      <c r="K150" s="251" t="s">
        <v>71</v>
      </c>
      <c r="L150" s="119" t="s">
        <v>101</v>
      </c>
      <c r="N150" s="234" t="s">
        <v>524</v>
      </c>
      <c r="O150" s="201">
        <v>45552</v>
      </c>
    </row>
    <row r="151" spans="1:18" x14ac:dyDescent="0.25">
      <c r="A151" t="s">
        <v>0</v>
      </c>
      <c r="B151" s="1" t="s">
        <v>525</v>
      </c>
      <c r="C151" t="s">
        <v>21</v>
      </c>
      <c r="D151" t="s">
        <v>3</v>
      </c>
      <c r="E151" s="89" t="s">
        <v>526</v>
      </c>
      <c r="F151" t="s">
        <v>527</v>
      </c>
      <c r="G151" t="s">
        <v>528</v>
      </c>
      <c r="H151" t="s">
        <v>529</v>
      </c>
      <c r="I151" t="s">
        <v>22</v>
      </c>
      <c r="J151" t="s">
        <v>530</v>
      </c>
      <c r="K151" t="s">
        <v>1</v>
      </c>
      <c r="L151" t="s">
        <v>531</v>
      </c>
      <c r="M151" t="s">
        <v>58</v>
      </c>
      <c r="N151" s="186" t="s">
        <v>532</v>
      </c>
      <c r="O151" s="186" t="s">
        <v>533</v>
      </c>
      <c r="Q151" t="s">
        <v>534</v>
      </c>
      <c r="R151" t="s">
        <v>535</v>
      </c>
    </row>
    <row r="152" spans="1:18" x14ac:dyDescent="0.25">
      <c r="A152" t="str">
        <f>TableOGEDUC[[#This Row],[Study Package Code]]</f>
        <v>Major</v>
      </c>
      <c r="B152" s="1">
        <f>TableOGEDUC[[#This Row],[Ver]]</f>
        <v>0</v>
      </c>
      <c r="D152" t="str">
        <f>TableOGEDUC[[#This Row],[Structure Line]]</f>
        <v>Choose a Major</v>
      </c>
      <c r="E152" s="89">
        <f>TableOGEDUC[[#This Row],[Credit Points]]</f>
        <v>200</v>
      </c>
      <c r="F152">
        <v>1</v>
      </c>
      <c r="G152" t="s">
        <v>536</v>
      </c>
      <c r="H152">
        <v>0</v>
      </c>
      <c r="I152" t="s">
        <v>537</v>
      </c>
      <c r="J152" t="s">
        <v>611</v>
      </c>
      <c r="K152">
        <v>0</v>
      </c>
      <c r="L152" t="s">
        <v>612</v>
      </c>
      <c r="M152">
        <v>200</v>
      </c>
      <c r="N152" s="187"/>
      <c r="O152" s="187"/>
      <c r="Q152" t="s">
        <v>611</v>
      </c>
      <c r="R152">
        <v>0</v>
      </c>
    </row>
    <row r="153" spans="1:18" x14ac:dyDescent="0.25">
      <c r="A153" t="str">
        <f>TableOGEDUC[[#This Row],[Study Package Code]]</f>
        <v>OUMP-EDUPR</v>
      </c>
      <c r="B153" s="1">
        <f>TableOGEDUC[[#This Row],[Ver]]</f>
        <v>1</v>
      </c>
      <c r="D153" t="str">
        <f>TableOGEDUC[[#This Row],[Structure Line]]</f>
        <v>Primary Education Major (GradDipEdu OpenUnis)</v>
      </c>
      <c r="E153" s="89">
        <f>TableOGEDUC[[#This Row],[Credit Points]]</f>
        <v>200</v>
      </c>
      <c r="F153">
        <v>1</v>
      </c>
      <c r="G153" t="s">
        <v>536</v>
      </c>
      <c r="H153">
        <v>0</v>
      </c>
      <c r="I153" t="s">
        <v>537</v>
      </c>
      <c r="J153" t="s">
        <v>141</v>
      </c>
      <c r="K153">
        <v>1</v>
      </c>
      <c r="L153" t="s">
        <v>140</v>
      </c>
      <c r="M153">
        <v>200</v>
      </c>
      <c r="N153" s="187">
        <v>45292</v>
      </c>
      <c r="O153" s="187"/>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9">
        <f>TableOGEDUC[[#This Row],[Credit Points]]</f>
        <v>200</v>
      </c>
      <c r="F154">
        <v>1</v>
      </c>
      <c r="G154" t="s">
        <v>536</v>
      </c>
      <c r="H154">
        <v>0</v>
      </c>
      <c r="I154" t="s">
        <v>537</v>
      </c>
      <c r="J154" t="s">
        <v>160</v>
      </c>
      <c r="K154">
        <v>1</v>
      </c>
      <c r="L154" t="s">
        <v>159</v>
      </c>
      <c r="M154">
        <v>200</v>
      </c>
      <c r="N154" s="187">
        <v>45292</v>
      </c>
      <c r="O154" s="187"/>
      <c r="Q154" t="s">
        <v>160</v>
      </c>
      <c r="R154">
        <v>1</v>
      </c>
    </row>
    <row r="155" spans="1:18" x14ac:dyDescent="0.25">
      <c r="B155"/>
      <c r="E155"/>
      <c r="F155" s="87"/>
      <c r="G155" s="88" t="s">
        <v>522</v>
      </c>
      <c r="H155" s="249">
        <v>45292</v>
      </c>
      <c r="J155" s="250" t="s">
        <v>141</v>
      </c>
      <c r="K155" s="251" t="s">
        <v>71</v>
      </c>
      <c r="L155" s="119" t="s">
        <v>140</v>
      </c>
      <c r="N155" s="234" t="s">
        <v>524</v>
      </c>
      <c r="O155" s="201">
        <v>45552</v>
      </c>
    </row>
    <row r="156" spans="1:18" x14ac:dyDescent="0.25">
      <c r="A156" t="s">
        <v>0</v>
      </c>
      <c r="B156" s="1" t="s">
        <v>525</v>
      </c>
      <c r="C156" t="s">
        <v>21</v>
      </c>
      <c r="D156" t="s">
        <v>3</v>
      </c>
      <c r="E156" s="89" t="s">
        <v>526</v>
      </c>
      <c r="F156" t="s">
        <v>527</v>
      </c>
      <c r="G156" t="s">
        <v>528</v>
      </c>
      <c r="H156" t="s">
        <v>529</v>
      </c>
      <c r="I156" t="s">
        <v>22</v>
      </c>
      <c r="J156" t="s">
        <v>530</v>
      </c>
      <c r="K156" t="s">
        <v>1</v>
      </c>
      <c r="L156" t="s">
        <v>531</v>
      </c>
      <c r="M156" t="s">
        <v>58</v>
      </c>
      <c r="N156" s="186" t="s">
        <v>532</v>
      </c>
      <c r="O156" s="186" t="s">
        <v>533</v>
      </c>
      <c r="Q156" t="s">
        <v>534</v>
      </c>
      <c r="R156" t="s">
        <v>535</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9">
        <f>TableOUMPEDUPR[[#This Row],[Credit Points]]</f>
        <v>25</v>
      </c>
      <c r="F157">
        <v>1</v>
      </c>
      <c r="G157" t="s">
        <v>539</v>
      </c>
      <c r="H157">
        <v>1</v>
      </c>
      <c r="I157" t="s">
        <v>613</v>
      </c>
      <c r="J157" t="s">
        <v>92</v>
      </c>
      <c r="K157">
        <v>3</v>
      </c>
      <c r="L157" t="s">
        <v>557</v>
      </c>
      <c r="M157">
        <v>25</v>
      </c>
      <c r="N157" s="187">
        <v>44562</v>
      </c>
      <c r="O157" s="187"/>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9">
        <f>TableOUMPEDUPR[[#This Row],[Credit Points]]</f>
        <v>25</v>
      </c>
      <c r="F158">
        <v>2</v>
      </c>
      <c r="G158" t="s">
        <v>539</v>
      </c>
      <c r="H158">
        <v>1</v>
      </c>
      <c r="I158" t="s">
        <v>613</v>
      </c>
      <c r="J158" t="s">
        <v>75</v>
      </c>
      <c r="K158">
        <v>2</v>
      </c>
      <c r="L158" t="s">
        <v>547</v>
      </c>
      <c r="M158">
        <v>25</v>
      </c>
      <c r="N158" s="187">
        <v>44197</v>
      </c>
      <c r="O158" s="187"/>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9">
        <f>TableOUMPEDUPR[[#This Row],[Credit Points]]</f>
        <v>25</v>
      </c>
      <c r="F159">
        <v>3</v>
      </c>
      <c r="G159" t="s">
        <v>539</v>
      </c>
      <c r="H159">
        <v>1</v>
      </c>
      <c r="I159" t="s">
        <v>614</v>
      </c>
      <c r="J159" t="s">
        <v>86</v>
      </c>
      <c r="K159">
        <v>1</v>
      </c>
      <c r="L159" t="s">
        <v>558</v>
      </c>
      <c r="M159">
        <v>25</v>
      </c>
      <c r="N159" s="187">
        <v>42736</v>
      </c>
      <c r="O159" s="187"/>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9">
        <f>TableOUMPEDUPR[[#This Row],[Credit Points]]</f>
        <v>25</v>
      </c>
      <c r="F160">
        <v>4</v>
      </c>
      <c r="G160" t="s">
        <v>539</v>
      </c>
      <c r="H160">
        <v>1</v>
      </c>
      <c r="I160" t="s">
        <v>614</v>
      </c>
      <c r="J160" t="s">
        <v>100</v>
      </c>
      <c r="K160">
        <v>1</v>
      </c>
      <c r="L160" t="s">
        <v>559</v>
      </c>
      <c r="M160">
        <v>25</v>
      </c>
      <c r="N160" s="187">
        <v>42736</v>
      </c>
      <c r="O160" s="187"/>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9">
        <f>TableOUMPEDUPR[[#This Row],[Credit Points]]</f>
        <v>25</v>
      </c>
      <c r="F161">
        <v>5</v>
      </c>
      <c r="G161" t="s">
        <v>539</v>
      </c>
      <c r="H161">
        <v>1</v>
      </c>
      <c r="I161" t="s">
        <v>615</v>
      </c>
      <c r="J161" t="s">
        <v>81</v>
      </c>
      <c r="K161">
        <v>1</v>
      </c>
      <c r="L161" t="s">
        <v>540</v>
      </c>
      <c r="M161">
        <v>25</v>
      </c>
      <c r="N161" s="187">
        <v>44562</v>
      </c>
      <c r="O161" s="187"/>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9">
        <f>TableOUMPEDUPR[[#This Row],[Credit Points]]</f>
        <v>25</v>
      </c>
      <c r="F162">
        <v>6</v>
      </c>
      <c r="G162" t="s">
        <v>539</v>
      </c>
      <c r="H162">
        <v>1</v>
      </c>
      <c r="I162" t="s">
        <v>615</v>
      </c>
      <c r="J162" t="s">
        <v>120</v>
      </c>
      <c r="K162">
        <v>1</v>
      </c>
      <c r="L162" t="s">
        <v>548</v>
      </c>
      <c r="M162">
        <v>25</v>
      </c>
      <c r="N162" s="187">
        <v>44562</v>
      </c>
      <c r="O162" s="187"/>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9">
        <f>TableOUMPEDUPR[[#This Row],[Credit Points]]</f>
        <v>25</v>
      </c>
      <c r="F163">
        <v>7</v>
      </c>
      <c r="G163" t="s">
        <v>539</v>
      </c>
      <c r="H163">
        <v>1</v>
      </c>
      <c r="I163" t="s">
        <v>616</v>
      </c>
      <c r="J163" t="s">
        <v>87</v>
      </c>
      <c r="K163">
        <v>1</v>
      </c>
      <c r="L163" t="s">
        <v>556</v>
      </c>
      <c r="M163">
        <v>25</v>
      </c>
      <c r="N163" s="187">
        <v>42736</v>
      </c>
      <c r="O163" s="187"/>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9">
        <f>TableOUMPEDUPR[[#This Row],[Credit Points]]</f>
        <v>25</v>
      </c>
      <c r="F164">
        <v>8</v>
      </c>
      <c r="G164" t="s">
        <v>539</v>
      </c>
      <c r="H164">
        <v>1</v>
      </c>
      <c r="I164" t="s">
        <v>616</v>
      </c>
      <c r="J164" t="s">
        <v>95</v>
      </c>
      <c r="K164">
        <v>1</v>
      </c>
      <c r="L164" t="s">
        <v>555</v>
      </c>
      <c r="M164">
        <v>25</v>
      </c>
      <c r="N164" s="187">
        <v>42736</v>
      </c>
      <c r="O164" s="187"/>
      <c r="Q164" t="s">
        <v>95</v>
      </c>
      <c r="R164">
        <v>1</v>
      </c>
    </row>
    <row r="165" spans="1:18" x14ac:dyDescent="0.25">
      <c r="B165"/>
      <c r="E165"/>
      <c r="F165" s="87"/>
      <c r="G165" s="88" t="s">
        <v>522</v>
      </c>
      <c r="H165" s="249">
        <v>45292</v>
      </c>
      <c r="J165" s="250" t="s">
        <v>160</v>
      </c>
      <c r="K165" s="251" t="s">
        <v>71</v>
      </c>
      <c r="L165" s="119" t="s">
        <v>159</v>
      </c>
      <c r="N165" s="234" t="s">
        <v>524</v>
      </c>
      <c r="O165" s="201">
        <v>45552</v>
      </c>
    </row>
    <row r="166" spans="1:18" x14ac:dyDescent="0.25">
      <c r="A166" t="s">
        <v>0</v>
      </c>
      <c r="B166" s="1" t="s">
        <v>525</v>
      </c>
      <c r="C166" t="s">
        <v>21</v>
      </c>
      <c r="D166" t="s">
        <v>3</v>
      </c>
      <c r="E166" s="89" t="s">
        <v>526</v>
      </c>
      <c r="F166" t="s">
        <v>527</v>
      </c>
      <c r="G166" t="s">
        <v>528</v>
      </c>
      <c r="H166" t="s">
        <v>529</v>
      </c>
      <c r="I166" t="s">
        <v>22</v>
      </c>
      <c r="J166" t="s">
        <v>530</v>
      </c>
      <c r="K166" t="s">
        <v>1</v>
      </c>
      <c r="L166" t="s">
        <v>531</v>
      </c>
      <c r="M166" t="s">
        <v>58</v>
      </c>
      <c r="N166" s="186" t="s">
        <v>532</v>
      </c>
      <c r="O166" s="186" t="s">
        <v>533</v>
      </c>
      <c r="Q166" t="s">
        <v>534</v>
      </c>
      <c r="R166" t="s">
        <v>535</v>
      </c>
    </row>
    <row r="167" spans="1:18" x14ac:dyDescent="0.25">
      <c r="A167" t="str">
        <f>TableOUMPEDUSC[[#This Row],[Study Package Code]]</f>
        <v>Opt-EDUSC</v>
      </c>
      <c r="B167" s="1">
        <f>TableOUMPEDUSC[[#This Row],[Ver]]</f>
        <v>0</v>
      </c>
      <c r="D167" t="str">
        <f>TableOUMPEDUSC[[#This Row],[Structure Line]]</f>
        <v>Teaching Area Options (Grad Dip)</v>
      </c>
      <c r="E167" s="89">
        <f>TableOUMPEDUSC[[#This Row],[Credit Points]]</f>
        <v>50</v>
      </c>
      <c r="F167">
        <v>1</v>
      </c>
      <c r="G167" t="s">
        <v>571</v>
      </c>
      <c r="H167">
        <v>1</v>
      </c>
      <c r="I167" t="s">
        <v>537</v>
      </c>
      <c r="J167" t="s">
        <v>617</v>
      </c>
      <c r="K167">
        <v>0</v>
      </c>
      <c r="L167" t="s">
        <v>618</v>
      </c>
      <c r="M167">
        <v>50</v>
      </c>
      <c r="N167" s="187"/>
      <c r="O167" s="187"/>
      <c r="Q167" t="s">
        <v>571</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9">
        <f>TableOUMPEDUSC[[#This Row],[Credit Points]]</f>
        <v>25</v>
      </c>
      <c r="F168">
        <v>2</v>
      </c>
      <c r="G168" t="s">
        <v>539</v>
      </c>
      <c r="H168">
        <v>1</v>
      </c>
      <c r="I168" t="s">
        <v>613</v>
      </c>
      <c r="J168" t="s">
        <v>281</v>
      </c>
      <c r="K168">
        <v>1</v>
      </c>
      <c r="L168" t="s">
        <v>566</v>
      </c>
      <c r="M168">
        <v>25</v>
      </c>
      <c r="N168" s="187">
        <v>42736</v>
      </c>
      <c r="O168" s="187"/>
      <c r="Q168" t="s">
        <v>281</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9">
        <f>TableOUMPEDUSC[[#This Row],[Credit Points]]</f>
        <v>25</v>
      </c>
      <c r="F169">
        <v>3</v>
      </c>
      <c r="G169" t="s">
        <v>539</v>
      </c>
      <c r="H169">
        <v>1</v>
      </c>
      <c r="I169" t="s">
        <v>613</v>
      </c>
      <c r="J169" t="s">
        <v>290</v>
      </c>
      <c r="K169">
        <v>1</v>
      </c>
      <c r="L169" t="s">
        <v>568</v>
      </c>
      <c r="M169">
        <v>25</v>
      </c>
      <c r="N169" s="187">
        <v>42736</v>
      </c>
      <c r="O169" s="187"/>
      <c r="Q169" t="s">
        <v>290</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9">
        <f>TableOUMPEDUSC[[#This Row],[Credit Points]]</f>
        <v>25</v>
      </c>
      <c r="F170">
        <v>4</v>
      </c>
      <c r="G170" t="s">
        <v>539</v>
      </c>
      <c r="H170">
        <v>1</v>
      </c>
      <c r="I170" t="s">
        <v>614</v>
      </c>
      <c r="J170" t="s">
        <v>294</v>
      </c>
      <c r="K170">
        <v>1</v>
      </c>
      <c r="L170" t="s">
        <v>570</v>
      </c>
      <c r="M170">
        <v>25</v>
      </c>
      <c r="N170" s="187">
        <v>42736</v>
      </c>
      <c r="O170" s="187"/>
      <c r="Q170" t="s">
        <v>294</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9">
        <f>TableOUMPEDUSC[[#This Row],[Credit Points]]</f>
        <v>25</v>
      </c>
      <c r="F171">
        <v>5</v>
      </c>
      <c r="G171" t="s">
        <v>539</v>
      </c>
      <c r="H171">
        <v>1</v>
      </c>
      <c r="I171" t="s">
        <v>615</v>
      </c>
      <c r="J171" t="s">
        <v>120</v>
      </c>
      <c r="K171">
        <v>1</v>
      </c>
      <c r="L171" t="s">
        <v>548</v>
      </c>
      <c r="M171">
        <v>25</v>
      </c>
      <c r="N171" s="187">
        <v>44562</v>
      </c>
      <c r="O171" s="187"/>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9">
        <f>TableOUMPEDUSC[[#This Row],[Credit Points]]</f>
        <v>25</v>
      </c>
      <c r="F172">
        <v>6</v>
      </c>
      <c r="G172" t="s">
        <v>539</v>
      </c>
      <c r="H172">
        <v>1</v>
      </c>
      <c r="I172" t="s">
        <v>615</v>
      </c>
      <c r="J172" t="s">
        <v>96</v>
      </c>
      <c r="K172">
        <v>1</v>
      </c>
      <c r="L172" t="s">
        <v>565</v>
      </c>
      <c r="M172">
        <v>25</v>
      </c>
      <c r="N172" s="187">
        <v>42736</v>
      </c>
      <c r="O172" s="187"/>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9">
        <f>TableOUMPEDUSC[[#This Row],[Credit Points]]</f>
        <v>25</v>
      </c>
      <c r="F173">
        <v>7</v>
      </c>
      <c r="G173" t="s">
        <v>539</v>
      </c>
      <c r="H173">
        <v>1</v>
      </c>
      <c r="I173" t="s">
        <v>616</v>
      </c>
      <c r="J173" t="s">
        <v>95</v>
      </c>
      <c r="K173">
        <v>1</v>
      </c>
      <c r="L173" t="s">
        <v>555</v>
      </c>
      <c r="M173">
        <v>25</v>
      </c>
      <c r="N173" s="187">
        <v>42736</v>
      </c>
      <c r="O173" s="187"/>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9">
        <f>TableOUMPEDUSC[[#This Row],[Credit Points]]</f>
        <v>25</v>
      </c>
      <c r="F174">
        <v>1</v>
      </c>
      <c r="G174" t="s">
        <v>571</v>
      </c>
      <c r="H174">
        <v>1</v>
      </c>
      <c r="I174" t="s">
        <v>537</v>
      </c>
      <c r="J174" t="s">
        <v>315</v>
      </c>
      <c r="K174">
        <v>1</v>
      </c>
      <c r="L174" t="s">
        <v>573</v>
      </c>
      <c r="M174">
        <v>25</v>
      </c>
      <c r="N174" s="187">
        <v>42736</v>
      </c>
      <c r="O174" s="187"/>
      <c r="Q174" t="s">
        <v>315</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9">
        <f>TableOUMPEDUSC[[#This Row],[Credit Points]]</f>
        <v>25</v>
      </c>
      <c r="F175">
        <v>1</v>
      </c>
      <c r="G175" t="s">
        <v>571</v>
      </c>
      <c r="H175">
        <v>1</v>
      </c>
      <c r="I175" t="s">
        <v>537</v>
      </c>
      <c r="J175" t="s">
        <v>316</v>
      </c>
      <c r="K175">
        <v>1</v>
      </c>
      <c r="L175" t="s">
        <v>574</v>
      </c>
      <c r="M175">
        <v>25</v>
      </c>
      <c r="N175" s="187">
        <v>42736</v>
      </c>
      <c r="O175" s="187"/>
      <c r="Q175" t="s">
        <v>316</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9">
        <f>TableOUMPEDUSC[[#This Row],[Credit Points]]</f>
        <v>25</v>
      </c>
      <c r="F176">
        <v>1</v>
      </c>
      <c r="G176" t="s">
        <v>571</v>
      </c>
      <c r="H176">
        <v>1</v>
      </c>
      <c r="I176" t="s">
        <v>537</v>
      </c>
      <c r="J176" t="s">
        <v>318</v>
      </c>
      <c r="K176">
        <v>1</v>
      </c>
      <c r="L176" t="s">
        <v>575</v>
      </c>
      <c r="M176">
        <v>25</v>
      </c>
      <c r="N176" s="187">
        <v>42736</v>
      </c>
      <c r="O176" s="187"/>
      <c r="Q176" t="s">
        <v>318</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9">
        <f>TableOUMPEDUSC[[#This Row],[Credit Points]]</f>
        <v>25</v>
      </c>
      <c r="F177">
        <v>1</v>
      </c>
      <c r="G177" t="s">
        <v>571</v>
      </c>
      <c r="H177">
        <v>1</v>
      </c>
      <c r="I177" t="s">
        <v>537</v>
      </c>
      <c r="J177" t="s">
        <v>319</v>
      </c>
      <c r="K177">
        <v>1</v>
      </c>
      <c r="L177" t="s">
        <v>576</v>
      </c>
      <c r="M177">
        <v>25</v>
      </c>
      <c r="N177" s="187">
        <v>42736</v>
      </c>
      <c r="O177" s="187"/>
      <c r="Q177" t="s">
        <v>319</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9">
        <f>TableOUMPEDUSC[[#This Row],[Credit Points]]</f>
        <v>25</v>
      </c>
      <c r="F178">
        <v>1</v>
      </c>
      <c r="G178" t="s">
        <v>571</v>
      </c>
      <c r="H178">
        <v>1</v>
      </c>
      <c r="I178" t="s">
        <v>537</v>
      </c>
      <c r="J178" t="s">
        <v>320</v>
      </c>
      <c r="K178">
        <v>1</v>
      </c>
      <c r="L178" t="s">
        <v>577</v>
      </c>
      <c r="M178">
        <v>25</v>
      </c>
      <c r="N178" s="187">
        <v>42736</v>
      </c>
      <c r="O178" s="187"/>
      <c r="Q178" t="s">
        <v>320</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9">
        <f>TableOUMPEDUSC[[#This Row],[Credit Points]]</f>
        <v>25</v>
      </c>
      <c r="F179">
        <v>1</v>
      </c>
      <c r="G179" t="s">
        <v>571</v>
      </c>
      <c r="H179">
        <v>1</v>
      </c>
      <c r="I179" t="s">
        <v>537</v>
      </c>
      <c r="J179" t="s">
        <v>323</v>
      </c>
      <c r="K179">
        <v>2</v>
      </c>
      <c r="L179" t="s">
        <v>578</v>
      </c>
      <c r="M179">
        <v>25</v>
      </c>
      <c r="N179" s="187">
        <v>43831</v>
      </c>
      <c r="O179" s="187"/>
      <c r="Q179" t="s">
        <v>323</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9">
        <f>TableOUMPEDUSC[[#This Row],[Credit Points]]</f>
        <v>25</v>
      </c>
      <c r="F180">
        <v>1</v>
      </c>
      <c r="G180" t="s">
        <v>571</v>
      </c>
      <c r="H180">
        <v>1</v>
      </c>
      <c r="I180" t="s">
        <v>537</v>
      </c>
      <c r="J180" t="s">
        <v>326</v>
      </c>
      <c r="K180">
        <v>2</v>
      </c>
      <c r="L180" t="s">
        <v>579</v>
      </c>
      <c r="M180">
        <v>25</v>
      </c>
      <c r="N180" s="187">
        <v>43831</v>
      </c>
      <c r="O180" s="187"/>
      <c r="Q180" t="s">
        <v>326</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9">
        <f>TableOUMPEDUSC[[#This Row],[Credit Points]]</f>
        <v>25</v>
      </c>
      <c r="F181">
        <v>1</v>
      </c>
      <c r="G181" t="s">
        <v>571</v>
      </c>
      <c r="H181">
        <v>1</v>
      </c>
      <c r="I181" t="s">
        <v>537</v>
      </c>
      <c r="J181" t="s">
        <v>327</v>
      </c>
      <c r="K181">
        <v>2</v>
      </c>
      <c r="L181" t="s">
        <v>580</v>
      </c>
      <c r="M181">
        <v>25</v>
      </c>
      <c r="N181" s="187">
        <v>43831</v>
      </c>
      <c r="O181" s="187"/>
      <c r="Q181" t="s">
        <v>327</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9">
        <f>TableOUMPEDUSC[[#This Row],[Credit Points]]</f>
        <v>25</v>
      </c>
      <c r="F182">
        <v>1</v>
      </c>
      <c r="G182" t="s">
        <v>571</v>
      </c>
      <c r="H182">
        <v>1</v>
      </c>
      <c r="I182" t="s">
        <v>537</v>
      </c>
      <c r="J182" t="s">
        <v>328</v>
      </c>
      <c r="K182">
        <v>2</v>
      </c>
      <c r="L182" t="s">
        <v>581</v>
      </c>
      <c r="M182">
        <v>25</v>
      </c>
      <c r="N182" s="187">
        <v>43831</v>
      </c>
      <c r="O182" s="187"/>
      <c r="Q182" t="s">
        <v>328</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9">
        <f>TableOUMPEDUSC[[#This Row],[Credit Points]]</f>
        <v>25</v>
      </c>
      <c r="F183">
        <v>1</v>
      </c>
      <c r="G183" t="s">
        <v>571</v>
      </c>
      <c r="H183">
        <v>1</v>
      </c>
      <c r="I183" t="s">
        <v>537</v>
      </c>
      <c r="J183" t="s">
        <v>324</v>
      </c>
      <c r="K183">
        <v>1</v>
      </c>
      <c r="L183" t="s">
        <v>582</v>
      </c>
      <c r="M183">
        <v>25</v>
      </c>
      <c r="N183" s="187">
        <v>43831</v>
      </c>
      <c r="O183" s="187"/>
      <c r="Q183" t="s">
        <v>324</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9">
        <f>TableOUMPEDUSC[[#This Row],[Credit Points]]</f>
        <v>25</v>
      </c>
      <c r="F184">
        <v>1</v>
      </c>
      <c r="G184" t="s">
        <v>571</v>
      </c>
      <c r="H184">
        <v>1</v>
      </c>
      <c r="I184" t="s">
        <v>537</v>
      </c>
      <c r="J184" t="s">
        <v>317</v>
      </c>
      <c r="K184">
        <v>1</v>
      </c>
      <c r="L184" t="s">
        <v>583</v>
      </c>
      <c r="M184">
        <v>25</v>
      </c>
      <c r="N184" s="187">
        <v>43831</v>
      </c>
      <c r="O184" s="187"/>
      <c r="Q184" t="s">
        <v>317</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9">
        <f>TableOUMPEDUSC[[#This Row],[Credit Points]]</f>
        <v>25</v>
      </c>
      <c r="F185">
        <v>1</v>
      </c>
      <c r="G185" t="s">
        <v>571</v>
      </c>
      <c r="H185">
        <v>1</v>
      </c>
      <c r="I185" t="s">
        <v>537</v>
      </c>
      <c r="J185" t="s">
        <v>325</v>
      </c>
      <c r="K185">
        <v>1</v>
      </c>
      <c r="L185" t="s">
        <v>584</v>
      </c>
      <c r="M185">
        <v>25</v>
      </c>
      <c r="N185" s="187">
        <v>43831</v>
      </c>
      <c r="O185" s="187"/>
      <c r="Q185" t="s">
        <v>325</v>
      </c>
      <c r="R185">
        <v>1</v>
      </c>
    </row>
    <row r="186" spans="1:18" x14ac:dyDescent="0.25">
      <c r="N186" s="187"/>
      <c r="O186" s="187"/>
    </row>
    <row r="187" spans="1:18" x14ac:dyDescent="0.25">
      <c r="B187"/>
      <c r="E187"/>
      <c r="F187" s="87"/>
      <c r="G187" s="88" t="s">
        <v>522</v>
      </c>
      <c r="H187" s="249">
        <v>44197</v>
      </c>
      <c r="J187" s="250" t="s">
        <v>70</v>
      </c>
      <c r="K187" s="251" t="s">
        <v>71</v>
      </c>
      <c r="L187" s="119" t="s">
        <v>69</v>
      </c>
      <c r="N187" s="234" t="s">
        <v>524</v>
      </c>
      <c r="O187" s="201">
        <v>45552</v>
      </c>
    </row>
    <row r="188" spans="1:18" x14ac:dyDescent="0.25">
      <c r="A188" t="s">
        <v>0</v>
      </c>
      <c r="B188" s="1" t="s">
        <v>525</v>
      </c>
      <c r="C188" t="s">
        <v>21</v>
      </c>
      <c r="D188" t="s">
        <v>3</v>
      </c>
      <c r="E188" s="89" t="s">
        <v>526</v>
      </c>
      <c r="F188" t="s">
        <v>527</v>
      </c>
      <c r="G188" t="s">
        <v>528</v>
      </c>
      <c r="H188" t="s">
        <v>529</v>
      </c>
      <c r="I188" t="s">
        <v>22</v>
      </c>
      <c r="J188" t="s">
        <v>530</v>
      </c>
      <c r="K188" t="s">
        <v>1</v>
      </c>
      <c r="L188" t="s">
        <v>531</v>
      </c>
      <c r="M188" t="s">
        <v>58</v>
      </c>
      <c r="N188" s="186" t="s">
        <v>532</v>
      </c>
      <c r="O188" s="186" t="s">
        <v>533</v>
      </c>
      <c r="Q188" t="s">
        <v>534</v>
      </c>
      <c r="R188" t="s">
        <v>535</v>
      </c>
    </row>
    <row r="189" spans="1:18" x14ac:dyDescent="0.25">
      <c r="A189" t="str">
        <f>TableOCEDUCS1[[#This Row],[Study Package Code]]</f>
        <v>Opt-OCEDUC</v>
      </c>
      <c r="B189" s="1">
        <f>TableOCEDUCS1[[#This Row],[Ver]]</f>
        <v>0</v>
      </c>
      <c r="D189" t="str">
        <f>TableOCEDUCS1[[#This Row],[Structure Line]]</f>
        <v>Choose your optional units</v>
      </c>
      <c r="E189" s="89">
        <f>TableOCEDUCS1[[#This Row],[Credit Points]]</f>
        <v>100</v>
      </c>
      <c r="F189">
        <v>1</v>
      </c>
      <c r="G189" t="s">
        <v>571</v>
      </c>
      <c r="H189">
        <v>1</v>
      </c>
      <c r="I189" t="s">
        <v>537</v>
      </c>
      <c r="J189" t="s">
        <v>514</v>
      </c>
      <c r="K189">
        <v>0</v>
      </c>
      <c r="L189" t="s">
        <v>619</v>
      </c>
      <c r="M189">
        <v>100</v>
      </c>
      <c r="N189" s="187"/>
      <c r="O189" s="187"/>
      <c r="Q189" t="s">
        <v>620</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9">
        <f>TableOCEDUCS1[[#This Row],[Credit Points]]</f>
        <v>25</v>
      </c>
      <c r="F190">
        <v>1</v>
      </c>
      <c r="G190" t="s">
        <v>571</v>
      </c>
      <c r="H190">
        <v>1</v>
      </c>
      <c r="I190" t="s">
        <v>537</v>
      </c>
      <c r="J190" t="s">
        <v>84</v>
      </c>
      <c r="K190">
        <v>1</v>
      </c>
      <c r="L190" t="s">
        <v>543</v>
      </c>
      <c r="M190">
        <v>25</v>
      </c>
      <c r="N190" s="187">
        <v>43101</v>
      </c>
      <c r="O190" s="187"/>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9">
        <f>TableOCEDUCS1[[#This Row],[Credit Points]]</f>
        <v>25</v>
      </c>
      <c r="F191">
        <v>1</v>
      </c>
      <c r="G191" t="s">
        <v>571</v>
      </c>
      <c r="H191">
        <v>1</v>
      </c>
      <c r="I191" t="s">
        <v>537</v>
      </c>
      <c r="J191" t="s">
        <v>107</v>
      </c>
      <c r="K191">
        <v>1</v>
      </c>
      <c r="L191" t="s">
        <v>552</v>
      </c>
      <c r="M191">
        <v>25</v>
      </c>
      <c r="N191" s="187">
        <v>43101</v>
      </c>
      <c r="O191" s="187"/>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9">
        <f>TableOCEDUCS1[[#This Row],[Credit Points]]</f>
        <v>25</v>
      </c>
      <c r="F192">
        <v>1</v>
      </c>
      <c r="G192" t="s">
        <v>571</v>
      </c>
      <c r="H192">
        <v>1</v>
      </c>
      <c r="I192" t="s">
        <v>537</v>
      </c>
      <c r="J192" t="s">
        <v>83</v>
      </c>
      <c r="K192">
        <v>1</v>
      </c>
      <c r="L192" t="s">
        <v>551</v>
      </c>
      <c r="M192">
        <v>25</v>
      </c>
      <c r="N192" s="187">
        <v>43101</v>
      </c>
      <c r="O192" s="187"/>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9">
        <f>TableOCEDUCS1[[#This Row],[Credit Points]]</f>
        <v>25</v>
      </c>
      <c r="F193">
        <v>1</v>
      </c>
      <c r="G193" t="s">
        <v>571</v>
      </c>
      <c r="H193">
        <v>1</v>
      </c>
      <c r="I193" t="s">
        <v>537</v>
      </c>
      <c r="J193" t="s">
        <v>87</v>
      </c>
      <c r="K193">
        <v>1</v>
      </c>
      <c r="L193" t="s">
        <v>556</v>
      </c>
      <c r="M193">
        <v>25</v>
      </c>
      <c r="N193" s="187">
        <v>42736</v>
      </c>
      <c r="O193" s="187"/>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9">
        <f>TableOCEDUCS1[[#This Row],[Credit Points]]</f>
        <v>25</v>
      </c>
      <c r="F194">
        <v>1</v>
      </c>
      <c r="G194" t="s">
        <v>571</v>
      </c>
      <c r="H194">
        <v>1</v>
      </c>
      <c r="I194" t="s">
        <v>537</v>
      </c>
      <c r="J194" t="s">
        <v>86</v>
      </c>
      <c r="K194">
        <v>1</v>
      </c>
      <c r="L194" t="s">
        <v>558</v>
      </c>
      <c r="M194">
        <v>25</v>
      </c>
      <c r="N194" s="187">
        <v>42736</v>
      </c>
      <c r="O194" s="187"/>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9">
        <f>TableOCEDUCS1[[#This Row],[Credit Points]]</f>
        <v>25</v>
      </c>
      <c r="F195">
        <v>1</v>
      </c>
      <c r="G195" t="s">
        <v>571</v>
      </c>
      <c r="H195">
        <v>1</v>
      </c>
      <c r="I195" t="s">
        <v>537</v>
      </c>
      <c r="J195" t="s">
        <v>115</v>
      </c>
      <c r="K195">
        <v>1</v>
      </c>
      <c r="L195" t="s">
        <v>563</v>
      </c>
      <c r="M195">
        <v>25</v>
      </c>
      <c r="N195" s="187">
        <v>42736</v>
      </c>
      <c r="O195" s="187"/>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9">
        <f>TableOCEDUCS1[[#This Row],[Credit Points]]</f>
        <v>25</v>
      </c>
      <c r="F196">
        <v>1</v>
      </c>
      <c r="G196" t="s">
        <v>571</v>
      </c>
      <c r="H196">
        <v>1</v>
      </c>
      <c r="I196" t="s">
        <v>537</v>
      </c>
      <c r="J196" t="s">
        <v>108</v>
      </c>
      <c r="K196">
        <v>1</v>
      </c>
      <c r="L196" t="s">
        <v>561</v>
      </c>
      <c r="M196">
        <v>25</v>
      </c>
      <c r="N196" s="187">
        <v>42736</v>
      </c>
      <c r="O196" s="187"/>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9">
        <f>TableOCEDUCS1[[#This Row],[Credit Points]]</f>
        <v>25</v>
      </c>
      <c r="F197">
        <v>1</v>
      </c>
      <c r="G197" t="s">
        <v>571</v>
      </c>
      <c r="H197">
        <v>1</v>
      </c>
      <c r="I197" t="s">
        <v>537</v>
      </c>
      <c r="J197" t="s">
        <v>262</v>
      </c>
      <c r="K197">
        <v>1</v>
      </c>
      <c r="L197" t="s">
        <v>569</v>
      </c>
      <c r="M197">
        <v>25</v>
      </c>
      <c r="N197" s="187">
        <v>42736</v>
      </c>
      <c r="O197" s="187"/>
      <c r="Q197" t="s">
        <v>262</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9">
        <f>TableOCEDUCS1[[#This Row],[Credit Points]]</f>
        <v>25</v>
      </c>
      <c r="F198">
        <v>1</v>
      </c>
      <c r="G198" t="s">
        <v>571</v>
      </c>
      <c r="H198">
        <v>1</v>
      </c>
      <c r="I198" t="s">
        <v>537</v>
      </c>
      <c r="J198" t="s">
        <v>75</v>
      </c>
      <c r="K198">
        <v>2</v>
      </c>
      <c r="L198" t="s">
        <v>547</v>
      </c>
      <c r="M198">
        <v>25</v>
      </c>
      <c r="N198" s="187">
        <v>44197</v>
      </c>
      <c r="O198" s="187"/>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9">
        <f>TableOCEDUCS1[[#This Row],[Credit Points]]</f>
        <v>25</v>
      </c>
      <c r="F199">
        <v>1</v>
      </c>
      <c r="G199" t="s">
        <v>571</v>
      </c>
      <c r="H199">
        <v>1</v>
      </c>
      <c r="I199" t="s">
        <v>537</v>
      </c>
      <c r="J199" t="s">
        <v>80</v>
      </c>
      <c r="K199">
        <v>1</v>
      </c>
      <c r="L199" t="s">
        <v>546</v>
      </c>
      <c r="M199">
        <v>25</v>
      </c>
      <c r="N199" s="187">
        <v>42736</v>
      </c>
      <c r="O199" s="187"/>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9">
        <f>TableOCEDUCS1[[#This Row],[Credit Points]]</f>
        <v>25</v>
      </c>
      <c r="F200">
        <v>1</v>
      </c>
      <c r="G200" t="s">
        <v>571</v>
      </c>
      <c r="H200">
        <v>1</v>
      </c>
      <c r="I200" t="s">
        <v>537</v>
      </c>
      <c r="J200" t="s">
        <v>96</v>
      </c>
      <c r="K200">
        <v>1</v>
      </c>
      <c r="L200" t="s">
        <v>565</v>
      </c>
      <c r="M200">
        <v>25</v>
      </c>
      <c r="N200" s="187">
        <v>42736</v>
      </c>
      <c r="O200" s="187"/>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9">
        <f>TableOCEDUCS1[[#This Row],[Credit Points]]</f>
        <v>25</v>
      </c>
      <c r="F201">
        <v>1</v>
      </c>
      <c r="G201" t="s">
        <v>571</v>
      </c>
      <c r="H201">
        <v>1</v>
      </c>
      <c r="I201" t="s">
        <v>537</v>
      </c>
      <c r="J201" t="s">
        <v>95</v>
      </c>
      <c r="K201">
        <v>1</v>
      </c>
      <c r="L201" t="s">
        <v>555</v>
      </c>
      <c r="M201">
        <v>25</v>
      </c>
      <c r="N201" s="187">
        <v>42736</v>
      </c>
      <c r="O201" s="187"/>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9">
        <f>TableOCEDUCS1[[#This Row],[Credit Points]]</f>
        <v>25</v>
      </c>
      <c r="F202">
        <v>1</v>
      </c>
      <c r="G202" t="s">
        <v>571</v>
      </c>
      <c r="H202">
        <v>1</v>
      </c>
      <c r="I202" t="s">
        <v>537</v>
      </c>
      <c r="J202" t="s">
        <v>263</v>
      </c>
      <c r="K202">
        <v>1</v>
      </c>
      <c r="L202" t="s">
        <v>586</v>
      </c>
      <c r="M202">
        <v>25</v>
      </c>
      <c r="N202" s="187">
        <v>44562</v>
      </c>
      <c r="O202" s="187"/>
      <c r="Q202" t="s">
        <v>263</v>
      </c>
      <c r="R202">
        <v>1</v>
      </c>
    </row>
    <row r="203" spans="1:18" x14ac:dyDescent="0.25">
      <c r="B203"/>
      <c r="E203"/>
      <c r="F203" s="87"/>
      <c r="G203" s="88" t="s">
        <v>522</v>
      </c>
      <c r="H203" s="249">
        <v>44197</v>
      </c>
      <c r="J203" s="250" t="s">
        <v>82</v>
      </c>
      <c r="K203" s="251" t="s">
        <v>71</v>
      </c>
      <c r="L203" s="119" t="s">
        <v>45</v>
      </c>
      <c r="N203" s="234" t="s">
        <v>524</v>
      </c>
      <c r="O203" s="201">
        <v>45552</v>
      </c>
    </row>
    <row r="204" spans="1:18" x14ac:dyDescent="0.25">
      <c r="A204" t="s">
        <v>0</v>
      </c>
      <c r="B204" s="1" t="s">
        <v>525</v>
      </c>
      <c r="C204" t="s">
        <v>21</v>
      </c>
      <c r="D204" t="s">
        <v>3</v>
      </c>
      <c r="E204" s="89" t="s">
        <v>526</v>
      </c>
      <c r="F204" t="s">
        <v>527</v>
      </c>
      <c r="G204" t="s">
        <v>528</v>
      </c>
      <c r="H204" t="s">
        <v>529</v>
      </c>
      <c r="I204" t="s">
        <v>22</v>
      </c>
      <c r="J204" t="s">
        <v>530</v>
      </c>
      <c r="K204" t="s">
        <v>1</v>
      </c>
      <c r="L204" t="s">
        <v>531</v>
      </c>
      <c r="M204" t="s">
        <v>58</v>
      </c>
      <c r="N204" s="186" t="s">
        <v>532</v>
      </c>
      <c r="O204" s="186" t="s">
        <v>533</v>
      </c>
      <c r="Q204" t="s">
        <v>534</v>
      </c>
      <c r="R204" t="s">
        <v>535</v>
      </c>
    </row>
    <row r="205" spans="1:18" x14ac:dyDescent="0.25">
      <c r="A205" t="str">
        <f>TableOCEDUC[[#This Row],[Study Package Code]]</f>
        <v>Opt-OCEDUC</v>
      </c>
      <c r="B205" s="1">
        <f>TableOCEDUC[[#This Row],[Ver]]</f>
        <v>0</v>
      </c>
      <c r="D205" t="str">
        <f>TableOCEDUC[[#This Row],[Structure Line]]</f>
        <v>Choose Options to the value of 100CP</v>
      </c>
      <c r="E205" s="89">
        <f>TableOCEDUC[[#This Row],[Credit Points]]</f>
        <v>100</v>
      </c>
      <c r="F205">
        <v>1</v>
      </c>
      <c r="G205" t="s">
        <v>571</v>
      </c>
      <c r="H205">
        <v>0</v>
      </c>
      <c r="I205" t="s">
        <v>537</v>
      </c>
      <c r="J205" t="s">
        <v>514</v>
      </c>
      <c r="L205" t="s">
        <v>621</v>
      </c>
      <c r="M205">
        <v>100</v>
      </c>
      <c r="N205" s="187"/>
      <c r="O205" s="187"/>
      <c r="Q205" t="s">
        <v>620</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9">
        <f>TableOCEDUC[[#This Row],[Credit Points]]</f>
        <v>25</v>
      </c>
      <c r="F206">
        <v>1</v>
      </c>
      <c r="G206" t="s">
        <v>571</v>
      </c>
      <c r="H206">
        <v>0</v>
      </c>
      <c r="I206" t="s">
        <v>537</v>
      </c>
      <c r="J206" t="s">
        <v>84</v>
      </c>
      <c r="K206">
        <v>1</v>
      </c>
      <c r="L206" t="s">
        <v>543</v>
      </c>
      <c r="M206">
        <v>25</v>
      </c>
      <c r="N206" s="187">
        <v>43101</v>
      </c>
      <c r="O206" s="187"/>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9">
        <f>TableOCEDUC[[#This Row],[Credit Points]]</f>
        <v>25</v>
      </c>
      <c r="F207">
        <v>1</v>
      </c>
      <c r="G207" t="s">
        <v>571</v>
      </c>
      <c r="H207">
        <v>0</v>
      </c>
      <c r="I207" t="s">
        <v>537</v>
      </c>
      <c r="J207" t="s">
        <v>107</v>
      </c>
      <c r="K207">
        <v>1</v>
      </c>
      <c r="L207" t="s">
        <v>552</v>
      </c>
      <c r="M207">
        <v>25</v>
      </c>
      <c r="N207" s="187">
        <v>43101</v>
      </c>
      <c r="O207" s="187"/>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9">
        <f>TableOCEDUC[[#This Row],[Credit Points]]</f>
        <v>25</v>
      </c>
      <c r="F208">
        <v>1</v>
      </c>
      <c r="G208" t="s">
        <v>571</v>
      </c>
      <c r="H208">
        <v>0</v>
      </c>
      <c r="I208" t="s">
        <v>537</v>
      </c>
      <c r="J208" t="s">
        <v>83</v>
      </c>
      <c r="K208">
        <v>1</v>
      </c>
      <c r="L208" t="s">
        <v>551</v>
      </c>
      <c r="M208">
        <v>25</v>
      </c>
      <c r="N208" s="187">
        <v>43101</v>
      </c>
      <c r="O208" s="187"/>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9">
        <f>TableOCEDUC[[#This Row],[Credit Points]]</f>
        <v>25</v>
      </c>
      <c r="F209">
        <v>1</v>
      </c>
      <c r="G209" t="s">
        <v>571</v>
      </c>
      <c r="H209">
        <v>0</v>
      </c>
      <c r="I209" t="s">
        <v>537</v>
      </c>
      <c r="J209" t="s">
        <v>87</v>
      </c>
      <c r="K209">
        <v>1</v>
      </c>
      <c r="L209" t="s">
        <v>556</v>
      </c>
      <c r="M209">
        <v>25</v>
      </c>
      <c r="N209" s="187">
        <v>42736</v>
      </c>
      <c r="O209" s="187"/>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9">
        <f>TableOCEDUC[[#This Row],[Credit Points]]</f>
        <v>25</v>
      </c>
      <c r="F210">
        <v>1</v>
      </c>
      <c r="G210" t="s">
        <v>571</v>
      </c>
      <c r="H210">
        <v>0</v>
      </c>
      <c r="I210" t="s">
        <v>537</v>
      </c>
      <c r="J210" t="s">
        <v>86</v>
      </c>
      <c r="K210">
        <v>1</v>
      </c>
      <c r="L210" t="s">
        <v>558</v>
      </c>
      <c r="M210">
        <v>25</v>
      </c>
      <c r="N210" s="187">
        <v>42736</v>
      </c>
      <c r="O210" s="187"/>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9">
        <f>TableOCEDUC[[#This Row],[Credit Points]]</f>
        <v>25</v>
      </c>
      <c r="F211">
        <v>1</v>
      </c>
      <c r="G211" t="s">
        <v>571</v>
      </c>
      <c r="H211">
        <v>0</v>
      </c>
      <c r="I211" t="s">
        <v>537</v>
      </c>
      <c r="J211" t="s">
        <v>115</v>
      </c>
      <c r="K211">
        <v>1</v>
      </c>
      <c r="L211" t="s">
        <v>563</v>
      </c>
      <c r="M211">
        <v>25</v>
      </c>
      <c r="N211" s="187">
        <v>42736</v>
      </c>
      <c r="O211" s="187"/>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9">
        <f>TableOCEDUC[[#This Row],[Credit Points]]</f>
        <v>25</v>
      </c>
      <c r="F212">
        <v>1</v>
      </c>
      <c r="G212" t="s">
        <v>571</v>
      </c>
      <c r="H212">
        <v>0</v>
      </c>
      <c r="I212" t="s">
        <v>537</v>
      </c>
      <c r="J212" t="s">
        <v>108</v>
      </c>
      <c r="K212">
        <v>1</v>
      </c>
      <c r="L212" t="s">
        <v>561</v>
      </c>
      <c r="M212">
        <v>25</v>
      </c>
      <c r="N212" s="187">
        <v>42736</v>
      </c>
      <c r="O212" s="187"/>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9">
        <f>TableOCEDUC[[#This Row],[Credit Points]]</f>
        <v>25</v>
      </c>
      <c r="F213">
        <v>1</v>
      </c>
      <c r="G213" t="s">
        <v>571</v>
      </c>
      <c r="H213">
        <v>0</v>
      </c>
      <c r="I213" t="s">
        <v>537</v>
      </c>
      <c r="J213" t="s">
        <v>262</v>
      </c>
      <c r="K213">
        <v>1</v>
      </c>
      <c r="L213" t="s">
        <v>569</v>
      </c>
      <c r="M213">
        <v>25</v>
      </c>
      <c r="N213" s="187">
        <v>42736</v>
      </c>
      <c r="O213" s="187"/>
      <c r="Q213" t="s">
        <v>262</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9">
        <f>TableOCEDUC[[#This Row],[Credit Points]]</f>
        <v>25</v>
      </c>
      <c r="F214">
        <v>1</v>
      </c>
      <c r="G214" t="s">
        <v>571</v>
      </c>
      <c r="H214">
        <v>0</v>
      </c>
      <c r="I214" t="s">
        <v>537</v>
      </c>
      <c r="J214" t="s">
        <v>75</v>
      </c>
      <c r="K214">
        <v>2</v>
      </c>
      <c r="L214" t="s">
        <v>547</v>
      </c>
      <c r="M214">
        <v>25</v>
      </c>
      <c r="N214" s="187">
        <v>44197</v>
      </c>
      <c r="O214" s="187"/>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9">
        <f>TableOCEDUC[[#This Row],[Credit Points]]</f>
        <v>25</v>
      </c>
      <c r="F215">
        <v>1</v>
      </c>
      <c r="G215" t="s">
        <v>571</v>
      </c>
      <c r="H215">
        <v>0</v>
      </c>
      <c r="I215" t="s">
        <v>537</v>
      </c>
      <c r="J215" t="s">
        <v>80</v>
      </c>
      <c r="K215">
        <v>1</v>
      </c>
      <c r="L215" t="s">
        <v>546</v>
      </c>
      <c r="M215">
        <v>25</v>
      </c>
      <c r="N215" s="187">
        <v>42736</v>
      </c>
      <c r="O215" s="187"/>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9">
        <f>TableOCEDUC[[#This Row],[Credit Points]]</f>
        <v>25</v>
      </c>
      <c r="F216">
        <v>1</v>
      </c>
      <c r="G216" t="s">
        <v>571</v>
      </c>
      <c r="H216">
        <v>0</v>
      </c>
      <c r="I216" t="s">
        <v>537</v>
      </c>
      <c r="J216" t="s">
        <v>96</v>
      </c>
      <c r="K216">
        <v>1</v>
      </c>
      <c r="L216" t="s">
        <v>565</v>
      </c>
      <c r="M216">
        <v>25</v>
      </c>
      <c r="N216" s="187">
        <v>42736</v>
      </c>
      <c r="O216" s="187"/>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9">
        <f>TableOCEDUC[[#This Row],[Credit Points]]</f>
        <v>25</v>
      </c>
      <c r="F217">
        <v>1</v>
      </c>
      <c r="G217" t="s">
        <v>571</v>
      </c>
      <c r="H217">
        <v>0</v>
      </c>
      <c r="I217" t="s">
        <v>537</v>
      </c>
      <c r="J217" t="s">
        <v>95</v>
      </c>
      <c r="K217">
        <v>1</v>
      </c>
      <c r="L217" t="s">
        <v>555</v>
      </c>
      <c r="M217">
        <v>25</v>
      </c>
      <c r="N217" s="187">
        <v>42736</v>
      </c>
      <c r="O217" s="187"/>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9">
        <f>TableOCEDUC[[#This Row],[Credit Points]]</f>
        <v>25</v>
      </c>
      <c r="F218">
        <v>1</v>
      </c>
      <c r="G218" t="s">
        <v>571</v>
      </c>
      <c r="H218">
        <v>0</v>
      </c>
      <c r="I218" t="s">
        <v>537</v>
      </c>
      <c r="J218" t="s">
        <v>263</v>
      </c>
      <c r="K218">
        <v>1</v>
      </c>
      <c r="L218" t="s">
        <v>586</v>
      </c>
      <c r="M218">
        <v>25</v>
      </c>
      <c r="N218" s="187">
        <v>44562</v>
      </c>
      <c r="O218" s="187"/>
      <c r="Q218" t="s">
        <v>263</v>
      </c>
      <c r="R218">
        <v>1</v>
      </c>
    </row>
    <row r="220" spans="1:18" x14ac:dyDescent="0.25">
      <c r="B220"/>
      <c r="E220"/>
      <c r="F220" s="87"/>
      <c r="G220" s="88" t="s">
        <v>522</v>
      </c>
      <c r="H220" s="249">
        <v>44197</v>
      </c>
      <c r="J220" s="250" t="s">
        <v>89</v>
      </c>
      <c r="K220" s="251" t="s">
        <v>71</v>
      </c>
      <c r="L220" s="119" t="s">
        <v>88</v>
      </c>
      <c r="N220" s="234" t="s">
        <v>524</v>
      </c>
      <c r="O220" s="201">
        <v>45552</v>
      </c>
    </row>
    <row r="221" spans="1:18" x14ac:dyDescent="0.25">
      <c r="A221" t="s">
        <v>0</v>
      </c>
      <c r="B221" s="1" t="s">
        <v>525</v>
      </c>
      <c r="C221" t="s">
        <v>21</v>
      </c>
      <c r="D221" t="s">
        <v>3</v>
      </c>
      <c r="E221" s="89" t="s">
        <v>526</v>
      </c>
      <c r="F221" t="s">
        <v>527</v>
      </c>
      <c r="G221" t="s">
        <v>528</v>
      </c>
      <c r="H221" t="s">
        <v>529</v>
      </c>
      <c r="I221" t="s">
        <v>22</v>
      </c>
      <c r="J221" t="s">
        <v>530</v>
      </c>
      <c r="K221" t="s">
        <v>1</v>
      </c>
      <c r="L221" t="s">
        <v>531</v>
      </c>
      <c r="M221" t="s">
        <v>58</v>
      </c>
      <c r="N221" s="186" t="s">
        <v>532</v>
      </c>
      <c r="O221" s="186" t="s">
        <v>533</v>
      </c>
      <c r="Q221" t="s">
        <v>534</v>
      </c>
      <c r="R221" t="s">
        <v>535</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9">
        <f>TableOCEDHE1[[#This Row],[Credit Points]]</f>
        <v>25</v>
      </c>
      <c r="F222">
        <v>1</v>
      </c>
      <c r="G222" t="s">
        <v>539</v>
      </c>
      <c r="H222">
        <v>1</v>
      </c>
      <c r="I222" t="s">
        <v>537</v>
      </c>
      <c r="J222" t="s">
        <v>252</v>
      </c>
      <c r="K222">
        <v>1</v>
      </c>
      <c r="L222" t="s">
        <v>622</v>
      </c>
      <c r="M222">
        <v>25</v>
      </c>
      <c r="N222" s="187">
        <v>43466</v>
      </c>
      <c r="O222" s="187"/>
      <c r="Q222" t="s">
        <v>252</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9">
        <f>TableOCEDHE1[[#This Row],[Credit Points]]</f>
        <v>25</v>
      </c>
      <c r="F223">
        <v>2</v>
      </c>
      <c r="G223" t="s">
        <v>539</v>
      </c>
      <c r="H223">
        <v>1</v>
      </c>
      <c r="I223" t="s">
        <v>537</v>
      </c>
      <c r="J223" t="s">
        <v>253</v>
      </c>
      <c r="K223">
        <v>1</v>
      </c>
      <c r="L223" t="s">
        <v>623</v>
      </c>
      <c r="M223">
        <v>25</v>
      </c>
      <c r="N223" s="187">
        <v>43466</v>
      </c>
      <c r="O223" s="187"/>
      <c r="Q223" t="s">
        <v>253</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9">
        <f>TableOCEDHE1[[#This Row],[Credit Points]]</f>
        <v>25</v>
      </c>
      <c r="F224">
        <v>3</v>
      </c>
      <c r="G224" t="s">
        <v>539</v>
      </c>
      <c r="H224">
        <v>1</v>
      </c>
      <c r="I224" t="s">
        <v>537</v>
      </c>
      <c r="J224" t="s">
        <v>254</v>
      </c>
      <c r="K224">
        <v>1</v>
      </c>
      <c r="L224" t="s">
        <v>624</v>
      </c>
      <c r="M224">
        <v>25</v>
      </c>
      <c r="N224" s="187">
        <v>43466</v>
      </c>
      <c r="O224" s="187"/>
      <c r="Q224" t="s">
        <v>254</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9">
        <f>TableOCEDHE1[[#This Row],[Credit Points]]</f>
        <v>25</v>
      </c>
      <c r="F225">
        <v>4</v>
      </c>
      <c r="G225" t="s">
        <v>539</v>
      </c>
      <c r="H225">
        <v>1</v>
      </c>
      <c r="I225" t="s">
        <v>537</v>
      </c>
      <c r="J225" t="s">
        <v>255</v>
      </c>
      <c r="K225">
        <v>1</v>
      </c>
      <c r="L225" t="s">
        <v>625</v>
      </c>
      <c r="M225">
        <v>25</v>
      </c>
      <c r="N225" s="187">
        <v>43466</v>
      </c>
      <c r="O225" s="187"/>
      <c r="Q225" t="s">
        <v>255</v>
      </c>
      <c r="R225">
        <v>1</v>
      </c>
    </row>
    <row r="226" spans="1:18" x14ac:dyDescent="0.25">
      <c r="B226"/>
      <c r="E226"/>
      <c r="F226" s="87"/>
      <c r="G226" s="88" t="s">
        <v>522</v>
      </c>
      <c r="H226" s="249">
        <v>43466</v>
      </c>
      <c r="J226" s="250" t="s">
        <v>90</v>
      </c>
      <c r="K226" s="251" t="s">
        <v>71</v>
      </c>
      <c r="L226" s="170" t="s">
        <v>47</v>
      </c>
      <c r="N226" s="234" t="s">
        <v>524</v>
      </c>
      <c r="O226" s="201">
        <v>45552</v>
      </c>
    </row>
    <row r="227" spans="1:18" x14ac:dyDescent="0.25">
      <c r="A227" t="s">
        <v>0</v>
      </c>
      <c r="B227" s="1" t="s">
        <v>525</v>
      </c>
      <c r="C227" t="s">
        <v>21</v>
      </c>
      <c r="D227" t="s">
        <v>3</v>
      </c>
      <c r="E227" s="89" t="s">
        <v>526</v>
      </c>
      <c r="F227" t="s">
        <v>527</v>
      </c>
      <c r="G227" t="s">
        <v>528</v>
      </c>
      <c r="H227" t="s">
        <v>529</v>
      </c>
      <c r="I227" t="s">
        <v>22</v>
      </c>
      <c r="J227" t="s">
        <v>530</v>
      </c>
      <c r="K227" t="s">
        <v>1</v>
      </c>
      <c r="L227" t="s">
        <v>531</v>
      </c>
      <c r="M227" t="s">
        <v>58</v>
      </c>
      <c r="N227" s="186" t="s">
        <v>532</v>
      </c>
      <c r="O227" s="186" t="s">
        <v>533</v>
      </c>
      <c r="Q227" t="s">
        <v>534</v>
      </c>
      <c r="R227" t="s">
        <v>535</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9">
        <f>TableOCEDHE[[#This Row],[Credit Points]]</f>
        <v>25</v>
      </c>
      <c r="F228">
        <v>1</v>
      </c>
      <c r="G228" t="s">
        <v>539</v>
      </c>
      <c r="H228">
        <v>1</v>
      </c>
      <c r="I228" t="s">
        <v>537</v>
      </c>
      <c r="J228" t="s">
        <v>254</v>
      </c>
      <c r="K228">
        <v>1</v>
      </c>
      <c r="L228" t="s">
        <v>624</v>
      </c>
      <c r="M228">
        <v>25</v>
      </c>
      <c r="N228" s="187">
        <v>43466</v>
      </c>
      <c r="O228" s="187"/>
      <c r="Q228" t="s">
        <v>254</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9">
        <f>TableOCEDHE[[#This Row],[Credit Points]]</f>
        <v>25</v>
      </c>
      <c r="F229">
        <v>2</v>
      </c>
      <c r="G229" t="s">
        <v>539</v>
      </c>
      <c r="H229">
        <v>1</v>
      </c>
      <c r="I229" t="s">
        <v>537</v>
      </c>
      <c r="J229" t="s">
        <v>255</v>
      </c>
      <c r="K229">
        <v>1</v>
      </c>
      <c r="L229" t="s">
        <v>625</v>
      </c>
      <c r="M229">
        <v>25</v>
      </c>
      <c r="N229" s="187">
        <v>43466</v>
      </c>
      <c r="O229" s="187"/>
      <c r="Q229" t="s">
        <v>255</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9">
        <f>TableOCEDHE[[#This Row],[Credit Points]]</f>
        <v>25</v>
      </c>
      <c r="F230">
        <v>3</v>
      </c>
      <c r="G230" t="s">
        <v>539</v>
      </c>
      <c r="H230">
        <v>1</v>
      </c>
      <c r="I230" t="s">
        <v>537</v>
      </c>
      <c r="J230" t="s">
        <v>252</v>
      </c>
      <c r="K230">
        <v>1</v>
      </c>
      <c r="L230" t="s">
        <v>622</v>
      </c>
      <c r="M230">
        <v>25</v>
      </c>
      <c r="N230" s="187">
        <v>43466</v>
      </c>
      <c r="O230" s="187"/>
      <c r="Q230" t="s">
        <v>252</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9">
        <f>TableOCEDHE[[#This Row],[Credit Points]]</f>
        <v>25</v>
      </c>
      <c r="F231">
        <v>4</v>
      </c>
      <c r="G231" t="s">
        <v>539</v>
      </c>
      <c r="H231">
        <v>1</v>
      </c>
      <c r="I231" t="s">
        <v>537</v>
      </c>
      <c r="J231" t="s">
        <v>253</v>
      </c>
      <c r="K231">
        <v>1</v>
      </c>
      <c r="L231" t="s">
        <v>623</v>
      </c>
      <c r="M231">
        <v>25</v>
      </c>
      <c r="N231" s="187">
        <v>43466</v>
      </c>
      <c r="O231" s="187"/>
      <c r="Q231" t="s">
        <v>253</v>
      </c>
      <c r="R231">
        <v>1</v>
      </c>
    </row>
  </sheetData>
  <conditionalFormatting sqref="J4:J7">
    <cfRule type="duplicateValues" dxfId="68" priority="62"/>
  </conditionalFormatting>
  <conditionalFormatting sqref="J10:J25">
    <cfRule type="duplicateValues" dxfId="67" priority="50"/>
  </conditionalFormatting>
  <conditionalFormatting sqref="J28:J43">
    <cfRule type="duplicateValues" dxfId="66" priority="47"/>
  </conditionalFormatting>
  <conditionalFormatting sqref="J46:J85">
    <cfRule type="duplicateValues" dxfId="65" priority="44"/>
  </conditionalFormatting>
  <conditionalFormatting sqref="J89:J95">
    <cfRule type="duplicateValues" dxfId="64" priority="41"/>
  </conditionalFormatting>
  <conditionalFormatting sqref="J98:J103">
    <cfRule type="duplicateValues" dxfId="63" priority="38"/>
  </conditionalFormatting>
  <conditionalFormatting sqref="J106:J111">
    <cfRule type="duplicateValues" dxfId="62" priority="35"/>
  </conditionalFormatting>
  <conditionalFormatting sqref="J115:J130">
    <cfRule type="duplicateValues" dxfId="61" priority="32"/>
  </conditionalFormatting>
  <conditionalFormatting sqref="J133:J136">
    <cfRule type="duplicateValues" dxfId="60" priority="29"/>
  </conditionalFormatting>
  <conditionalFormatting sqref="J139:J142">
    <cfRule type="duplicateValues" dxfId="59" priority="26"/>
  </conditionalFormatting>
  <conditionalFormatting sqref="J145:J149">
    <cfRule type="duplicateValues" dxfId="58" priority="23"/>
  </conditionalFormatting>
  <conditionalFormatting sqref="J152:J154">
    <cfRule type="duplicateValues" dxfId="57" priority="20"/>
  </conditionalFormatting>
  <conditionalFormatting sqref="J157:J164">
    <cfRule type="duplicateValues" dxfId="56" priority="17"/>
  </conditionalFormatting>
  <conditionalFormatting sqref="J167:J186">
    <cfRule type="duplicateValues" dxfId="55" priority="14"/>
  </conditionalFormatting>
  <conditionalFormatting sqref="J189:J202">
    <cfRule type="duplicateValues" dxfId="54" priority="11"/>
  </conditionalFormatting>
  <conditionalFormatting sqref="J205:J218">
    <cfRule type="duplicateValues" dxfId="53" priority="8"/>
  </conditionalFormatting>
  <conditionalFormatting sqref="J222:J225">
    <cfRule type="duplicateValues" dxfId="52" priority="5"/>
  </conditionalFormatting>
  <conditionalFormatting sqref="J228:J231">
    <cfRule type="duplicateValues" dxfId="51" priority="2"/>
  </conditionalFormatting>
  <conditionalFormatting sqref="N4:N7">
    <cfRule type="cellIs" dxfId="50" priority="61" operator="greaterThan">
      <formula>$P$1</formula>
    </cfRule>
  </conditionalFormatting>
  <conditionalFormatting sqref="N10:N25">
    <cfRule type="cellIs" dxfId="49" priority="49" operator="greaterThan">
      <formula>$P$1</formula>
    </cfRule>
  </conditionalFormatting>
  <conditionalFormatting sqref="N28:N43">
    <cfRule type="cellIs" dxfId="48" priority="46" operator="greaterThan">
      <formula>$P$1</formula>
    </cfRule>
  </conditionalFormatting>
  <conditionalFormatting sqref="N46:N85">
    <cfRule type="cellIs" dxfId="47" priority="43" operator="greaterThan">
      <formula>$P$1</formula>
    </cfRule>
  </conditionalFormatting>
  <conditionalFormatting sqref="N89:N95">
    <cfRule type="cellIs" dxfId="46" priority="40" operator="greaterThan">
      <formula>$P$1</formula>
    </cfRule>
  </conditionalFormatting>
  <conditionalFormatting sqref="N98:N103">
    <cfRule type="cellIs" dxfId="45" priority="37" operator="greaterThan">
      <formula>$P$1</formula>
    </cfRule>
  </conditionalFormatting>
  <conditionalFormatting sqref="N106:N111">
    <cfRule type="cellIs" dxfId="44" priority="34" operator="greaterThan">
      <formula>$P$1</formula>
    </cfRule>
  </conditionalFormatting>
  <conditionalFormatting sqref="N115:N130">
    <cfRule type="cellIs" dxfId="43" priority="31" operator="greaterThan">
      <formula>$P$1</formula>
    </cfRule>
  </conditionalFormatting>
  <conditionalFormatting sqref="N133:N136">
    <cfRule type="cellIs" dxfId="42" priority="28" operator="greaterThan">
      <formula>$P$1</formula>
    </cfRule>
  </conditionalFormatting>
  <conditionalFormatting sqref="N139:N142">
    <cfRule type="cellIs" dxfId="41" priority="25" operator="greaterThan">
      <formula>$P$1</formula>
    </cfRule>
  </conditionalFormatting>
  <conditionalFormatting sqref="N145:N149">
    <cfRule type="cellIs" dxfId="40" priority="22" operator="greaterThan">
      <formula>$P$1</formula>
    </cfRule>
  </conditionalFormatting>
  <conditionalFormatting sqref="N152:N154">
    <cfRule type="cellIs" dxfId="39" priority="19" operator="greaterThan">
      <formula>$P$1</formula>
    </cfRule>
  </conditionalFormatting>
  <conditionalFormatting sqref="N157:N164">
    <cfRule type="cellIs" dxfId="38" priority="16" operator="greaterThan">
      <formula>$P$1</formula>
    </cfRule>
  </conditionalFormatting>
  <conditionalFormatting sqref="N167:N186">
    <cfRule type="cellIs" dxfId="37" priority="13" operator="greaterThan">
      <formula>$P$1</formula>
    </cfRule>
  </conditionalFormatting>
  <conditionalFormatting sqref="N189:N202">
    <cfRule type="cellIs" dxfId="36" priority="10" operator="greaterThan">
      <formula>$P$1</formula>
    </cfRule>
  </conditionalFormatting>
  <conditionalFormatting sqref="N205:N218">
    <cfRule type="cellIs" dxfId="35" priority="7" operator="greaterThan">
      <formula>$P$1</formula>
    </cfRule>
  </conditionalFormatting>
  <conditionalFormatting sqref="N222:N225">
    <cfRule type="cellIs" dxfId="34" priority="4" operator="greaterThan">
      <formula>$P$1</formula>
    </cfRule>
  </conditionalFormatting>
  <conditionalFormatting sqref="N228:N231">
    <cfRule type="cellIs" dxfId="33" priority="1" operator="greaterThan">
      <formula>$P$1</formula>
    </cfRule>
  </conditionalFormatting>
  <conditionalFormatting sqref="O4:O7">
    <cfRule type="notContainsBlanks" dxfId="32" priority="116">
      <formula>LEN(TRIM(O4))&gt;0</formula>
    </cfRule>
  </conditionalFormatting>
  <conditionalFormatting sqref="O10:O25">
    <cfRule type="notContainsBlanks" dxfId="31" priority="51">
      <formula>LEN(TRIM(O10))&gt;0</formula>
    </cfRule>
  </conditionalFormatting>
  <conditionalFormatting sqref="O28:O43">
    <cfRule type="notContainsBlanks" dxfId="30" priority="48">
      <formula>LEN(TRIM(O28))&gt;0</formula>
    </cfRule>
  </conditionalFormatting>
  <conditionalFormatting sqref="O46:O85">
    <cfRule type="notContainsBlanks" dxfId="29" priority="45">
      <formula>LEN(TRIM(O46))&gt;0</formula>
    </cfRule>
  </conditionalFormatting>
  <conditionalFormatting sqref="O89:O95">
    <cfRule type="notContainsBlanks" dxfId="28" priority="42">
      <formula>LEN(TRIM(O89))&gt;0</formula>
    </cfRule>
  </conditionalFormatting>
  <conditionalFormatting sqref="O98:O103">
    <cfRule type="notContainsBlanks" dxfId="27" priority="39">
      <formula>LEN(TRIM(O98))&gt;0</formula>
    </cfRule>
  </conditionalFormatting>
  <conditionalFormatting sqref="O106:O111">
    <cfRule type="notContainsBlanks" dxfId="26" priority="36">
      <formula>LEN(TRIM(O106))&gt;0</formula>
    </cfRule>
  </conditionalFormatting>
  <conditionalFormatting sqref="O115:O130">
    <cfRule type="notContainsBlanks" dxfId="25" priority="33">
      <formula>LEN(TRIM(O115))&gt;0</formula>
    </cfRule>
  </conditionalFormatting>
  <conditionalFormatting sqref="O133:O136">
    <cfRule type="notContainsBlanks" dxfId="24" priority="30">
      <formula>LEN(TRIM(O133))&gt;0</formula>
    </cfRule>
  </conditionalFormatting>
  <conditionalFormatting sqref="O139:O142">
    <cfRule type="notContainsBlanks" dxfId="23" priority="27">
      <formula>LEN(TRIM(O139))&gt;0</formula>
    </cfRule>
  </conditionalFormatting>
  <conditionalFormatting sqref="O145:O149">
    <cfRule type="notContainsBlanks" dxfId="22" priority="24">
      <formula>LEN(TRIM(O145))&gt;0</formula>
    </cfRule>
  </conditionalFormatting>
  <conditionalFormatting sqref="O152:O154">
    <cfRule type="notContainsBlanks" dxfId="21" priority="21">
      <formula>LEN(TRIM(O152))&gt;0</formula>
    </cfRule>
  </conditionalFormatting>
  <conditionalFormatting sqref="O157:O164">
    <cfRule type="notContainsBlanks" dxfId="20" priority="18">
      <formula>LEN(TRIM(O157))&gt;0</formula>
    </cfRule>
  </conditionalFormatting>
  <conditionalFormatting sqref="O167:O186">
    <cfRule type="notContainsBlanks" dxfId="19" priority="15">
      <formula>LEN(TRIM(O167))&gt;0</formula>
    </cfRule>
  </conditionalFormatting>
  <conditionalFormatting sqref="O189:O202">
    <cfRule type="notContainsBlanks" dxfId="18" priority="12">
      <formula>LEN(TRIM(O189))&gt;0</formula>
    </cfRule>
  </conditionalFormatting>
  <conditionalFormatting sqref="O205:O218">
    <cfRule type="notContainsBlanks" dxfId="17" priority="9">
      <formula>LEN(TRIM(O205))&gt;0</formula>
    </cfRule>
  </conditionalFormatting>
  <conditionalFormatting sqref="O222:O225">
    <cfRule type="notContainsBlanks" dxfId="16" priority="6">
      <formula>LEN(TRIM(O222))&gt;0</formula>
    </cfRule>
  </conditionalFormatting>
  <conditionalFormatting sqref="O228:O231">
    <cfRule type="notContainsBlanks" dxfId="15" priority="3">
      <formula>LEN(TRIM(O228))&gt;0</formula>
    </cfRule>
  </conditionalFormatting>
  <conditionalFormatting sqref="Q4:R7 Q152:R154 Q157:R164 Q167:R185">
    <cfRule type="expression" dxfId="14" priority="101">
      <formula>Q4&lt;&gt;J4</formula>
    </cfRule>
  </conditionalFormatting>
  <conditionalFormatting sqref="Q10:R25">
    <cfRule type="expression" dxfId="13" priority="86">
      <formula>Q10&lt;&gt;J10</formula>
    </cfRule>
  </conditionalFormatting>
  <conditionalFormatting sqref="Q28:R43">
    <cfRule type="expression" dxfId="12" priority="85">
      <formula>Q28&lt;&gt;J28</formula>
    </cfRule>
  </conditionalFormatting>
  <conditionalFormatting sqref="Q46:R85">
    <cfRule type="expression" dxfId="11" priority="84">
      <formula>Q46&lt;&gt;J46</formula>
    </cfRule>
  </conditionalFormatting>
  <conditionalFormatting sqref="Q89:R95">
    <cfRule type="expression" dxfId="10" priority="83">
      <formula>Q89&lt;&gt;J89</formula>
    </cfRule>
  </conditionalFormatting>
  <conditionalFormatting sqref="Q98:R103">
    <cfRule type="expression" dxfId="9" priority="82">
      <formula>Q98&lt;&gt;J98</formula>
    </cfRule>
  </conditionalFormatting>
  <conditionalFormatting sqref="Q106:R111">
    <cfRule type="expression" dxfId="8" priority="81">
      <formula>Q106&lt;&gt;J106</formula>
    </cfRule>
  </conditionalFormatting>
  <conditionalFormatting sqref="Q115:R130">
    <cfRule type="expression" dxfId="7" priority="80">
      <formula>Q115&lt;&gt;J115</formula>
    </cfRule>
  </conditionalFormatting>
  <conditionalFormatting sqref="Q133:R136">
    <cfRule type="expression" dxfId="6" priority="79">
      <formula>Q133&lt;&gt;J133</formula>
    </cfRule>
  </conditionalFormatting>
  <conditionalFormatting sqref="Q139:R142">
    <cfRule type="expression" dxfId="5" priority="78">
      <formula>Q139&lt;&gt;J139</formula>
    </cfRule>
  </conditionalFormatting>
  <conditionalFormatting sqref="Q145:R148">
    <cfRule type="expression" dxfId="4" priority="77">
      <formula>Q145&lt;&gt;J145</formula>
    </cfRule>
  </conditionalFormatting>
  <conditionalFormatting sqref="Q189:R202">
    <cfRule type="expression" dxfId="3" priority="75">
      <formula>Q189&lt;&gt;J189</formula>
    </cfRule>
  </conditionalFormatting>
  <conditionalFormatting sqref="Q205:R218">
    <cfRule type="expression" dxfId="2" priority="74">
      <formula>Q205&lt;&gt;J205</formula>
    </cfRule>
  </conditionalFormatting>
  <conditionalFormatting sqref="Q222:R225">
    <cfRule type="expression" dxfId="1" priority="73">
      <formula>Q222&lt;&gt;J222</formula>
    </cfRule>
  </conditionalFormatting>
  <conditionalFormatting sqref="Q228:R231">
    <cfRule type="expression" dxfId="0"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D7" sqref="D7"/>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70"/>
      <c r="F1" s="189" t="s">
        <v>524</v>
      </c>
      <c r="G1" s="190">
        <v>45622</v>
      </c>
    </row>
    <row r="2" spans="1:12" ht="76.5" x14ac:dyDescent="0.25">
      <c r="A2" t="s">
        <v>626</v>
      </c>
      <c r="B2" s="233" t="s">
        <v>613</v>
      </c>
      <c r="C2" s="233" t="s">
        <v>614</v>
      </c>
      <c r="D2" s="233" t="s">
        <v>615</v>
      </c>
      <c r="E2" s="233" t="s">
        <v>616</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252</v>
      </c>
      <c r="B13" s="1">
        <v>1</v>
      </c>
      <c r="C13" s="1"/>
      <c r="D13" s="1">
        <v>1</v>
      </c>
      <c r="E13" s="1"/>
      <c r="H13" t="s">
        <v>252</v>
      </c>
      <c r="I13">
        <v>1</v>
      </c>
      <c r="K13">
        <v>1</v>
      </c>
    </row>
    <row r="14" spans="1:12" x14ac:dyDescent="0.25">
      <c r="A14" t="s">
        <v>253</v>
      </c>
      <c r="B14" s="1"/>
      <c r="C14" s="1">
        <v>1</v>
      </c>
      <c r="D14" s="1"/>
      <c r="E14" s="1">
        <v>1</v>
      </c>
      <c r="H14" t="s">
        <v>253</v>
      </c>
      <c r="J14">
        <v>1</v>
      </c>
      <c r="L14">
        <v>1</v>
      </c>
    </row>
    <row r="15" spans="1:12" x14ac:dyDescent="0.25">
      <c r="A15" t="s">
        <v>254</v>
      </c>
      <c r="B15" s="1">
        <v>1</v>
      </c>
      <c r="C15" s="1"/>
      <c r="D15" s="1">
        <v>1</v>
      </c>
      <c r="E15" s="1"/>
      <c r="H15" t="s">
        <v>254</v>
      </c>
      <c r="I15">
        <v>1</v>
      </c>
      <c r="K15">
        <v>1</v>
      </c>
    </row>
    <row r="16" spans="1:12" x14ac:dyDescent="0.25">
      <c r="A16" t="s">
        <v>255</v>
      </c>
      <c r="B16" s="1"/>
      <c r="C16" s="1">
        <v>1</v>
      </c>
      <c r="D16" s="1"/>
      <c r="E16" s="1">
        <v>1</v>
      </c>
      <c r="H16" t="s">
        <v>255</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281</v>
      </c>
      <c r="B25" s="1">
        <v>1</v>
      </c>
      <c r="C25" s="1">
        <v>1</v>
      </c>
      <c r="D25" s="1"/>
      <c r="E25" s="1"/>
      <c r="H25" t="s">
        <v>281</v>
      </c>
      <c r="I25">
        <v>1</v>
      </c>
      <c r="J25">
        <v>1</v>
      </c>
    </row>
    <row r="26" spans="1:12" x14ac:dyDescent="0.25">
      <c r="A26" t="s">
        <v>282</v>
      </c>
      <c r="B26" s="1"/>
      <c r="C26" s="1">
        <v>1</v>
      </c>
      <c r="D26" s="1"/>
      <c r="E26" s="1">
        <v>1</v>
      </c>
      <c r="H26" t="s">
        <v>282</v>
      </c>
      <c r="J26">
        <v>1</v>
      </c>
      <c r="L26">
        <v>1</v>
      </c>
    </row>
    <row r="27" spans="1:12" x14ac:dyDescent="0.25">
      <c r="A27" t="s">
        <v>290</v>
      </c>
      <c r="B27" s="1">
        <v>1</v>
      </c>
      <c r="C27" s="1">
        <v>1</v>
      </c>
      <c r="D27" s="1"/>
      <c r="E27" s="1"/>
      <c r="H27" t="s">
        <v>290</v>
      </c>
      <c r="I27">
        <v>1</v>
      </c>
      <c r="J27">
        <v>1</v>
      </c>
    </row>
    <row r="28" spans="1:12" x14ac:dyDescent="0.25">
      <c r="A28" t="s">
        <v>262</v>
      </c>
      <c r="B28" s="1">
        <v>1</v>
      </c>
      <c r="C28" s="1"/>
      <c r="D28" s="1">
        <v>1</v>
      </c>
      <c r="E28" s="1"/>
      <c r="H28" t="s">
        <v>262</v>
      </c>
      <c r="I28">
        <v>1</v>
      </c>
      <c r="K28">
        <v>1</v>
      </c>
    </row>
    <row r="29" spans="1:12" x14ac:dyDescent="0.25">
      <c r="A29" t="s">
        <v>315</v>
      </c>
      <c r="B29" s="1"/>
      <c r="C29" s="1">
        <v>1</v>
      </c>
      <c r="D29" s="1"/>
      <c r="E29" s="1">
        <v>1</v>
      </c>
      <c r="H29" t="s">
        <v>315</v>
      </c>
      <c r="J29">
        <v>1</v>
      </c>
      <c r="L29">
        <v>1</v>
      </c>
    </row>
    <row r="30" spans="1:12" x14ac:dyDescent="0.25">
      <c r="A30" t="s">
        <v>316</v>
      </c>
      <c r="B30" s="1"/>
      <c r="C30" s="1">
        <v>1</v>
      </c>
      <c r="D30" s="1"/>
      <c r="E30" s="1">
        <v>1</v>
      </c>
      <c r="H30" t="s">
        <v>316</v>
      </c>
      <c r="J30">
        <v>1</v>
      </c>
      <c r="L30">
        <v>1</v>
      </c>
    </row>
    <row r="31" spans="1:12" x14ac:dyDescent="0.25">
      <c r="A31" t="s">
        <v>318</v>
      </c>
      <c r="B31" s="1"/>
      <c r="C31" s="1">
        <v>1</v>
      </c>
      <c r="D31" s="1"/>
      <c r="E31" s="1">
        <v>1</v>
      </c>
      <c r="H31" t="s">
        <v>318</v>
      </c>
      <c r="J31">
        <v>1</v>
      </c>
      <c r="L31">
        <v>1</v>
      </c>
    </row>
    <row r="32" spans="1:12" x14ac:dyDescent="0.25">
      <c r="A32" t="s">
        <v>319</v>
      </c>
      <c r="B32" s="1"/>
      <c r="C32" s="1">
        <v>1</v>
      </c>
      <c r="D32" s="1"/>
      <c r="E32" s="1">
        <v>1</v>
      </c>
      <c r="H32" t="s">
        <v>319</v>
      </c>
      <c r="J32">
        <v>1</v>
      </c>
      <c r="L32">
        <v>1</v>
      </c>
    </row>
    <row r="33" spans="1:12" x14ac:dyDescent="0.25">
      <c r="A33" t="s">
        <v>320</v>
      </c>
      <c r="B33" s="1"/>
      <c r="C33" s="1">
        <v>1</v>
      </c>
      <c r="D33" s="1"/>
      <c r="E33" s="1">
        <v>1</v>
      </c>
      <c r="H33" t="s">
        <v>320</v>
      </c>
      <c r="J33">
        <v>1</v>
      </c>
      <c r="L33">
        <v>1</v>
      </c>
    </row>
    <row r="34" spans="1:12" x14ac:dyDescent="0.25">
      <c r="A34" t="s">
        <v>323</v>
      </c>
      <c r="B34" s="1"/>
      <c r="C34" s="1">
        <v>1</v>
      </c>
      <c r="D34" s="1"/>
      <c r="E34" s="1">
        <v>1</v>
      </c>
      <c r="H34" t="s">
        <v>323</v>
      </c>
      <c r="I34">
        <v>1</v>
      </c>
      <c r="J34">
        <v>1</v>
      </c>
      <c r="K34">
        <v>1</v>
      </c>
      <c r="L34">
        <v>1</v>
      </c>
    </row>
    <row r="35" spans="1:12" x14ac:dyDescent="0.25">
      <c r="A35" t="s">
        <v>326</v>
      </c>
      <c r="B35" s="1"/>
      <c r="C35" s="1">
        <v>1</v>
      </c>
      <c r="D35" s="1"/>
      <c r="E35" s="1">
        <v>1</v>
      </c>
      <c r="H35" t="s">
        <v>326</v>
      </c>
      <c r="I35">
        <v>1</v>
      </c>
      <c r="J35">
        <v>1</v>
      </c>
      <c r="K35">
        <v>1</v>
      </c>
      <c r="L35">
        <v>1</v>
      </c>
    </row>
    <row r="36" spans="1:12" x14ac:dyDescent="0.25">
      <c r="A36" t="s">
        <v>327</v>
      </c>
      <c r="B36" s="1"/>
      <c r="C36" s="1">
        <v>1</v>
      </c>
      <c r="D36" s="1"/>
      <c r="E36" s="1">
        <v>1</v>
      </c>
      <c r="H36" t="s">
        <v>327</v>
      </c>
      <c r="I36">
        <v>1</v>
      </c>
      <c r="J36">
        <v>1</v>
      </c>
      <c r="K36">
        <v>1</v>
      </c>
      <c r="L36">
        <v>1</v>
      </c>
    </row>
    <row r="37" spans="1:12" x14ac:dyDescent="0.25">
      <c r="A37" t="s">
        <v>328</v>
      </c>
      <c r="B37" s="1"/>
      <c r="C37" s="1">
        <v>1</v>
      </c>
      <c r="D37" s="1"/>
      <c r="E37" s="1">
        <v>1</v>
      </c>
      <c r="H37" t="s">
        <v>328</v>
      </c>
      <c r="I37">
        <v>1</v>
      </c>
      <c r="J37">
        <v>1</v>
      </c>
      <c r="K37">
        <v>1</v>
      </c>
      <c r="L37">
        <v>1</v>
      </c>
    </row>
    <row r="38" spans="1:12" x14ac:dyDescent="0.25">
      <c r="A38" t="s">
        <v>294</v>
      </c>
      <c r="B38" s="1"/>
      <c r="C38" s="1">
        <v>1</v>
      </c>
      <c r="D38" s="1">
        <v>1</v>
      </c>
      <c r="E38" s="1"/>
      <c r="H38" t="s">
        <v>294</v>
      </c>
      <c r="J38">
        <v>1</v>
      </c>
      <c r="K38">
        <v>1</v>
      </c>
    </row>
    <row r="39" spans="1:12" x14ac:dyDescent="0.25">
      <c r="A39" t="s">
        <v>324</v>
      </c>
      <c r="B39" s="1"/>
      <c r="C39" s="1">
        <v>1</v>
      </c>
      <c r="D39" s="1"/>
      <c r="E39" s="1">
        <v>1</v>
      </c>
      <c r="H39" t="s">
        <v>324</v>
      </c>
      <c r="I39">
        <v>1</v>
      </c>
      <c r="J39">
        <v>1</v>
      </c>
      <c r="K39">
        <v>1</v>
      </c>
      <c r="L39">
        <v>1</v>
      </c>
    </row>
    <row r="40" spans="1:12" x14ac:dyDescent="0.25">
      <c r="A40" t="s">
        <v>317</v>
      </c>
      <c r="B40" s="1"/>
      <c r="C40" s="1">
        <v>1</v>
      </c>
      <c r="D40" s="1"/>
      <c r="E40" s="1">
        <v>1</v>
      </c>
      <c r="H40" t="s">
        <v>317</v>
      </c>
      <c r="J40">
        <v>1</v>
      </c>
      <c r="L40">
        <v>1</v>
      </c>
    </row>
    <row r="41" spans="1:12" x14ac:dyDescent="0.25">
      <c r="A41" t="s">
        <v>325</v>
      </c>
      <c r="B41" s="1"/>
      <c r="C41" s="1">
        <v>1</v>
      </c>
      <c r="D41" s="1"/>
      <c r="E41" s="1">
        <v>1</v>
      </c>
      <c r="H41" t="s">
        <v>325</v>
      </c>
      <c r="I41">
        <v>1</v>
      </c>
      <c r="J41">
        <v>1</v>
      </c>
      <c r="K41">
        <v>1</v>
      </c>
      <c r="L41">
        <v>1</v>
      </c>
    </row>
    <row r="42" spans="1:12" x14ac:dyDescent="0.25">
      <c r="A42" t="s">
        <v>333</v>
      </c>
      <c r="B42" s="1"/>
      <c r="C42" s="1">
        <v>1</v>
      </c>
      <c r="D42" s="1"/>
      <c r="E42" s="1">
        <v>1</v>
      </c>
      <c r="H42" t="s">
        <v>333</v>
      </c>
      <c r="J42">
        <v>1</v>
      </c>
      <c r="L42">
        <v>1</v>
      </c>
    </row>
    <row r="43" spans="1:12" x14ac:dyDescent="0.25">
      <c r="A43" t="s">
        <v>302</v>
      </c>
      <c r="B43" s="1">
        <v>1</v>
      </c>
      <c r="C43" s="1"/>
      <c r="D43" s="1"/>
      <c r="E43" s="1"/>
      <c r="H43" t="s">
        <v>302</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224</v>
      </c>
      <c r="B48" s="1"/>
      <c r="C48" s="1">
        <v>1</v>
      </c>
      <c r="D48" s="1"/>
      <c r="E48" s="1">
        <v>1</v>
      </c>
      <c r="H48" t="s">
        <v>224</v>
      </c>
      <c r="J48">
        <v>1</v>
      </c>
      <c r="L48">
        <v>1</v>
      </c>
    </row>
    <row r="49" spans="1:12" x14ac:dyDescent="0.25">
      <c r="A49" t="s">
        <v>239</v>
      </c>
      <c r="B49" s="1">
        <v>1</v>
      </c>
      <c r="C49" s="1"/>
      <c r="D49" s="1">
        <v>1</v>
      </c>
      <c r="E49" s="1"/>
      <c r="H49" t="s">
        <v>239</v>
      </c>
      <c r="I49">
        <v>1</v>
      </c>
      <c r="K49">
        <v>1</v>
      </c>
    </row>
    <row r="50" spans="1:12" x14ac:dyDescent="0.25">
      <c r="A50" t="s">
        <v>223</v>
      </c>
      <c r="B50" s="1">
        <v>1</v>
      </c>
      <c r="C50" s="1"/>
      <c r="D50" s="1">
        <v>1</v>
      </c>
      <c r="E50" s="1"/>
      <c r="H50" t="s">
        <v>223</v>
      </c>
      <c r="I50">
        <v>1</v>
      </c>
      <c r="K50">
        <v>1</v>
      </c>
    </row>
    <row r="51" spans="1:12" x14ac:dyDescent="0.25">
      <c r="A51" t="s">
        <v>229</v>
      </c>
      <c r="B51" s="1"/>
      <c r="C51" s="1">
        <v>1</v>
      </c>
      <c r="D51" s="1"/>
      <c r="E51" s="1">
        <v>1</v>
      </c>
      <c r="H51" t="s">
        <v>229</v>
      </c>
      <c r="J51">
        <v>1</v>
      </c>
      <c r="L51">
        <v>1</v>
      </c>
    </row>
    <row r="52" spans="1:12" x14ac:dyDescent="0.25">
      <c r="A52" t="s">
        <v>242</v>
      </c>
      <c r="B52" s="1">
        <v>1</v>
      </c>
      <c r="C52" s="1"/>
      <c r="D52" s="1">
        <v>1</v>
      </c>
      <c r="E52" s="1"/>
      <c r="H52" t="s">
        <v>242</v>
      </c>
      <c r="I52">
        <v>1</v>
      </c>
      <c r="K52">
        <v>1</v>
      </c>
    </row>
    <row r="53" spans="1:12" x14ac:dyDescent="0.25">
      <c r="A53" t="s">
        <v>81</v>
      </c>
      <c r="B53" s="1">
        <v>1</v>
      </c>
      <c r="C53" s="1"/>
      <c r="D53" s="1">
        <v>1</v>
      </c>
      <c r="E53" s="1"/>
      <c r="H53" t="s">
        <v>81</v>
      </c>
      <c r="I53">
        <v>1</v>
      </c>
      <c r="K53">
        <v>1</v>
      </c>
    </row>
    <row r="54" spans="1:12" x14ac:dyDescent="0.25">
      <c r="A54" t="s">
        <v>263</v>
      </c>
      <c r="B54" s="1"/>
      <c r="C54" s="1">
        <v>1</v>
      </c>
      <c r="D54" s="1"/>
      <c r="E54" s="1">
        <v>1</v>
      </c>
      <c r="H54" t="s">
        <v>263</v>
      </c>
      <c r="J54">
        <v>1</v>
      </c>
      <c r="L54">
        <v>1</v>
      </c>
    </row>
    <row r="55" spans="1:12" x14ac:dyDescent="0.25">
      <c r="A55" t="s">
        <v>170</v>
      </c>
      <c r="B55" s="1"/>
      <c r="C55" s="1"/>
      <c r="D55" s="1">
        <v>1</v>
      </c>
      <c r="E55" s="1"/>
      <c r="H55" t="s">
        <v>170</v>
      </c>
      <c r="K55">
        <v>1</v>
      </c>
    </row>
    <row r="56" spans="1:12" x14ac:dyDescent="0.25">
      <c r="A56" t="s">
        <v>231</v>
      </c>
      <c r="B56" s="1"/>
      <c r="C56" s="1">
        <v>1</v>
      </c>
      <c r="D56" s="1"/>
      <c r="E56" s="1">
        <v>1</v>
      </c>
      <c r="H56" t="s">
        <v>231</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226</v>
      </c>
      <c r="B59" s="1"/>
      <c r="C59" s="1">
        <v>1</v>
      </c>
      <c r="D59" s="1"/>
      <c r="E59" s="1">
        <v>1</v>
      </c>
      <c r="H59" t="s">
        <v>226</v>
      </c>
      <c r="J59">
        <v>1</v>
      </c>
      <c r="L59">
        <v>1</v>
      </c>
    </row>
    <row r="60" spans="1:12" x14ac:dyDescent="0.25">
      <c r="A60" t="s">
        <v>225</v>
      </c>
      <c r="B60" s="1">
        <v>1</v>
      </c>
      <c r="C60" s="1"/>
      <c r="D60" s="1">
        <v>1</v>
      </c>
      <c r="E60" s="1"/>
      <c r="H60" t="s">
        <v>225</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230</v>
      </c>
      <c r="B73" s="1">
        <v>1</v>
      </c>
      <c r="C73" s="1"/>
      <c r="D73" s="1"/>
      <c r="E73" s="1"/>
      <c r="H73" t="s">
        <v>230</v>
      </c>
      <c r="I73">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48.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202" t="s">
        <v>11</v>
      </c>
      <c r="E5" s="11"/>
      <c r="F5" s="126" t="s">
        <v>12</v>
      </c>
      <c r="G5" s="11" t="str">
        <f>IFERROR(CONCATENATE(VLOOKUP(D5,TableCourses[],2,FALSE)," ",VLOOKUP(D5,TableCourses[],3,FALSE)),"")</f>
        <v>OM-TEACH1 v.2</v>
      </c>
      <c r="H5" s="11"/>
      <c r="I5" s="11"/>
      <c r="J5" s="11"/>
      <c r="K5" s="11"/>
      <c r="L5" s="12"/>
    </row>
    <row r="6" spans="1:23" ht="20.100000000000001" customHeight="1" x14ac:dyDescent="0.25">
      <c r="B6" s="10"/>
      <c r="C6" s="126" t="s">
        <v>13</v>
      </c>
      <c r="D6" s="116" t="s">
        <v>36</v>
      </c>
      <c r="E6" s="11"/>
      <c r="F6" s="126" t="s">
        <v>15</v>
      </c>
      <c r="G6" s="11" t="str">
        <f>IFERROR(CONCATENATE(VLOOKUP(D6,TableMajorsMTeach[],2,FALSE)," ",VLOOKUP(D6,TableMajorsMTeach[],3,FALSE)),"")</f>
        <v>OUMP-TCHPE v.2</v>
      </c>
      <c r="H6" s="11"/>
      <c r="I6" s="11"/>
      <c r="J6" s="11"/>
      <c r="K6" s="11"/>
      <c r="L6" s="210"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55" t="s">
        <v>25</v>
      </c>
      <c r="I9" s="256" t="s">
        <v>26</v>
      </c>
      <c r="J9" s="256" t="s">
        <v>27</v>
      </c>
      <c r="K9" s="256"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57" t="str">
        <f>IFERROR(VLOOKUP($A10,TableHandbook[],H$2,FALSE),"")</f>
        <v/>
      </c>
      <c r="I10" s="258" t="str">
        <f>IFERROR(VLOOKUP($A10,TableHandbook[],I$2,FALSE),"")</f>
        <v/>
      </c>
      <c r="J10" s="258" t="str">
        <f>IFERROR(VLOOKUP($A10,TableHandbook[],J$2,FALSE),"")</f>
        <v/>
      </c>
      <c r="K10" s="258" t="str">
        <f>IFERROR(VLOOKUP($A10,TableHandbook[],K$2,FALSE),"")</f>
        <v/>
      </c>
      <c r="L10" s="58"/>
      <c r="M10" s="151">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57" t="str">
        <f>IFERROR(VLOOKUP($A11,TableHandbook[],H$2,FALSE),"")</f>
        <v/>
      </c>
      <c r="I11" s="258" t="str">
        <f>IFERROR(VLOOKUP($A11,TableHandbook[],I$2,FALSE),"")</f>
        <v/>
      </c>
      <c r="J11" s="258" t="str">
        <f>IFERROR(VLOOKUP($A11,TableHandbook[],J$2,FALSE),"")</f>
        <v/>
      </c>
      <c r="K11" s="258" t="str">
        <f>IFERROR(VLOOKUP($A11,TableHandbook[],K$2,FALSE),"")</f>
        <v/>
      </c>
      <c r="L11" s="58"/>
      <c r="M11" s="151">
        <v>3</v>
      </c>
      <c r="N11" s="20"/>
      <c r="O11" s="20"/>
      <c r="P11" s="21"/>
      <c r="Q11" s="21"/>
      <c r="R11" s="21"/>
      <c r="S11" s="21"/>
      <c r="T11" s="21"/>
      <c r="U11" s="21"/>
      <c r="V11" s="21"/>
      <c r="W11" s="21"/>
    </row>
    <row r="12" spans="1:23" s="22" customFormat="1" ht="4.5" customHeight="1" x14ac:dyDescent="0.15">
      <c r="A12" s="191"/>
      <c r="B12" s="192"/>
      <c r="C12" s="192"/>
      <c r="D12" s="193"/>
      <c r="E12" s="192"/>
      <c r="F12" s="194"/>
      <c r="G12" s="192"/>
      <c r="H12" s="259"/>
      <c r="I12" s="260"/>
      <c r="J12" s="260"/>
      <c r="K12" s="260"/>
      <c r="L12" s="197"/>
      <c r="M12" s="151"/>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57" t="str">
        <f>IFERROR(VLOOKUP($A13,TableHandbook[],H$2,FALSE),"")</f>
        <v/>
      </c>
      <c r="I13" s="258" t="str">
        <f>IFERROR(VLOOKUP($A13,TableHandbook[],I$2,FALSE),"")</f>
        <v/>
      </c>
      <c r="J13" s="258" t="str">
        <f>IFERROR(VLOOKUP($A13,TableHandbook[],J$2,FALSE),"")</f>
        <v/>
      </c>
      <c r="K13" s="258" t="str">
        <f>IFERROR(VLOOKUP($A13,TableHandbook[],K$2,FALSE),"")</f>
        <v/>
      </c>
      <c r="L13" s="59"/>
      <c r="M13" s="151">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57" t="str">
        <f>IFERROR(VLOOKUP($A14,TableHandbook[],H$2,FALSE),"")</f>
        <v/>
      </c>
      <c r="I14" s="258" t="str">
        <f>IFERROR(VLOOKUP($A14,TableHandbook[],I$2,FALSE),"")</f>
        <v/>
      </c>
      <c r="J14" s="258" t="str">
        <f>IFERROR(VLOOKUP($A14,TableHandbook[],J$2,FALSE),"")</f>
        <v/>
      </c>
      <c r="K14" s="258" t="str">
        <f>IFERROR(VLOOKUP($A14,TableHandbook[],K$2,FALSE),"")</f>
        <v/>
      </c>
      <c r="L14" s="58"/>
      <c r="M14" s="151">
        <v>5</v>
      </c>
      <c r="N14" s="20"/>
      <c r="O14" s="20"/>
      <c r="P14" s="21"/>
      <c r="Q14" s="21"/>
      <c r="R14" s="21"/>
      <c r="S14" s="21"/>
      <c r="T14" s="21"/>
      <c r="U14" s="21"/>
      <c r="V14" s="21"/>
      <c r="W14" s="21"/>
    </row>
    <row r="15" spans="1:23" s="22" customFormat="1" ht="4.5" customHeight="1" x14ac:dyDescent="0.15">
      <c r="A15" s="191"/>
      <c r="B15" s="192"/>
      <c r="C15" s="192"/>
      <c r="D15" s="193"/>
      <c r="E15" s="192"/>
      <c r="F15" s="194"/>
      <c r="G15" s="192"/>
      <c r="H15" s="259"/>
      <c r="I15" s="260"/>
      <c r="J15" s="260"/>
      <c r="K15" s="260"/>
      <c r="L15" s="197"/>
      <c r="M15" s="151"/>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62" t="str">
        <f>IFERROR(VLOOKUP($A16,TableHandbook[],H$2,FALSE),"")</f>
        <v/>
      </c>
      <c r="I16" s="263" t="str">
        <f>IFERROR(VLOOKUP($A16,TableHandbook[],I$2,FALSE),"")</f>
        <v/>
      </c>
      <c r="J16" s="263" t="str">
        <f>IFERROR(VLOOKUP($A16,TableHandbook[],J$2,FALSE),"")</f>
        <v/>
      </c>
      <c r="K16" s="263" t="str">
        <f>IFERROR(VLOOKUP($A16,TableHandbook[],K$2,FALSE),"")</f>
        <v/>
      </c>
      <c r="L16" s="59"/>
      <c r="M16" s="151">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62" t="str">
        <f>IFERROR(VLOOKUP($A17,TableHandbook[],H$2,FALSE),"")</f>
        <v/>
      </c>
      <c r="I17" s="263" t="str">
        <f>IFERROR(VLOOKUP($A17,TableHandbook[],I$2,FALSE),"")</f>
        <v/>
      </c>
      <c r="J17" s="263" t="str">
        <f>IFERROR(VLOOKUP($A17,TableHandbook[],J$2,FALSE),"")</f>
        <v/>
      </c>
      <c r="K17" s="263" t="str">
        <f>IFERROR(VLOOKUP($A17,TableHandbook[],K$2,FALSE),"")</f>
        <v/>
      </c>
      <c r="L17" s="59"/>
      <c r="M17" s="151">
        <v>7</v>
      </c>
      <c r="N17" s="29"/>
      <c r="O17" s="29"/>
      <c r="P17" s="30"/>
      <c r="Q17" s="30"/>
      <c r="R17" s="30"/>
      <c r="S17" s="30"/>
      <c r="T17" s="30"/>
      <c r="U17" s="30"/>
      <c r="V17" s="30"/>
      <c r="W17" s="30"/>
    </row>
    <row r="18" spans="1:23" s="22" customFormat="1" ht="4.5" customHeight="1" x14ac:dyDescent="0.15">
      <c r="A18" s="191"/>
      <c r="B18" s="192"/>
      <c r="C18" s="192"/>
      <c r="D18" s="193"/>
      <c r="E18" s="192"/>
      <c r="F18" s="194"/>
      <c r="G18" s="192"/>
      <c r="H18" s="259"/>
      <c r="I18" s="260"/>
      <c r="J18" s="260"/>
      <c r="K18" s="260"/>
      <c r="L18" s="197"/>
      <c r="M18" s="151"/>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62" t="str">
        <f>IFERROR(VLOOKUP($A19,TableHandbook[],H$2,FALSE),"")</f>
        <v/>
      </c>
      <c r="I19" s="263" t="str">
        <f>IFERROR(VLOOKUP($A19,TableHandbook[],I$2,FALSE),"")</f>
        <v/>
      </c>
      <c r="J19" s="263" t="str">
        <f>IFERROR(VLOOKUP($A19,TableHandbook[],J$2,FALSE),"")</f>
        <v/>
      </c>
      <c r="K19" s="263" t="str">
        <f>IFERROR(VLOOKUP($A19,TableHandbook[],K$2,FALSE),"")</f>
        <v/>
      </c>
      <c r="L19" s="59"/>
      <c r="M19" s="151">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62" t="str">
        <f>IFERROR(VLOOKUP($A20,TableHandbook[],H$2,FALSE),"")</f>
        <v/>
      </c>
      <c r="I20" s="263" t="str">
        <f>IFERROR(VLOOKUP($A20,TableHandbook[],I$2,FALSE),"")</f>
        <v/>
      </c>
      <c r="J20" s="263" t="str">
        <f>IFERROR(VLOOKUP($A20,TableHandbook[],J$2,FALSE),"")</f>
        <v/>
      </c>
      <c r="K20" s="263" t="str">
        <f>IFERROR(VLOOKUP($A20,TableHandbook[],K$2,FALSE),"")</f>
        <v/>
      </c>
      <c r="L20" s="59"/>
      <c r="M20" s="151">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55" t="str">
        <f>H9</f>
        <v>SP1</v>
      </c>
      <c r="I21" s="256" t="str">
        <f t="shared" ref="I21:L21" si="0">I9</f>
        <v>SP2</v>
      </c>
      <c r="J21" s="256" t="str">
        <f t="shared" si="0"/>
        <v>SP3</v>
      </c>
      <c r="K21" s="256" t="str">
        <f t="shared" si="0"/>
        <v>SP4</v>
      </c>
      <c r="L21" s="113" t="str">
        <f t="shared" si="0"/>
        <v>Notes / Progress</v>
      </c>
      <c r="M21" s="152"/>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57" t="str">
        <f>IFERROR(VLOOKUP($A22,TableHandbook[],H$2,FALSE),"")</f>
        <v/>
      </c>
      <c r="I22" s="258" t="str">
        <f>IFERROR(VLOOKUP($A22,TableHandbook[],I$2,FALSE),"")</f>
        <v/>
      </c>
      <c r="J22" s="258" t="str">
        <f>IFERROR(VLOOKUP($A22,TableHandbook[],J$2,FALSE),"")</f>
        <v/>
      </c>
      <c r="K22" s="258" t="str">
        <f>IFERROR(VLOOKUP($A22,TableHandbook[],K$2,FALSE),"")</f>
        <v/>
      </c>
      <c r="L22" s="54"/>
      <c r="M22" s="151">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57" t="str">
        <f>IFERROR(VLOOKUP($A23,TableHandbook[],H$2,FALSE),"")</f>
        <v/>
      </c>
      <c r="I23" s="258" t="str">
        <f>IFERROR(VLOOKUP($A23,TableHandbook[],I$2,FALSE),"")</f>
        <v/>
      </c>
      <c r="J23" s="258" t="str">
        <f>IFERROR(VLOOKUP($A23,TableHandbook[],J$2,FALSE),"")</f>
        <v/>
      </c>
      <c r="K23" s="258" t="str">
        <f>IFERROR(VLOOKUP($A23,TableHandbook[],K$2,FALSE),"")</f>
        <v/>
      </c>
      <c r="L23" s="54"/>
      <c r="M23" s="151">
        <v>11</v>
      </c>
      <c r="N23" s="20"/>
      <c r="O23" s="20"/>
      <c r="P23" s="21"/>
      <c r="Q23" s="21"/>
      <c r="R23" s="21"/>
      <c r="S23" s="21"/>
      <c r="T23" s="21"/>
      <c r="U23" s="21"/>
      <c r="V23" s="21"/>
      <c r="W23" s="21"/>
    </row>
    <row r="24" spans="1:23" s="22" customFormat="1" ht="4.5" customHeight="1" x14ac:dyDescent="0.15">
      <c r="A24" s="191"/>
      <c r="B24" s="192"/>
      <c r="C24" s="192"/>
      <c r="D24" s="193"/>
      <c r="E24" s="192"/>
      <c r="F24" s="194"/>
      <c r="G24" s="192"/>
      <c r="H24" s="259"/>
      <c r="I24" s="260"/>
      <c r="J24" s="260"/>
      <c r="K24" s="260"/>
      <c r="L24" s="197"/>
      <c r="M24" s="151"/>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57" t="str">
        <f>IFERROR(VLOOKUP($A25,TableHandbook[],H$2,FALSE),"")</f>
        <v/>
      </c>
      <c r="I25" s="258" t="str">
        <f>IFERROR(VLOOKUP($A25,TableHandbook[],I$2,FALSE),"")</f>
        <v/>
      </c>
      <c r="J25" s="258" t="str">
        <f>IFERROR(VLOOKUP($A25,TableHandbook[],J$2,FALSE),"")</f>
        <v/>
      </c>
      <c r="K25" s="258" t="str">
        <f>IFERROR(VLOOKUP($A25,TableHandbook[],K$2,FALSE),"")</f>
        <v/>
      </c>
      <c r="L25" s="54"/>
      <c r="M25" s="151">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57" t="str">
        <f>IFERROR(VLOOKUP($A26,TableHandbook[],H$2,FALSE),"")</f>
        <v/>
      </c>
      <c r="I26" s="258" t="str">
        <f>IFERROR(VLOOKUP($A26,TableHandbook[],I$2,FALSE),"")</f>
        <v/>
      </c>
      <c r="J26" s="258" t="str">
        <f>IFERROR(VLOOKUP($A26,TableHandbook[],J$2,FALSE),"")</f>
        <v/>
      </c>
      <c r="K26" s="258" t="str">
        <f>IFERROR(VLOOKUP($A26,TableHandbook[],K$2,FALSE),"")</f>
        <v/>
      </c>
      <c r="L26" s="54"/>
      <c r="M26" s="151">
        <v>13</v>
      </c>
      <c r="N26" s="20"/>
      <c r="O26" s="20"/>
      <c r="P26" s="21"/>
      <c r="Q26" s="21"/>
      <c r="R26" s="21"/>
      <c r="S26" s="21"/>
      <c r="T26" s="21"/>
      <c r="U26" s="21"/>
      <c r="V26" s="21"/>
      <c r="W26" s="21"/>
    </row>
    <row r="27" spans="1:23" s="22" customFormat="1" ht="4.5" customHeight="1" x14ac:dyDescent="0.15">
      <c r="A27" s="191"/>
      <c r="B27" s="192"/>
      <c r="C27" s="192"/>
      <c r="D27" s="193"/>
      <c r="E27" s="192"/>
      <c r="F27" s="194"/>
      <c r="G27" s="192"/>
      <c r="H27" s="259"/>
      <c r="I27" s="260"/>
      <c r="J27" s="260"/>
      <c r="K27" s="260"/>
      <c r="L27" s="197"/>
      <c r="M27" s="151"/>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62" t="str">
        <f>IFERROR(VLOOKUP($A28,TableHandbook[],H$2,FALSE),"")</f>
        <v/>
      </c>
      <c r="I28" s="263" t="str">
        <f>IFERROR(VLOOKUP($A28,TableHandbook[],I$2,FALSE),"")</f>
        <v/>
      </c>
      <c r="J28" s="263" t="str">
        <f>IFERROR(VLOOKUP($A28,TableHandbook[],J$2,FALSE),"")</f>
        <v/>
      </c>
      <c r="K28" s="263" t="str">
        <f>IFERROR(VLOOKUP($A28,TableHandbook[],K$2,FALSE),"")</f>
        <v/>
      </c>
      <c r="L28" s="54"/>
      <c r="M28" s="151">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62" t="str">
        <f>IFERROR(VLOOKUP($A29,TableHandbook[],H$2,FALSE),"")</f>
        <v/>
      </c>
      <c r="I29" s="263" t="str">
        <f>IFERROR(VLOOKUP($A29,TableHandbook[],I$2,FALSE),"")</f>
        <v/>
      </c>
      <c r="J29" s="263" t="str">
        <f>IFERROR(VLOOKUP($A29,TableHandbook[],J$2,FALSE),"")</f>
        <v/>
      </c>
      <c r="K29" s="263" t="str">
        <f>IFERROR(VLOOKUP($A29,TableHandbook[],K$2,FALSE),"")</f>
        <v/>
      </c>
      <c r="L29" s="54"/>
      <c r="M29" s="151">
        <v>15</v>
      </c>
      <c r="N29" s="20"/>
      <c r="O29" s="20"/>
      <c r="P29" s="21"/>
      <c r="Q29" s="21"/>
      <c r="R29" s="21"/>
      <c r="S29" s="21"/>
      <c r="T29" s="21"/>
      <c r="U29" s="21"/>
      <c r="V29" s="21"/>
      <c r="W29" s="21"/>
    </row>
    <row r="30" spans="1:23" s="31" customFormat="1" ht="4.5" customHeight="1" x14ac:dyDescent="0.15">
      <c r="A30" s="191"/>
      <c r="B30" s="192"/>
      <c r="C30" s="192"/>
      <c r="D30" s="193"/>
      <c r="E30" s="192"/>
      <c r="F30" s="194"/>
      <c r="G30" s="192"/>
      <c r="H30" s="259"/>
      <c r="I30" s="260"/>
      <c r="J30" s="260"/>
      <c r="K30" s="260"/>
      <c r="L30" s="197"/>
      <c r="M30" s="151"/>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62" t="str">
        <f>IFERROR(VLOOKUP($A31,TableHandbook[],H$2,FALSE),"")</f>
        <v/>
      </c>
      <c r="I31" s="263" t="str">
        <f>IFERROR(VLOOKUP($A31,TableHandbook[],I$2,FALSE),"")</f>
        <v/>
      </c>
      <c r="J31" s="263" t="str">
        <f>IFERROR(VLOOKUP($A31,TableHandbook[],J$2,FALSE),"")</f>
        <v/>
      </c>
      <c r="K31" s="263" t="str">
        <f>IFERROR(VLOOKUP($A31,TableHandbook[],K$2,FALSE),"")</f>
        <v/>
      </c>
      <c r="L31" s="54"/>
      <c r="M31" s="151">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2" t="str">
        <f>IF(OR(A32="",A32="--"),"",VLOOKUP($D$7,TableStudyPeriods[],5,FALSE))</f>
        <v/>
      </c>
      <c r="F32" s="49" t="str">
        <f>IFERROR(IF(VLOOKUP($A32,TableHandbook[],6,FALSE)=0,"",VLOOKUP($A32,TableHandbook[],6,FALSE)),"")</f>
        <v/>
      </c>
      <c r="G32" s="50" t="str">
        <f>IFERROR(IF(VLOOKUP($A32,TableHandbook[],5,FALSE)=0,"",VLOOKUP($A32,TableHandbook[],5,FALSE)),"")</f>
        <v/>
      </c>
      <c r="H32" s="262" t="str">
        <f>IFERROR(VLOOKUP($A32,TableHandbook[],H$2,FALSE),"")</f>
        <v/>
      </c>
      <c r="I32" s="263" t="str">
        <f>IFERROR(VLOOKUP($A32,TableHandbook[],I$2,FALSE),"")</f>
        <v/>
      </c>
      <c r="J32" s="263" t="str">
        <f>IFERROR(VLOOKUP($A32,TableHandbook[],J$2,FALSE),"")</f>
        <v/>
      </c>
      <c r="K32" s="263" t="str">
        <f>IFERROR(VLOOKUP($A32,TableHandbook[],K$2,FALSE),"")</f>
        <v/>
      </c>
      <c r="L32" s="54"/>
      <c r="M32" s="151">
        <v>17</v>
      </c>
      <c r="N32" s="29"/>
      <c r="O32" s="29"/>
      <c r="P32" s="30"/>
      <c r="Q32" s="30"/>
      <c r="R32" s="30"/>
      <c r="S32" s="30"/>
      <c r="T32" s="30"/>
      <c r="U32" s="30"/>
      <c r="V32" s="30"/>
      <c r="W32" s="30"/>
    </row>
    <row r="33" spans="1:23" s="22" customFormat="1" ht="15" customHeight="1" x14ac:dyDescent="0.15">
      <c r="A33" s="159"/>
      <c r="B33" s="160"/>
      <c r="C33" s="160"/>
      <c r="D33" s="161"/>
      <c r="E33" s="160"/>
      <c r="F33" s="162"/>
      <c r="G33" s="159"/>
      <c r="H33" s="159"/>
      <c r="I33" s="159"/>
      <c r="J33" s="159"/>
      <c r="K33" s="159"/>
      <c r="L33" s="163"/>
      <c r="M33" s="64"/>
      <c r="N33" s="20"/>
      <c r="O33" s="20"/>
      <c r="P33" s="21"/>
      <c r="Q33" s="21"/>
      <c r="R33" s="21"/>
      <c r="S33" s="21"/>
      <c r="T33" s="21"/>
      <c r="U33" s="21"/>
      <c r="V33" s="21"/>
      <c r="W33" s="21"/>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Unitsets!$A$44:$A$48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3"/>
      <c r="B2" s="153">
        <v>2</v>
      </c>
      <c r="C2" s="153">
        <v>3</v>
      </c>
      <c r="D2" s="153">
        <v>4</v>
      </c>
      <c r="E2" s="153"/>
      <c r="F2" s="153">
        <v>6</v>
      </c>
      <c r="G2" s="153">
        <v>5</v>
      </c>
      <c r="H2" s="153">
        <v>7</v>
      </c>
      <c r="I2" s="153">
        <v>8</v>
      </c>
      <c r="J2" s="153">
        <v>9</v>
      </c>
      <c r="K2" s="153">
        <v>10</v>
      </c>
      <c r="L2" s="18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202" t="s">
        <v>37</v>
      </c>
      <c r="E5" s="11"/>
      <c r="F5" s="126" t="s">
        <v>12</v>
      </c>
      <c r="G5" s="11" t="str">
        <f>IFERROR(CONCATENATE(VLOOKUP(D5,TableCourses[],2,FALSE)," ",VLOOKUP(D5,TableCourses[],3,FALSE)),"")</f>
        <v>OM-EDUC v.2</v>
      </c>
      <c r="H5" s="11"/>
      <c r="I5" s="11"/>
      <c r="J5" s="11"/>
      <c r="K5" s="11"/>
      <c r="L5" s="12"/>
    </row>
    <row r="6" spans="1:23" ht="20.100000000000001" customHeight="1" x14ac:dyDescent="0.25">
      <c r="B6" s="10"/>
      <c r="C6" s="126" t="s">
        <v>38</v>
      </c>
      <c r="D6" s="116" t="s">
        <v>39</v>
      </c>
      <c r="E6" s="11"/>
      <c r="F6" s="126" t="s">
        <v>40</v>
      </c>
      <c r="G6" s="11" t="str">
        <f>IFERROR(CONCATENATE(VLOOKUP(D6,TableSpecialisationsOMEDUC[],2,FALSE)," ",VLOOKUP(D6,TableSpecialisationsOMEDUC[],3,FALSE)),"")</f>
        <v/>
      </c>
      <c r="H6" s="11"/>
      <c r="I6" s="11"/>
      <c r="J6" s="11"/>
      <c r="K6" s="11"/>
      <c r="L6" s="210" t="e">
        <f>CONCATENATE(VLOOKUP(D6,TableSpecialisationsOMEDUC[],2,FALSE),VLOOKUP(D7,TableStudyPeriods[],2,FALSE))</f>
        <v>#N/A</v>
      </c>
    </row>
    <row r="7" spans="1:23" ht="20.100000000000001" customHeight="1" x14ac:dyDescent="0.25">
      <c r="A7" s="13"/>
      <c r="B7" s="14"/>
      <c r="C7" s="126" t="s">
        <v>16</v>
      </c>
      <c r="D7" s="117" t="s">
        <v>17</v>
      </c>
      <c r="E7" s="15"/>
      <c r="F7" s="126"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55" t="s">
        <v>25</v>
      </c>
      <c r="I9" s="256" t="s">
        <v>26</v>
      </c>
      <c r="J9" s="256" t="s">
        <v>27</v>
      </c>
      <c r="K9" s="256" t="s">
        <v>28</v>
      </c>
      <c r="L9" s="113" t="s">
        <v>29</v>
      </c>
      <c r="M9" s="17"/>
      <c r="N9" s="17"/>
      <c r="O9" s="17"/>
      <c r="P9" s="18"/>
      <c r="Q9" s="18"/>
      <c r="R9" s="18"/>
      <c r="S9" s="18"/>
      <c r="T9" s="18"/>
      <c r="U9" s="18"/>
      <c r="V9" s="18"/>
      <c r="W9" s="18"/>
    </row>
    <row r="10" spans="1:23" s="22" customFormat="1" ht="21" customHeight="1" x14ac:dyDescent="0.15">
      <c r="A10" s="56" t="str">
        <f>IFERROR(IF(HLOOKUP($L$6,RangeUnitsetsOMEDUC,M10,FALSE)=0,"",HLOOKUP($L$6,RangeUnitsetsOMEDUC,M10,FALSE)),"")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57" t="str">
        <f>IFERROR(VLOOKUP($A10,TableHandbook[],H$2,FALSE),"")</f>
        <v/>
      </c>
      <c r="I10" s="258" t="str">
        <f>IFERROR(VLOOKUP($A10,TableHandbook[],I$2,FALSE),"")</f>
        <v/>
      </c>
      <c r="J10" s="258" t="str">
        <f>IFERROR(VLOOKUP($A10,TableHandbook[],J$2,FALSE),"")</f>
        <v/>
      </c>
      <c r="K10" s="258" t="str">
        <f>IFERROR(VLOOKUP($A10,TableHandbook[],K$2,FALSE),"")</f>
        <v/>
      </c>
      <c r="L10" s="58"/>
      <c r="M10" s="151">
        <v>2</v>
      </c>
      <c r="N10" s="20"/>
      <c r="O10" s="20"/>
      <c r="P10" s="21"/>
      <c r="Q10" s="21"/>
      <c r="R10" s="21"/>
      <c r="S10" s="21"/>
      <c r="T10" s="21"/>
      <c r="U10" s="21"/>
      <c r="V10" s="21"/>
      <c r="W10" s="21"/>
    </row>
    <row r="11" spans="1:23" s="22" customFormat="1" ht="21" customHeight="1" x14ac:dyDescent="0.15">
      <c r="A11" s="56" t="str">
        <f>IFERROR(IF(HLOOKUP($L$6,RangeUnitsetsOMEDUC,M11,FALSE)=0,"",HLOOKUP($L$6,RangeUnitsetsOMEDUC,M11,FALSE)),"")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IF(OR(A11="",A11="-"),"",E10)</f>
        <v/>
      </c>
      <c r="F11" s="49" t="str">
        <f>IFERROR(IF(VLOOKUP($A11,TableHandbook[],6,FALSE)=0,"",VLOOKUP($A11,TableHandbook[],6,FALSE)),"")</f>
        <v/>
      </c>
      <c r="G11" s="50" t="str">
        <f>IFERROR(IF(VLOOKUP($A11,TableHandbook[],5,FALSE)=0,"",VLOOKUP($A11,TableHandbook[],5,FALSE)),"")</f>
        <v/>
      </c>
      <c r="H11" s="257" t="str">
        <f>IFERROR(VLOOKUP($A11,TableHandbook[],H$2,FALSE),"")</f>
        <v/>
      </c>
      <c r="I11" s="258" t="str">
        <f>IFERROR(VLOOKUP($A11,TableHandbook[],I$2,FALSE),"")</f>
        <v/>
      </c>
      <c r="J11" s="258" t="str">
        <f>IFERROR(VLOOKUP($A11,TableHandbook[],J$2,FALSE),"")</f>
        <v/>
      </c>
      <c r="K11" s="258" t="str">
        <f>IFERROR(VLOOKUP($A11,TableHandbook[],K$2,FALSE),"")</f>
        <v/>
      </c>
      <c r="L11" s="58"/>
      <c r="M11" s="151">
        <v>3</v>
      </c>
      <c r="N11" s="20"/>
      <c r="O11" s="20"/>
      <c r="P11" s="21"/>
      <c r="Q11" s="21"/>
      <c r="R11" s="21"/>
      <c r="S11" s="21"/>
      <c r="T11" s="21"/>
      <c r="U11" s="21"/>
      <c r="V11" s="21"/>
      <c r="W11" s="21"/>
    </row>
    <row r="12" spans="1:23" s="22" customFormat="1" ht="4.5" customHeight="1" x14ac:dyDescent="0.15">
      <c r="A12" s="191"/>
      <c r="B12" s="192"/>
      <c r="C12" s="192"/>
      <c r="D12" s="193"/>
      <c r="E12" s="192"/>
      <c r="F12" s="194"/>
      <c r="G12" s="192"/>
      <c r="H12" s="259"/>
      <c r="I12" s="260"/>
      <c r="J12" s="260"/>
      <c r="K12" s="260"/>
      <c r="L12" s="197"/>
      <c r="M12" s="151"/>
      <c r="N12" s="20"/>
      <c r="O12" s="20"/>
      <c r="P12" s="20"/>
      <c r="Q12" s="21"/>
      <c r="R12" s="21"/>
      <c r="S12" s="21"/>
      <c r="T12" s="21"/>
      <c r="U12" s="21"/>
      <c r="V12" s="21"/>
      <c r="W12" s="21"/>
    </row>
    <row r="13" spans="1:23" s="22" customFormat="1" ht="21" customHeight="1" x14ac:dyDescent="0.15">
      <c r="A13" s="56" t="str">
        <f>IFERROR(IF(HLOOKUP($L$6,RangeUnitsetsOMEDUC,M13,FALSE)=0,"",HLOOKUP($L$6,RangeUnitsetsOMEDUC,M13,FALSE)),"")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57" t="str">
        <f>IFERROR(VLOOKUP($A13,TableHandbook[],H$2,FALSE),"")</f>
        <v/>
      </c>
      <c r="I13" s="258" t="str">
        <f>IFERROR(VLOOKUP($A13,TableHandbook[],I$2,FALSE),"")</f>
        <v/>
      </c>
      <c r="J13" s="258" t="str">
        <f>IFERROR(VLOOKUP($A13,TableHandbook[],J$2,FALSE),"")</f>
        <v/>
      </c>
      <c r="K13" s="258" t="str">
        <f>IFERROR(VLOOKUP($A13,TableHandbook[],K$2,FALSE),"")</f>
        <v/>
      </c>
      <c r="L13" s="59"/>
      <c r="M13" s="151">
        <v>4</v>
      </c>
      <c r="N13" s="20"/>
      <c r="O13" s="20"/>
      <c r="P13" s="21"/>
      <c r="Q13" s="21"/>
      <c r="R13" s="21"/>
      <c r="S13" s="21"/>
      <c r="T13" s="21"/>
      <c r="U13" s="21"/>
      <c r="V13" s="21"/>
      <c r="W13" s="21"/>
    </row>
    <row r="14" spans="1:23" s="22" customFormat="1" ht="21" customHeight="1" x14ac:dyDescent="0.15">
      <c r="A14" s="56" t="str">
        <f>IFERROR(IF(HLOOKUP($L$6,RangeUnitsetsOMEDUC,M14,FALSE)=0,"",HLOOKUP($L$6,RangeUnitsetsOMEDUC,M14,FALSE)),"")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IF(OR(A14="",A14="-"),"",E13)</f>
        <v/>
      </c>
      <c r="F14" s="49" t="str">
        <f>IFERROR(IF(VLOOKUP($A14,TableHandbook[],6,FALSE)=0,"",VLOOKUP($A14,TableHandbook[],6,FALSE)),"")</f>
        <v/>
      </c>
      <c r="G14" s="50" t="str">
        <f>IFERROR(IF(VLOOKUP($A14,TableHandbook[],5,FALSE)=0,"",VLOOKUP($A14,TableHandbook[],5,FALSE)),"")</f>
        <v/>
      </c>
      <c r="H14" s="257" t="str">
        <f>IFERROR(VLOOKUP($A14,TableHandbook[],H$2,FALSE),"")</f>
        <v/>
      </c>
      <c r="I14" s="258" t="str">
        <f>IFERROR(VLOOKUP($A14,TableHandbook[],I$2,FALSE),"")</f>
        <v/>
      </c>
      <c r="J14" s="258" t="str">
        <f>IFERROR(VLOOKUP($A14,TableHandbook[],J$2,FALSE),"")</f>
        <v/>
      </c>
      <c r="K14" s="258" t="str">
        <f>IFERROR(VLOOKUP($A14,TableHandbook[],K$2,FALSE),"")</f>
        <v/>
      </c>
      <c r="L14" s="58"/>
      <c r="M14" s="151">
        <v>5</v>
      </c>
      <c r="N14" s="20"/>
      <c r="O14" s="20"/>
      <c r="P14" s="21"/>
      <c r="Q14" s="21"/>
      <c r="R14" s="21"/>
      <c r="S14" s="21"/>
      <c r="T14" s="21"/>
      <c r="U14" s="21"/>
      <c r="V14" s="21"/>
      <c r="W14" s="21"/>
    </row>
    <row r="15" spans="1:23" s="22" customFormat="1" ht="4.5" customHeight="1" x14ac:dyDescent="0.15">
      <c r="A15" s="191"/>
      <c r="B15" s="192"/>
      <c r="C15" s="192"/>
      <c r="D15" s="193"/>
      <c r="E15" s="192"/>
      <c r="F15" s="194"/>
      <c r="G15" s="192"/>
      <c r="H15" s="259"/>
      <c r="I15" s="260"/>
      <c r="J15" s="260"/>
      <c r="K15" s="260"/>
      <c r="L15" s="197"/>
      <c r="M15" s="151"/>
      <c r="N15" s="20"/>
      <c r="O15" s="20"/>
      <c r="P15" s="20"/>
      <c r="Q15" s="21"/>
      <c r="R15" s="21"/>
      <c r="S15" s="21"/>
      <c r="T15" s="21"/>
      <c r="U15" s="21"/>
      <c r="V15" s="21"/>
      <c r="W15" s="21"/>
    </row>
    <row r="16" spans="1:23" s="22" customFormat="1" ht="21" customHeight="1" x14ac:dyDescent="0.15">
      <c r="A16" s="56" t="str">
        <f>IFERROR(IF(HLOOKUP($L$6,RangeUnitsetsOMEDUC,M16,FALSE)=0,"",HLOOKUP($L$6,RangeUnitsetsOMEDUC,M16,FALSE)),"")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62" t="str">
        <f>IFERROR(VLOOKUP($A16,TableHandbook[],H$2,FALSE),"")</f>
        <v/>
      </c>
      <c r="I16" s="263" t="str">
        <f>IFERROR(VLOOKUP($A16,TableHandbook[],I$2,FALSE),"")</f>
        <v/>
      </c>
      <c r="J16" s="263" t="str">
        <f>IFERROR(VLOOKUP($A16,TableHandbook[],J$2,FALSE),"")</f>
        <v/>
      </c>
      <c r="K16" s="263" t="str">
        <f>IFERROR(VLOOKUP($A16,TableHandbook[],K$2,FALSE),"")</f>
        <v/>
      </c>
      <c r="L16" s="59"/>
      <c r="M16" s="151">
        <v>6</v>
      </c>
      <c r="N16" s="20"/>
      <c r="O16" s="20"/>
      <c r="P16" s="21"/>
      <c r="Q16" s="21"/>
      <c r="R16" s="21"/>
      <c r="S16" s="21"/>
      <c r="T16" s="21"/>
      <c r="U16" s="21"/>
      <c r="V16" s="21"/>
      <c r="W16" s="21"/>
    </row>
    <row r="17" spans="1:23" s="31" customFormat="1" ht="21" customHeight="1" x14ac:dyDescent="0.15">
      <c r="A17" s="56" t="str">
        <f>IFERROR(IF(HLOOKUP($L$6,RangeUnitsetsOMEDUC,M17,FALSE)=0,"",HLOOKUP($L$6,RangeUnitsetsOMEDUC,M17,FALSE)),"")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IF(OR(A17="",A17="-"),"",E16)</f>
        <v/>
      </c>
      <c r="F17" s="49" t="str">
        <f>IFERROR(IF(VLOOKUP($A17,TableHandbook[],6,FALSE)=0,"",VLOOKUP($A17,TableHandbook[],6,FALSE)),"")</f>
        <v/>
      </c>
      <c r="G17" s="52" t="str">
        <f>IFERROR(IF(VLOOKUP($A17,TableHandbook[],5,FALSE)=0,"",VLOOKUP($A17,TableHandbook[],5,FALSE)),"")</f>
        <v/>
      </c>
      <c r="H17" s="262" t="str">
        <f>IFERROR(VLOOKUP($A17,TableHandbook[],H$2,FALSE),"")</f>
        <v/>
      </c>
      <c r="I17" s="263" t="str">
        <f>IFERROR(VLOOKUP($A17,TableHandbook[],I$2,FALSE),"")</f>
        <v/>
      </c>
      <c r="J17" s="263" t="str">
        <f>IFERROR(VLOOKUP($A17,TableHandbook[],J$2,FALSE),"")</f>
        <v/>
      </c>
      <c r="K17" s="263" t="str">
        <f>IFERROR(VLOOKUP($A17,TableHandbook[],K$2,FALSE),"")</f>
        <v/>
      </c>
      <c r="L17" s="59"/>
      <c r="M17" s="151">
        <v>7</v>
      </c>
      <c r="N17" s="29"/>
      <c r="O17" s="29"/>
      <c r="P17" s="30"/>
      <c r="Q17" s="30"/>
      <c r="R17" s="30"/>
      <c r="S17" s="30"/>
      <c r="T17" s="30"/>
      <c r="U17" s="30"/>
      <c r="V17" s="30"/>
      <c r="W17" s="30"/>
    </row>
    <row r="18" spans="1:23" s="22" customFormat="1" ht="4.5" customHeight="1" x14ac:dyDescent="0.15">
      <c r="A18" s="191"/>
      <c r="B18" s="192"/>
      <c r="C18" s="192"/>
      <c r="D18" s="193"/>
      <c r="E18" s="192"/>
      <c r="F18" s="194"/>
      <c r="G18" s="192"/>
      <c r="H18" s="259"/>
      <c r="I18" s="260"/>
      <c r="J18" s="260"/>
      <c r="K18" s="260"/>
      <c r="L18" s="197"/>
      <c r="M18" s="151"/>
      <c r="N18" s="20"/>
      <c r="O18" s="20"/>
      <c r="P18" s="20"/>
      <c r="Q18" s="21"/>
      <c r="R18" s="21"/>
      <c r="S18" s="21"/>
      <c r="T18" s="21"/>
      <c r="U18" s="21"/>
      <c r="V18" s="21"/>
      <c r="W18" s="21"/>
    </row>
    <row r="19" spans="1:23" s="31" customFormat="1" ht="21" customHeight="1" x14ac:dyDescent="0.15">
      <c r="A19" s="56" t="str">
        <f>IFERROR(IF(HLOOKUP($L$6,RangeUnitsetsOMEDUC,M19,FALSE)=0,"",HLOOKUP($L$6,RangeUnitsetsOMEDUC,M19,FALSE)),"")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62" t="str">
        <f>IFERROR(VLOOKUP($A19,TableHandbook[],H$2,FALSE),"")</f>
        <v/>
      </c>
      <c r="I19" s="263" t="str">
        <f>IFERROR(VLOOKUP($A19,TableHandbook[],I$2,FALSE),"")</f>
        <v/>
      </c>
      <c r="J19" s="263" t="str">
        <f>IFERROR(VLOOKUP($A19,TableHandbook[],J$2,FALSE),"")</f>
        <v/>
      </c>
      <c r="K19" s="263" t="str">
        <f>IFERROR(VLOOKUP($A19,TableHandbook[],K$2,FALSE),"")</f>
        <v/>
      </c>
      <c r="L19" s="59"/>
      <c r="M19" s="151">
        <v>8</v>
      </c>
      <c r="N19" s="29"/>
      <c r="O19" s="29"/>
      <c r="P19" s="30"/>
      <c r="Q19" s="30"/>
      <c r="R19" s="30"/>
      <c r="S19" s="30"/>
      <c r="T19" s="30"/>
      <c r="U19" s="30"/>
      <c r="V19" s="30"/>
      <c r="W19" s="30"/>
    </row>
    <row r="20" spans="1:23" s="31" customFormat="1" ht="21" customHeight="1" x14ac:dyDescent="0.15">
      <c r="A20" s="56" t="str">
        <f>IFERROR(IF(HLOOKUP($L$6,RangeUnitsetsOMEDUC,M20,FALSE)=0,"",HLOOKUP($L$6,RangeUnitsetsOMEDUC,M20,FALSE)),"")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IF(OR(A20="",A20="-"),"",E19)</f>
        <v/>
      </c>
      <c r="F20" s="49" t="str">
        <f>IFERROR(IF(VLOOKUP($A20,TableHandbook[],6,FALSE)=0,"",VLOOKUP($A20,TableHandbook[],6,FALSE)),"")</f>
        <v/>
      </c>
      <c r="G20" s="52" t="str">
        <f>IFERROR(IF(VLOOKUP($A20,TableHandbook[],5,FALSE)=0,"",VLOOKUP($A20,TableHandbook[],5,FALSE)),"")</f>
        <v/>
      </c>
      <c r="H20" s="262" t="str">
        <f>IFERROR(VLOOKUP($A20,TableHandbook[],H$2,FALSE),"")</f>
        <v/>
      </c>
      <c r="I20" s="263" t="str">
        <f>IFERROR(VLOOKUP($A20,TableHandbook[],I$2,FALSE),"")</f>
        <v/>
      </c>
      <c r="J20" s="263" t="str">
        <f>IFERROR(VLOOKUP($A20,TableHandbook[],J$2,FALSE),"")</f>
        <v/>
      </c>
      <c r="K20" s="263" t="str">
        <f>IFERROR(VLOOKUP($A20,TableHandbook[],K$2,FALSE),"")</f>
        <v/>
      </c>
      <c r="L20" s="59"/>
      <c r="M20" s="151">
        <v>9</v>
      </c>
      <c r="N20" s="29"/>
      <c r="O20" s="29"/>
      <c r="P20" s="30"/>
      <c r="Q20" s="30"/>
      <c r="R20" s="30"/>
      <c r="S20" s="30"/>
      <c r="T20" s="30"/>
      <c r="U20" s="30"/>
      <c r="V20" s="30"/>
      <c r="W20" s="30"/>
    </row>
    <row r="21" spans="1:23" s="22" customFormat="1" ht="15" customHeight="1" x14ac:dyDescent="0.15">
      <c r="A21" s="159"/>
      <c r="B21" s="160"/>
      <c r="C21" s="160"/>
      <c r="D21" s="161"/>
      <c r="E21" s="160"/>
      <c r="F21" s="162"/>
      <c r="G21" s="159"/>
      <c r="H21" s="159"/>
      <c r="I21" s="159"/>
      <c r="J21" s="159"/>
      <c r="K21" s="159"/>
      <c r="L21" s="163"/>
      <c r="M21" s="151"/>
      <c r="N21" s="20"/>
      <c r="O21" s="20"/>
      <c r="P21" s="21"/>
      <c r="Q21" s="21"/>
      <c r="R21" s="21"/>
      <c r="S21" s="21"/>
      <c r="T21" s="21"/>
      <c r="U21" s="21"/>
      <c r="V21" s="21"/>
      <c r="W21" s="21"/>
    </row>
    <row r="22" spans="1:23" s="42" customFormat="1" ht="17.25" x14ac:dyDescent="0.25">
      <c r="A22" s="180" t="s">
        <v>41</v>
      </c>
      <c r="B22" s="97"/>
      <c r="C22" s="97"/>
      <c r="D22" s="98"/>
      <c r="E22" s="99"/>
      <c r="F22" s="99"/>
      <c r="G22" s="99"/>
      <c r="H22" s="100" t="str">
        <f>H8</f>
        <v>2025 Availabilities</v>
      </c>
      <c r="I22" s="101"/>
      <c r="J22" s="102"/>
      <c r="K22" s="103"/>
      <c r="L22" s="104"/>
      <c r="M22" s="174"/>
      <c r="N22" s="41"/>
      <c r="O22" s="41"/>
      <c r="P22" s="41"/>
      <c r="Q22" s="41"/>
      <c r="R22" s="41"/>
      <c r="S22" s="41"/>
      <c r="T22" s="41"/>
      <c r="U22" s="41"/>
      <c r="V22" s="41"/>
      <c r="W22" s="41"/>
    </row>
    <row r="23" spans="1:23" ht="21" customHeight="1" x14ac:dyDescent="0.25">
      <c r="A23" s="107"/>
      <c r="B23" s="107"/>
      <c r="C23" s="125" t="s">
        <v>21</v>
      </c>
      <c r="D23" s="108" t="s">
        <v>3</v>
      </c>
      <c r="E23" s="125"/>
      <c r="F23" s="107" t="s">
        <v>23</v>
      </c>
      <c r="G23" s="107" t="s">
        <v>24</v>
      </c>
      <c r="H23" s="255" t="str">
        <f>H9</f>
        <v>SP1</v>
      </c>
      <c r="I23" s="256" t="str">
        <f t="shared" ref="I23:L23" si="0">I9</f>
        <v>SP2</v>
      </c>
      <c r="J23" s="256" t="str">
        <f t="shared" si="0"/>
        <v>SP3</v>
      </c>
      <c r="K23" s="261" t="str">
        <f t="shared" si="0"/>
        <v>SP4</v>
      </c>
      <c r="L23" s="113" t="str">
        <f t="shared" si="0"/>
        <v>Notes / Progress</v>
      </c>
      <c r="M23" s="151"/>
      <c r="N23" s="16"/>
      <c r="O23" s="16"/>
      <c r="P23" s="16"/>
      <c r="Q23" s="16"/>
      <c r="R23" s="16"/>
      <c r="S23" s="16"/>
      <c r="T23" s="16"/>
      <c r="U23" s="16"/>
      <c r="V23" s="16"/>
      <c r="W23" s="16"/>
    </row>
    <row r="24" spans="1:23" x14ac:dyDescent="0.25">
      <c r="A24" s="158" t="str">
        <f t="shared" ref="A24:A32" si="1">IFERROR(IF(HLOOKUP($L$6,RangeUnitsetsOMEDUC,M24,FALSE)=0,"",HLOOKUP($L$6,RangeUnitsetsOMEDUC,M24,FALSE)),"")</f>
        <v/>
      </c>
      <c r="B24" s="200" t="str">
        <f>IFERROR(IF(VLOOKUP($A24,TableHandbook[],2,FALSE)=0,"",VLOOKUP($A24,TableHandbook[],2,FALSE)),"")</f>
        <v/>
      </c>
      <c r="C24" s="200"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62" t="str">
        <f>IFERROR(VLOOKUP($A24,TableHandbook[],H$2,FALSE),"")</f>
        <v/>
      </c>
      <c r="I24" s="263" t="str">
        <f>IFERROR(VLOOKUP($A24,TableHandbook[],I$2,FALSE),"")</f>
        <v/>
      </c>
      <c r="J24" s="263" t="str">
        <f>IFERROR(VLOOKUP($A24,TableHandbook[],J$2,FALSE),"")</f>
        <v/>
      </c>
      <c r="K24" s="264" t="str">
        <f>IFERROR(VLOOKUP($A24,TableHandbook[],K$2,FALSE),"")</f>
        <v/>
      </c>
      <c r="L24" s="51"/>
      <c r="M24" s="151">
        <v>10</v>
      </c>
      <c r="N24" s="16"/>
      <c r="O24" s="16"/>
      <c r="P24" s="16"/>
      <c r="Q24" s="16"/>
      <c r="R24" s="16"/>
      <c r="S24" s="16"/>
      <c r="T24" s="16"/>
      <c r="U24" s="16"/>
      <c r="V24" s="16"/>
      <c r="W24" s="16"/>
    </row>
    <row r="25" spans="1:23" x14ac:dyDescent="0.25">
      <c r="A25" s="158" t="str">
        <f t="shared" si="1"/>
        <v/>
      </c>
      <c r="B25" s="200" t="str">
        <f>IFERROR(IF(VLOOKUP($A25,TableHandbook[],2,FALSE)=0,"",VLOOKUP($A25,TableHandbook[],2,FALSE)),"")</f>
        <v/>
      </c>
      <c r="C25" s="200"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57" t="str">
        <f>IFERROR(VLOOKUP($A25,TableHandbook[],H$2,FALSE),"")</f>
        <v/>
      </c>
      <c r="I25" s="258" t="str">
        <f>IFERROR(VLOOKUP($A25,TableHandbook[],I$2,FALSE),"")</f>
        <v/>
      </c>
      <c r="J25" s="258" t="str">
        <f>IFERROR(VLOOKUP($A25,TableHandbook[],J$2,FALSE),"")</f>
        <v/>
      </c>
      <c r="K25" s="265" t="str">
        <f>IFERROR(VLOOKUP($A25,TableHandbook[],K$2,FALSE),"")</f>
        <v/>
      </c>
      <c r="L25" s="51"/>
      <c r="M25" s="151">
        <v>11</v>
      </c>
      <c r="N25" s="16"/>
      <c r="O25" s="16"/>
      <c r="P25" s="16"/>
      <c r="Q25" s="16"/>
      <c r="R25" s="16"/>
      <c r="S25" s="16"/>
      <c r="T25" s="16"/>
      <c r="U25" s="16"/>
      <c r="V25" s="16"/>
      <c r="W25" s="16"/>
    </row>
    <row r="26" spans="1:23" x14ac:dyDescent="0.25">
      <c r="A26" s="158" t="str">
        <f t="shared" si="1"/>
        <v/>
      </c>
      <c r="B26" s="200" t="str">
        <f>IFERROR(IF(VLOOKUP($A26,TableHandbook[],2,FALSE)=0,"",VLOOKUP($A26,TableHandbook[],2,FALSE)),"")</f>
        <v/>
      </c>
      <c r="C26" s="200"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57" t="str">
        <f>IFERROR(VLOOKUP($A26,TableHandbook[],H$2,FALSE),"")</f>
        <v/>
      </c>
      <c r="I26" s="258" t="str">
        <f>IFERROR(VLOOKUP($A26,TableHandbook[],I$2,FALSE),"")</f>
        <v/>
      </c>
      <c r="J26" s="258" t="str">
        <f>IFERROR(VLOOKUP($A26,TableHandbook[],J$2,FALSE),"")</f>
        <v/>
      </c>
      <c r="K26" s="265" t="str">
        <f>IFERROR(VLOOKUP($A26,TableHandbook[],K$2,FALSE),"")</f>
        <v/>
      </c>
      <c r="L26" s="51"/>
      <c r="M26" s="151">
        <v>12</v>
      </c>
      <c r="N26" s="16"/>
      <c r="O26" s="16"/>
      <c r="P26" s="16"/>
      <c r="Q26" s="16"/>
      <c r="R26" s="16"/>
      <c r="S26" s="16"/>
      <c r="T26" s="16"/>
      <c r="U26" s="16"/>
      <c r="V26" s="16"/>
      <c r="W26" s="16"/>
    </row>
    <row r="27" spans="1:23" x14ac:dyDescent="0.25">
      <c r="A27" s="158" t="str">
        <f t="shared" si="1"/>
        <v/>
      </c>
      <c r="B27" s="200" t="str">
        <f>IFERROR(IF(VLOOKUP($A27,TableHandbook[],2,FALSE)=0,"",VLOOKUP($A27,TableHandbook[],2,FALSE)),"")</f>
        <v/>
      </c>
      <c r="C27" s="200"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57" t="str">
        <f>IFERROR(VLOOKUP($A27,TableHandbook[],H$2,FALSE),"")</f>
        <v/>
      </c>
      <c r="I27" s="258" t="str">
        <f>IFERROR(VLOOKUP($A27,TableHandbook[],I$2,FALSE),"")</f>
        <v/>
      </c>
      <c r="J27" s="258" t="str">
        <f>IFERROR(VLOOKUP($A27,TableHandbook[],J$2,FALSE),"")</f>
        <v/>
      </c>
      <c r="K27" s="265" t="str">
        <f>IFERROR(VLOOKUP($A27,TableHandbook[],K$2,FALSE),"")</f>
        <v/>
      </c>
      <c r="L27" s="51"/>
      <c r="M27" s="151">
        <v>13</v>
      </c>
      <c r="N27" s="16"/>
      <c r="O27" s="16"/>
      <c r="P27" s="16"/>
      <c r="Q27" s="16"/>
      <c r="R27" s="16"/>
      <c r="S27" s="16"/>
      <c r="T27" s="16"/>
      <c r="U27" s="16"/>
      <c r="V27" s="16"/>
      <c r="W27" s="16"/>
    </row>
    <row r="28" spans="1:23" x14ac:dyDescent="0.25">
      <c r="A28" s="158" t="str">
        <f t="shared" si="1"/>
        <v/>
      </c>
      <c r="B28" s="200" t="str">
        <f>IFERROR(IF(VLOOKUP($A28,TableHandbook[],2,FALSE)=0,"",VLOOKUP($A28,TableHandbook[],2,FALSE)),"")</f>
        <v/>
      </c>
      <c r="C28" s="200"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62" t="str">
        <f>IFERROR(VLOOKUP($A28,TableHandbook[],H$2,FALSE),"")</f>
        <v/>
      </c>
      <c r="I28" s="263" t="str">
        <f>IFERROR(VLOOKUP($A28,TableHandbook[],I$2,FALSE),"")</f>
        <v/>
      </c>
      <c r="J28" s="263" t="str">
        <f>IFERROR(VLOOKUP($A28,TableHandbook[],J$2,FALSE),"")</f>
        <v/>
      </c>
      <c r="K28" s="264" t="str">
        <f>IFERROR(VLOOKUP($A28,TableHandbook[],K$2,FALSE),"")</f>
        <v/>
      </c>
      <c r="L28" s="51"/>
      <c r="M28" s="151">
        <v>14</v>
      </c>
      <c r="N28" s="16"/>
      <c r="O28" s="16"/>
      <c r="P28" s="16"/>
      <c r="Q28" s="16"/>
      <c r="R28" s="16"/>
      <c r="S28" s="16"/>
      <c r="T28" s="16"/>
      <c r="U28" s="16"/>
      <c r="V28" s="16"/>
      <c r="W28" s="16"/>
    </row>
    <row r="29" spans="1:23" x14ac:dyDescent="0.25">
      <c r="A29" s="158" t="str">
        <f t="shared" si="1"/>
        <v/>
      </c>
      <c r="B29" s="200" t="str">
        <f>IFERROR(IF(VLOOKUP($A29,TableHandbook[],2,FALSE)=0,"",VLOOKUP($A29,TableHandbook[],2,FALSE)),"")</f>
        <v/>
      </c>
      <c r="C29" s="200"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62" t="str">
        <f>IFERROR(VLOOKUP($A29,TableHandbook[],H$2,FALSE),"")</f>
        <v/>
      </c>
      <c r="I29" s="263" t="str">
        <f>IFERROR(VLOOKUP($A29,TableHandbook[],I$2,FALSE),"")</f>
        <v/>
      </c>
      <c r="J29" s="263" t="str">
        <f>IFERROR(VLOOKUP($A29,TableHandbook[],J$2,FALSE),"")</f>
        <v/>
      </c>
      <c r="K29" s="264" t="str">
        <f>IFERROR(VLOOKUP($A29,TableHandbook[],K$2,FALSE),"")</f>
        <v/>
      </c>
      <c r="L29" s="51"/>
      <c r="M29" s="151">
        <v>15</v>
      </c>
      <c r="N29" s="16"/>
      <c r="O29" s="16"/>
      <c r="P29" s="16"/>
      <c r="Q29" s="16"/>
      <c r="R29" s="16"/>
      <c r="S29" s="16"/>
      <c r="T29" s="16"/>
      <c r="U29" s="16"/>
      <c r="V29" s="16"/>
      <c r="W29" s="16"/>
    </row>
    <row r="30" spans="1:23" x14ac:dyDescent="0.25">
      <c r="A30" s="158" t="str">
        <f t="shared" si="1"/>
        <v/>
      </c>
      <c r="B30" s="200" t="str">
        <f>IFERROR(IF(VLOOKUP($A30,TableHandbook[],2,FALSE)=0,"",VLOOKUP($A30,TableHandbook[],2,FALSE)),"")</f>
        <v/>
      </c>
      <c r="C30" s="200"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62" t="str">
        <f>IFERROR(VLOOKUP($A30,TableHandbook[],H$2,FALSE),"")</f>
        <v/>
      </c>
      <c r="I30" s="263" t="str">
        <f>IFERROR(VLOOKUP($A30,TableHandbook[],I$2,FALSE),"")</f>
        <v/>
      </c>
      <c r="J30" s="263" t="str">
        <f>IFERROR(VLOOKUP($A30,TableHandbook[],J$2,FALSE),"")</f>
        <v/>
      </c>
      <c r="K30" s="264" t="str">
        <f>IFERROR(VLOOKUP($A30,TableHandbook[],K$2,FALSE),"")</f>
        <v/>
      </c>
      <c r="L30" s="51"/>
      <c r="M30" s="151">
        <v>16</v>
      </c>
      <c r="N30" s="16"/>
      <c r="O30" s="16"/>
      <c r="P30" s="16"/>
      <c r="Q30" s="16"/>
      <c r="R30" s="16"/>
      <c r="S30" s="16"/>
      <c r="T30" s="16"/>
      <c r="U30" s="16"/>
      <c r="V30" s="16"/>
      <c r="W30" s="16"/>
    </row>
    <row r="31" spans="1:23" x14ac:dyDescent="0.25">
      <c r="A31" s="158" t="str">
        <f t="shared" si="1"/>
        <v/>
      </c>
      <c r="B31" s="200" t="str">
        <f>IFERROR(IF(VLOOKUP($A31,TableHandbook[],2,FALSE)=0,"",VLOOKUP($A31,TableHandbook[],2,FALSE)),"")</f>
        <v/>
      </c>
      <c r="C31" s="200"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57" t="str">
        <f>IFERROR(VLOOKUP($A31,TableHandbook[],H$2,FALSE),"")</f>
        <v/>
      </c>
      <c r="I31" s="258" t="str">
        <f>IFERROR(VLOOKUP($A31,TableHandbook[],I$2,FALSE),"")</f>
        <v/>
      </c>
      <c r="J31" s="258" t="str">
        <f>IFERROR(VLOOKUP($A31,TableHandbook[],J$2,FALSE),"")</f>
        <v/>
      </c>
      <c r="K31" s="265" t="str">
        <f>IFERROR(VLOOKUP($A31,TableHandbook[],K$2,FALSE),"")</f>
        <v/>
      </c>
      <c r="L31" s="51"/>
      <c r="M31" s="151">
        <v>17</v>
      </c>
      <c r="N31" s="16"/>
      <c r="O31" s="16"/>
      <c r="P31" s="16"/>
      <c r="Q31" s="16"/>
      <c r="R31" s="16"/>
      <c r="S31" s="16"/>
      <c r="T31" s="16"/>
      <c r="U31" s="16"/>
      <c r="V31" s="16"/>
      <c r="W31" s="16"/>
    </row>
    <row r="32" spans="1:23" x14ac:dyDescent="0.25">
      <c r="A32" s="158" t="str">
        <f t="shared" si="1"/>
        <v/>
      </c>
      <c r="B32" s="200" t="str">
        <f>IFERROR(IF(VLOOKUP($A32,TableHandbook[],2,FALSE)=0,"",VLOOKUP($A32,TableHandbook[],2,FALSE)),"")</f>
        <v/>
      </c>
      <c r="C32" s="200"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57" t="str">
        <f>IFERROR(VLOOKUP($A32,TableHandbook[],H$2,FALSE),"")</f>
        <v/>
      </c>
      <c r="I32" s="258" t="str">
        <f>IFERROR(VLOOKUP($A32,TableHandbook[],I$2,FALSE),"")</f>
        <v/>
      </c>
      <c r="J32" s="258" t="str">
        <f>IFERROR(VLOOKUP($A32,TableHandbook[],J$2,FALSE),"")</f>
        <v/>
      </c>
      <c r="K32" s="265" t="str">
        <f>IFERROR(VLOOKUP($A32,TableHandbook[],K$2,FALSE),"")</f>
        <v/>
      </c>
      <c r="L32" s="51"/>
      <c r="M32" s="151">
        <v>18</v>
      </c>
      <c r="N32" s="16"/>
      <c r="O32" s="16"/>
      <c r="P32" s="16"/>
      <c r="Q32" s="16"/>
      <c r="R32" s="16"/>
      <c r="S32" s="16"/>
      <c r="T32" s="16"/>
      <c r="U32" s="16"/>
      <c r="V32" s="16"/>
      <c r="W32" s="16"/>
    </row>
    <row r="33" spans="1:23" ht="15" customHeight="1" x14ac:dyDescent="0.25">
      <c r="A33" s="175"/>
      <c r="B33" s="176"/>
      <c r="C33" s="177"/>
      <c r="D33" s="177"/>
      <c r="E33" s="178"/>
      <c r="F33" s="179"/>
      <c r="G33" s="179"/>
      <c r="H33" s="159"/>
      <c r="I33" s="159"/>
      <c r="J33" s="159"/>
      <c r="K33" s="159"/>
      <c r="L33" s="160"/>
      <c r="M33" s="151"/>
      <c r="N33" s="16"/>
      <c r="O33" s="16"/>
      <c r="P33" s="16"/>
      <c r="Q33" s="16"/>
      <c r="R33" s="16"/>
      <c r="S33" s="16"/>
      <c r="T33" s="16"/>
      <c r="U33" s="16"/>
      <c r="V33" s="16"/>
      <c r="W33" s="16"/>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Unitsets!$A$44:$A$48</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47"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3"/>
      <c r="B2" s="153">
        <v>2</v>
      </c>
      <c r="C2" s="153">
        <v>3</v>
      </c>
      <c r="D2" s="153">
        <v>4</v>
      </c>
      <c r="E2" s="153"/>
      <c r="F2" s="153">
        <v>6</v>
      </c>
      <c r="G2" s="153">
        <v>5</v>
      </c>
      <c r="H2" s="153">
        <v>7</v>
      </c>
      <c r="I2" s="153">
        <v>8</v>
      </c>
      <c r="J2" s="153">
        <v>9</v>
      </c>
      <c r="K2" s="153">
        <v>10</v>
      </c>
      <c r="L2" s="18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202" t="s">
        <v>42</v>
      </c>
      <c r="E5" s="11"/>
      <c r="F5" s="126" t="s">
        <v>12</v>
      </c>
      <c r="G5" s="11" t="str">
        <f>IFERROR(CONCATENATE(VLOOKUP(D5,TableCourses[],2,FALSE)," ",VLOOKUP(D5,TableCourses[],3,FALSE)),"")</f>
        <v>OM-APLING v.1</v>
      </c>
      <c r="H5" s="11"/>
      <c r="I5" s="11"/>
      <c r="J5" s="11"/>
      <c r="K5" s="11"/>
      <c r="L5" s="210"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200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55" t="s">
        <v>25</v>
      </c>
      <c r="I8" s="256" t="s">
        <v>26</v>
      </c>
      <c r="J8" s="256" t="s">
        <v>27</v>
      </c>
      <c r="K8" s="256"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57" t="str">
        <f>IFERROR(VLOOKUP($A9,TableHandbook[],H$2,FALSE),"")</f>
        <v/>
      </c>
      <c r="I9" s="258" t="str">
        <f>IFERROR(VLOOKUP($A9,TableHandbook[],I$2,FALSE),"")</f>
        <v/>
      </c>
      <c r="J9" s="258" t="str">
        <f>IFERROR(VLOOKUP($A9,TableHandbook[],J$2,FALSE),"")</f>
        <v/>
      </c>
      <c r="K9" s="258" t="str">
        <f>IFERROR(VLOOKUP($A9,TableHandbook[],K$2,FALSE),"")</f>
        <v/>
      </c>
      <c r="L9" s="58"/>
      <c r="M9" s="151">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IF(OR(A10="",A10="-"),"",E9)</f>
        <v/>
      </c>
      <c r="F10" s="49" t="str">
        <f>IFERROR(IF(VLOOKUP($A10,TableHandbook[],6,FALSE)=0,"",VLOOKUP($A10,TableHandbook[],6,FALSE)),"")</f>
        <v/>
      </c>
      <c r="G10" s="50" t="str">
        <f>IFERROR(IF(VLOOKUP($A10,TableHandbook[],5,FALSE)=0,"",VLOOKUP($A10,TableHandbook[],5,FALSE)),"")</f>
        <v/>
      </c>
      <c r="H10" s="257" t="str">
        <f>IFERROR(VLOOKUP($A10,TableHandbook[],H$2,FALSE),"")</f>
        <v/>
      </c>
      <c r="I10" s="258" t="str">
        <f>IFERROR(VLOOKUP($A10,TableHandbook[],I$2,FALSE),"")</f>
        <v/>
      </c>
      <c r="J10" s="258" t="str">
        <f>IFERROR(VLOOKUP($A10,TableHandbook[],J$2,FALSE),"")</f>
        <v/>
      </c>
      <c r="K10" s="258" t="str">
        <f>IFERROR(VLOOKUP($A10,TableHandbook[],K$2,FALSE),"")</f>
        <v/>
      </c>
      <c r="L10" s="58"/>
      <c r="M10" s="151">
        <v>3</v>
      </c>
      <c r="N10" s="20"/>
      <c r="O10" s="20"/>
      <c r="P10" s="21"/>
      <c r="Q10" s="21"/>
      <c r="R10" s="21"/>
      <c r="S10" s="21"/>
      <c r="T10" s="21"/>
      <c r="U10" s="21"/>
      <c r="V10" s="21"/>
      <c r="W10" s="21"/>
    </row>
    <row r="11" spans="1:23" s="22" customFormat="1" ht="4.5" customHeight="1" x14ac:dyDescent="0.15">
      <c r="A11" s="191"/>
      <c r="B11" s="192"/>
      <c r="C11" s="192"/>
      <c r="D11" s="193"/>
      <c r="E11" s="192"/>
      <c r="F11" s="194"/>
      <c r="G11" s="192"/>
      <c r="H11" s="259"/>
      <c r="I11" s="260"/>
      <c r="J11" s="260"/>
      <c r="K11" s="260"/>
      <c r="L11" s="197"/>
      <c r="M11" s="151"/>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57" t="str">
        <f>IFERROR(VLOOKUP($A12,TableHandbook[],H$2,FALSE),"")</f>
        <v/>
      </c>
      <c r="I12" s="258" t="str">
        <f>IFERROR(VLOOKUP($A12,TableHandbook[],I$2,FALSE),"")</f>
        <v/>
      </c>
      <c r="J12" s="258" t="str">
        <f>IFERROR(VLOOKUP($A12,TableHandbook[],J$2,FALSE),"")</f>
        <v/>
      </c>
      <c r="K12" s="258" t="str">
        <f>IFERROR(VLOOKUP($A12,TableHandbook[],K$2,FALSE),"")</f>
        <v/>
      </c>
      <c r="L12" s="59"/>
      <c r="M12" s="151">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IF(OR(A13="",A13="-"),"",E12)</f>
        <v/>
      </c>
      <c r="F13" s="49" t="str">
        <f>IFERROR(IF(VLOOKUP($A13,TableHandbook[],6,FALSE)=0,"",VLOOKUP($A13,TableHandbook[],6,FALSE)),"")</f>
        <v/>
      </c>
      <c r="G13" s="50" t="str">
        <f>IFERROR(IF(VLOOKUP($A13,TableHandbook[],5,FALSE)=0,"",VLOOKUP($A13,TableHandbook[],5,FALSE)),"")</f>
        <v/>
      </c>
      <c r="H13" s="257" t="str">
        <f>IFERROR(VLOOKUP($A13,TableHandbook[],H$2,FALSE),"")</f>
        <v/>
      </c>
      <c r="I13" s="258" t="str">
        <f>IFERROR(VLOOKUP($A13,TableHandbook[],I$2,FALSE),"")</f>
        <v/>
      </c>
      <c r="J13" s="258" t="str">
        <f>IFERROR(VLOOKUP($A13,TableHandbook[],J$2,FALSE),"")</f>
        <v/>
      </c>
      <c r="K13" s="258" t="str">
        <f>IFERROR(VLOOKUP($A13,TableHandbook[],K$2,FALSE),"")</f>
        <v/>
      </c>
      <c r="L13" s="58"/>
      <c r="M13" s="151">
        <v>5</v>
      </c>
      <c r="N13" s="20"/>
      <c r="O13" s="20"/>
      <c r="P13" s="21"/>
      <c r="Q13" s="21"/>
      <c r="R13" s="21"/>
      <c r="S13" s="21"/>
      <c r="T13" s="21"/>
      <c r="U13" s="21"/>
      <c r="V13" s="21"/>
      <c r="W13" s="21"/>
    </row>
    <row r="14" spans="1:23" s="22" customFormat="1" ht="4.5" customHeight="1" x14ac:dyDescent="0.15">
      <c r="A14" s="191"/>
      <c r="B14" s="192"/>
      <c r="C14" s="192"/>
      <c r="D14" s="193"/>
      <c r="E14" s="192"/>
      <c r="F14" s="194"/>
      <c r="G14" s="192"/>
      <c r="H14" s="259"/>
      <c r="I14" s="260"/>
      <c r="J14" s="260"/>
      <c r="K14" s="260"/>
      <c r="L14" s="197"/>
      <c r="M14" s="151"/>
      <c r="N14" s="20"/>
      <c r="O14" s="20"/>
      <c r="P14" s="20"/>
      <c r="Q14" s="21"/>
      <c r="R14" s="21"/>
      <c r="S14" s="21"/>
      <c r="T14" s="21"/>
      <c r="U14" s="21"/>
      <c r="V14" s="21"/>
      <c r="W14" s="21"/>
    </row>
    <row r="15" spans="1:23" s="22" customFormat="1" ht="21" customHeight="1" x14ac:dyDescent="0.15">
      <c r="A15" s="56" t="str">
        <f>IFERROR(IF(HLOOKUP($L$5,RangeUnitsetsTESOL,M15,FALSE)=0,"",HLOOKUP($L$5,RangeUnitsetsTESOL,M15,FALSE)),"")</f>
        <v/>
      </c>
      <c r="B15" s="52" t="str">
        <f>IFERROR(IF(VLOOKUP($A15,TableHandbook[],2,FALSE)=0,"",VLOOKUP($A15,TableHandbook[],2,FALSE)),"")</f>
        <v/>
      </c>
      <c r="C15" s="52" t="str">
        <f>IFERROR(IF(VLOOKUP($A15,TableHandbook[],3,FALSE)=0,"",VLOOKUP($A15,TableHandbook[],3,FALSE)),"")</f>
        <v/>
      </c>
      <c r="D15" s="57" t="str">
        <f>IFERROR(IF(VLOOKUP($A15,TableHandbook[],4,FALSE)=0,"",VLOOKUP($A15,TableHandbook[],4,FALSE)),"")</f>
        <v/>
      </c>
      <c r="E15" s="50" t="str">
        <f>IF(OR(A15="",A15="--"),"",VLOOKUP($D$6,TableStudyPeriods[],4,FALSE))</f>
        <v/>
      </c>
      <c r="F15" s="49" t="str">
        <f>IFERROR(IF(VLOOKUP($A15,TableHandbook[],6,FALSE)=0,"",VLOOKUP($A15,TableHandbook[],6,FALSE)),"")</f>
        <v/>
      </c>
      <c r="G15" s="52" t="str">
        <f>IFERROR(IF(VLOOKUP($A15,TableHandbook[],5,FALSE)=0,"",VLOOKUP($A15,TableHandbook[],5,FALSE)),"")</f>
        <v/>
      </c>
      <c r="H15" s="262" t="str">
        <f>IFERROR(VLOOKUP($A15,TableHandbook[],H$2,FALSE),"")</f>
        <v/>
      </c>
      <c r="I15" s="263" t="str">
        <f>IFERROR(VLOOKUP($A15,TableHandbook[],I$2,FALSE),"")</f>
        <v/>
      </c>
      <c r="J15" s="263" t="str">
        <f>IFERROR(VLOOKUP($A15,TableHandbook[],J$2,FALSE),"")</f>
        <v/>
      </c>
      <c r="K15" s="263" t="str">
        <f>IFERROR(VLOOKUP($A15,TableHandbook[],K$2,FALSE),"")</f>
        <v/>
      </c>
      <c r="L15" s="59"/>
      <c r="M15" s="151">
        <v>6</v>
      </c>
      <c r="N15" s="20"/>
      <c r="O15" s="20"/>
      <c r="P15" s="21"/>
      <c r="Q15" s="21"/>
      <c r="R15" s="21"/>
      <c r="S15" s="21"/>
      <c r="T15" s="21"/>
      <c r="U15" s="21"/>
      <c r="V15" s="21"/>
      <c r="W15" s="21"/>
    </row>
    <row r="16" spans="1:23" s="31" customFormat="1" ht="21" customHeight="1" x14ac:dyDescent="0.15">
      <c r="A16" s="56" t="str">
        <f>IFERROR(IF(HLOOKUP($L$5,RangeUnitsetsTESOL,M16,FALSE)=0,"",HLOOKUP($L$5,RangeUnitsetsTESOL,M16,FALSE)),"")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IF(OR(A16="",A16="-"),"",E15)</f>
        <v/>
      </c>
      <c r="F16" s="49" t="str">
        <f>IFERROR(IF(VLOOKUP($A16,TableHandbook[],6,FALSE)=0,"",VLOOKUP($A16,TableHandbook[],6,FALSE)),"")</f>
        <v/>
      </c>
      <c r="G16" s="52" t="str">
        <f>IFERROR(IF(VLOOKUP($A16,TableHandbook[],5,FALSE)=0,"",VLOOKUP($A16,TableHandbook[],5,FALSE)),"")</f>
        <v/>
      </c>
      <c r="H16" s="262" t="str">
        <f>IFERROR(VLOOKUP($A16,TableHandbook[],H$2,FALSE),"")</f>
        <v/>
      </c>
      <c r="I16" s="263" t="str">
        <f>IFERROR(VLOOKUP($A16,TableHandbook[],I$2,FALSE),"")</f>
        <v/>
      </c>
      <c r="J16" s="263" t="str">
        <f>IFERROR(VLOOKUP($A16,TableHandbook[],J$2,FALSE),"")</f>
        <v/>
      </c>
      <c r="K16" s="263" t="str">
        <f>IFERROR(VLOOKUP($A16,TableHandbook[],K$2,FALSE),"")</f>
        <v/>
      </c>
      <c r="L16" s="59"/>
      <c r="M16" s="151">
        <v>7</v>
      </c>
      <c r="N16" s="29"/>
      <c r="O16" s="29"/>
      <c r="P16" s="30"/>
      <c r="Q16" s="30"/>
      <c r="R16" s="30"/>
      <c r="S16" s="30"/>
      <c r="T16" s="30"/>
      <c r="U16" s="30"/>
      <c r="V16" s="30"/>
      <c r="W16" s="30"/>
    </row>
    <row r="17" spans="1:23" s="22" customFormat="1" ht="4.5" customHeight="1" x14ac:dyDescent="0.15">
      <c r="A17" s="191"/>
      <c r="B17" s="192"/>
      <c r="C17" s="192"/>
      <c r="D17" s="193"/>
      <c r="E17" s="192"/>
      <c r="F17" s="194"/>
      <c r="G17" s="192"/>
      <c r="H17" s="259"/>
      <c r="I17" s="260"/>
      <c r="J17" s="260"/>
      <c r="K17" s="260"/>
      <c r="L17" s="197"/>
      <c r="M17" s="151"/>
      <c r="N17" s="20"/>
      <c r="O17" s="20"/>
      <c r="P17" s="20"/>
      <c r="Q17" s="21"/>
      <c r="R17" s="21"/>
      <c r="S17" s="21"/>
      <c r="T17" s="21"/>
      <c r="U17" s="21"/>
      <c r="V17" s="21"/>
      <c r="W17" s="21"/>
    </row>
    <row r="18" spans="1:23" s="31" customFormat="1" ht="21" customHeight="1" x14ac:dyDescent="0.15">
      <c r="A18" s="56" t="str">
        <f>IFERROR(IF(HLOOKUP($L$5,RangeUnitsetsTESOL,M18,FALSE)=0,"",HLOOKUP($L$5,RangeUnitsetsTESOL,M18,FALSE)),"")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IF(OR(A18="",A18="--"),"",VLOOKUP($D$6,TableStudyPeriods[],5,FALSE))</f>
        <v/>
      </c>
      <c r="F18" s="49" t="str">
        <f>IFERROR(IF(VLOOKUP($A18,TableHandbook[],6,FALSE)=0,"",VLOOKUP($A18,TableHandbook[],6,FALSE)),"")</f>
        <v/>
      </c>
      <c r="G18" s="52" t="str">
        <f>IFERROR(IF(VLOOKUP($A18,TableHandbook[],5,FALSE)=0,"",VLOOKUP($A18,TableHandbook[],5,FALSE)),"")</f>
        <v/>
      </c>
      <c r="H18" s="262" t="str">
        <f>IFERROR(VLOOKUP($A18,TableHandbook[],H$2,FALSE),"")</f>
        <v/>
      </c>
      <c r="I18" s="263" t="str">
        <f>IFERROR(VLOOKUP($A18,TableHandbook[],I$2,FALSE),"")</f>
        <v/>
      </c>
      <c r="J18" s="263" t="str">
        <f>IFERROR(VLOOKUP($A18,TableHandbook[],J$2,FALSE),"")</f>
        <v/>
      </c>
      <c r="K18" s="263" t="str">
        <f>IFERROR(VLOOKUP($A18,TableHandbook[],K$2,FALSE),"")</f>
        <v/>
      </c>
      <c r="L18" s="59"/>
      <c r="M18" s="151">
        <v>8</v>
      </c>
      <c r="N18" s="29"/>
      <c r="O18" s="29"/>
      <c r="P18" s="30"/>
      <c r="Q18" s="30"/>
      <c r="R18" s="30"/>
      <c r="S18" s="30"/>
      <c r="T18" s="30"/>
      <c r="U18" s="30"/>
      <c r="V18" s="30"/>
      <c r="W18" s="30"/>
    </row>
    <row r="19" spans="1:23" s="31" customFormat="1" ht="21" customHeight="1" x14ac:dyDescent="0.15">
      <c r="A19" s="56" t="str">
        <f>IFERROR(IF(HLOOKUP($L$5,RangeUnitsetsTESOL,M19,FALSE)=0,"",HLOOKUP($L$5,RangeUnitsetsTESOL,M19,FALSE)),"")</f>
        <v/>
      </c>
      <c r="B19" s="52" t="str">
        <f>IFERROR(IF(VLOOKUP($A19,TableHandbook[],2,FALSE)=0,"",VLOOKUP($A19,TableHandbook[],2,FALSE)),"")</f>
        <v/>
      </c>
      <c r="C19" s="52" t="str">
        <f>IFERROR(IF(VLOOKUP($A19,TableHandbook[],3,FALSE)=0,"",VLOOKUP($A19,TableHandbook[],3,FALSE)),"")</f>
        <v/>
      </c>
      <c r="D19" s="55" t="str">
        <f>IFERROR(IF(VLOOKUP($A19,TableHandbook[],4,FALSE)=0,"",VLOOKUP($A19,TableHandbook[],4,FALSE)),"")</f>
        <v/>
      </c>
      <c r="E19" s="52" t="str">
        <f>IF(OR(A19="",A19="-"),"",E18)</f>
        <v/>
      </c>
      <c r="F19" s="49" t="str">
        <f>IFERROR(IF(VLOOKUP($A19,TableHandbook[],6,FALSE)=0,"",VLOOKUP($A19,TableHandbook[],6,FALSE)),"")</f>
        <v/>
      </c>
      <c r="G19" s="52" t="str">
        <f>IFERROR(IF(VLOOKUP($A19,TableHandbook[],5,FALSE)=0,"",VLOOKUP($A19,TableHandbook[],5,FALSE)),"")</f>
        <v/>
      </c>
      <c r="H19" s="262" t="str">
        <f>IFERROR(VLOOKUP($A19,TableHandbook[],H$2,FALSE),"")</f>
        <v/>
      </c>
      <c r="I19" s="263" t="str">
        <f>IFERROR(VLOOKUP($A19,TableHandbook[],I$2,FALSE),"")</f>
        <v/>
      </c>
      <c r="J19" s="263" t="str">
        <f>IFERROR(VLOOKUP($A19,TableHandbook[],J$2,FALSE),"")</f>
        <v/>
      </c>
      <c r="K19" s="263" t="str">
        <f>IFERROR(VLOOKUP($A19,TableHandbook[],K$2,FALSE),"")</f>
        <v/>
      </c>
      <c r="L19" s="59"/>
      <c r="M19" s="151">
        <v>9</v>
      </c>
      <c r="N19" s="29"/>
      <c r="O19" s="29"/>
      <c r="P19" s="30"/>
      <c r="Q19" s="30"/>
      <c r="R19" s="30"/>
      <c r="S19" s="30"/>
      <c r="T19" s="30"/>
      <c r="U19" s="30"/>
      <c r="V19" s="30"/>
      <c r="W19" s="30"/>
    </row>
    <row r="20" spans="1:23" ht="15" customHeight="1" x14ac:dyDescent="0.25">
      <c r="A20" s="175"/>
      <c r="B20" s="176"/>
      <c r="C20" s="177"/>
      <c r="D20" s="177"/>
      <c r="E20" s="178"/>
      <c r="F20" s="179"/>
      <c r="G20" s="179"/>
      <c r="H20" s="159"/>
      <c r="I20" s="159"/>
      <c r="J20" s="159"/>
      <c r="K20" s="159"/>
      <c r="L20" s="160"/>
      <c r="M20" s="151"/>
      <c r="N20" s="16"/>
      <c r="O20" s="16"/>
      <c r="P20" s="16"/>
      <c r="Q20" s="16"/>
      <c r="R20" s="16"/>
      <c r="S20" s="16"/>
      <c r="T20" s="16"/>
      <c r="U20" s="16"/>
      <c r="V20" s="16"/>
      <c r="W20" s="16"/>
    </row>
    <row r="21" spans="1:23" s="16" customFormat="1" ht="21" customHeight="1"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Unitsets!$A$44:$A$48</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3"/>
      <c r="B2" s="153">
        <v>2</v>
      </c>
      <c r="C2" s="153">
        <v>3</v>
      </c>
      <c r="D2" s="153">
        <v>4</v>
      </c>
      <c r="E2" s="153"/>
      <c r="F2" s="153">
        <v>6</v>
      </c>
      <c r="G2" s="153">
        <v>5</v>
      </c>
      <c r="H2" s="153">
        <v>7</v>
      </c>
      <c r="I2" s="153">
        <v>8</v>
      </c>
      <c r="J2" s="153">
        <v>9</v>
      </c>
      <c r="K2" s="153">
        <v>10</v>
      </c>
      <c r="L2" s="18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139" t="s">
        <v>43</v>
      </c>
      <c r="E5" s="11"/>
      <c r="F5" s="126" t="s">
        <v>12</v>
      </c>
      <c r="G5" s="11" t="str">
        <f>IFERROR(CONCATENATE(VLOOKUP(D5,TableCourses[],2,FALSE)," ",VLOOKUP(D5,TableCourses[],3,FALSE)),"")</f>
        <v>OC-TESOL v.2</v>
      </c>
      <c r="H5" s="11"/>
      <c r="I5" s="11"/>
      <c r="J5" s="11"/>
      <c r="K5" s="11"/>
      <c r="L5" s="210"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55" t="s">
        <v>25</v>
      </c>
      <c r="I8" s="256" t="s">
        <v>26</v>
      </c>
      <c r="J8" s="256" t="s">
        <v>27</v>
      </c>
      <c r="K8" s="256"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57" t="str">
        <f>IFERROR(VLOOKUP($A9,TableHandbook[],H$2,FALSE),"")</f>
        <v/>
      </c>
      <c r="I9" s="258" t="str">
        <f>IFERROR(VLOOKUP($A9,TableHandbook[],I$2,FALSE),"")</f>
        <v/>
      </c>
      <c r="J9" s="258" t="str">
        <f>IFERROR(VLOOKUP($A9,TableHandbook[],J$2,FALSE),"")</f>
        <v/>
      </c>
      <c r="K9" s="258" t="str">
        <f>IFERROR(VLOOKUP($A9,TableHandbook[],K$2,FALSE),"")</f>
        <v/>
      </c>
      <c r="L9" s="58"/>
      <c r="M9" s="151">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57" t="str">
        <f>IFERROR(VLOOKUP($A10,TableHandbook[],H$2,FALSE),"")</f>
        <v/>
      </c>
      <c r="I10" s="258" t="str">
        <f>IFERROR(VLOOKUP($A10,TableHandbook[],I$2,FALSE),"")</f>
        <v/>
      </c>
      <c r="J10" s="258" t="str">
        <f>IFERROR(VLOOKUP($A10,TableHandbook[],J$2,FALSE),"")</f>
        <v/>
      </c>
      <c r="K10" s="258" t="str">
        <f>IFERROR(VLOOKUP($A10,TableHandbook[],K$2,FALSE),"")</f>
        <v/>
      </c>
      <c r="L10" s="58"/>
      <c r="M10" s="151">
        <v>3</v>
      </c>
      <c r="N10" s="20"/>
      <c r="O10" s="20"/>
      <c r="P10" s="21"/>
      <c r="Q10" s="21"/>
      <c r="R10" s="21"/>
      <c r="S10" s="21"/>
      <c r="T10" s="21"/>
      <c r="U10" s="21"/>
      <c r="V10" s="21"/>
      <c r="W10" s="21"/>
    </row>
    <row r="11" spans="1:23" s="22" customFormat="1" ht="4.5" customHeight="1" x14ac:dyDescent="0.15">
      <c r="A11" s="191"/>
      <c r="B11" s="192"/>
      <c r="C11" s="192"/>
      <c r="D11" s="193"/>
      <c r="E11" s="192"/>
      <c r="F11" s="194"/>
      <c r="G11" s="192"/>
      <c r="H11" s="259"/>
      <c r="I11" s="260"/>
      <c r="J11" s="260"/>
      <c r="K11" s="260"/>
      <c r="L11" s="197"/>
      <c r="M11" s="151"/>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57" t="str">
        <f>IFERROR(VLOOKUP($A12,TableHandbook[],H$2,FALSE),"")</f>
        <v/>
      </c>
      <c r="I12" s="258" t="str">
        <f>IFERROR(VLOOKUP($A12,TableHandbook[],I$2,FALSE),"")</f>
        <v/>
      </c>
      <c r="J12" s="258" t="str">
        <f>IFERROR(VLOOKUP($A12,TableHandbook[],J$2,FALSE),"")</f>
        <v/>
      </c>
      <c r="K12" s="258" t="str">
        <f>IFERROR(VLOOKUP($A12,TableHandbook[],K$2,FALSE),"")</f>
        <v/>
      </c>
      <c r="L12" s="59"/>
      <c r="M12" s="151">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57" t="str">
        <f>IFERROR(VLOOKUP($A13,TableHandbook[],H$2,FALSE),"")</f>
        <v/>
      </c>
      <c r="I13" s="258" t="str">
        <f>IFERROR(VLOOKUP($A13,TableHandbook[],I$2,FALSE),"")</f>
        <v/>
      </c>
      <c r="J13" s="258" t="str">
        <f>IFERROR(VLOOKUP($A13,TableHandbook[],J$2,FALSE),"")</f>
        <v/>
      </c>
      <c r="K13" s="258" t="str">
        <f>IFERROR(VLOOKUP($A13,TableHandbook[],K$2,FALSE),"")</f>
        <v/>
      </c>
      <c r="L13" s="58"/>
      <c r="M13" s="151">
        <v>5</v>
      </c>
      <c r="N13" s="20"/>
      <c r="O13" s="20"/>
      <c r="P13" s="21"/>
      <c r="Q13" s="21"/>
      <c r="R13" s="21"/>
      <c r="S13" s="21"/>
      <c r="T13" s="21"/>
      <c r="U13" s="21"/>
      <c r="V13" s="21"/>
      <c r="W13" s="21"/>
    </row>
    <row r="14" spans="1:23" s="22" customFormat="1" ht="15" customHeight="1" x14ac:dyDescent="0.15">
      <c r="A14" s="159"/>
      <c r="B14" s="160"/>
      <c r="C14" s="160"/>
      <c r="D14" s="161"/>
      <c r="E14" s="160"/>
      <c r="F14" s="162"/>
      <c r="G14" s="159"/>
      <c r="H14" s="159"/>
      <c r="I14" s="159"/>
      <c r="J14" s="159"/>
      <c r="K14" s="159"/>
      <c r="L14" s="163"/>
      <c r="M14" s="151"/>
      <c r="N14" s="20"/>
      <c r="O14" s="20"/>
      <c r="P14" s="21"/>
      <c r="Q14" s="21"/>
      <c r="R14" s="21"/>
      <c r="S14" s="21"/>
      <c r="T14" s="21"/>
      <c r="U14" s="21"/>
      <c r="V14" s="21"/>
      <c r="W14" s="21"/>
    </row>
    <row r="15" spans="1:23" s="42" customFormat="1" ht="17.25" x14ac:dyDescent="0.25">
      <c r="A15" s="180" t="s">
        <v>44</v>
      </c>
      <c r="B15" s="97"/>
      <c r="C15" s="97"/>
      <c r="D15" s="98"/>
      <c r="E15" s="99"/>
      <c r="F15" s="99"/>
      <c r="G15" s="99"/>
      <c r="H15" s="100" t="str">
        <f>H7</f>
        <v>2025 Availabilities</v>
      </c>
      <c r="I15" s="101"/>
      <c r="J15" s="102"/>
      <c r="K15" s="103"/>
      <c r="L15" s="104"/>
      <c r="M15" s="174"/>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55" t="str">
        <f>H8</f>
        <v>SP1</v>
      </c>
      <c r="I16" s="256" t="str">
        <f t="shared" ref="I16:L16" si="0">I8</f>
        <v>SP2</v>
      </c>
      <c r="J16" s="256" t="str">
        <f t="shared" si="0"/>
        <v>SP3</v>
      </c>
      <c r="K16" s="261" t="str">
        <f t="shared" si="0"/>
        <v>SP4</v>
      </c>
      <c r="L16" s="113" t="str">
        <f t="shared" si="0"/>
        <v>Notes / Progress</v>
      </c>
      <c r="M16" s="151"/>
      <c r="N16" s="16"/>
      <c r="O16" s="16"/>
      <c r="P16" s="16"/>
      <c r="Q16" s="16"/>
      <c r="R16" s="16"/>
      <c r="S16" s="16"/>
      <c r="T16" s="16"/>
      <c r="U16" s="16"/>
      <c r="V16" s="16"/>
      <c r="W16" s="16"/>
    </row>
    <row r="17" spans="1:23" x14ac:dyDescent="0.25">
      <c r="A17" s="158" t="str">
        <f>IFERROR(IF(HLOOKUP($L$5,RangeUnitsetsTESOL,M17,FALSE)=0,"",HLOOKUP($L$5,RangeUnitsetsTESOL,M17,FALSE)),"")</f>
        <v/>
      </c>
      <c r="B17" s="43" t="str">
        <f>IFERROR(IF(VLOOKUP($A17,TableHandbook[],2,FALSE)=0,"",VLOOKUP($A17,TableHandbook[],2,FALSE)),"")</f>
        <v/>
      </c>
      <c r="C17" s="200"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62" t="str">
        <f>IFERROR(VLOOKUP($A17,TableHandbook[],H$2,FALSE),"")</f>
        <v/>
      </c>
      <c r="I17" s="263" t="str">
        <f>IFERROR(VLOOKUP($A17,TableHandbook[],I$2,FALSE),"")</f>
        <v/>
      </c>
      <c r="J17" s="263" t="str">
        <f>IFERROR(VLOOKUP($A17,TableHandbook[],J$2,FALSE),"")</f>
        <v/>
      </c>
      <c r="K17" s="264" t="str">
        <f>IFERROR(VLOOKUP($A17,TableHandbook[],K$2,FALSE),"")</f>
        <v/>
      </c>
      <c r="L17" s="51"/>
      <c r="M17" s="151">
        <v>10</v>
      </c>
      <c r="N17" s="16"/>
      <c r="O17" s="16"/>
      <c r="P17" s="16"/>
      <c r="Q17" s="16"/>
      <c r="R17" s="16"/>
      <c r="S17" s="16"/>
      <c r="T17" s="16"/>
      <c r="U17" s="16"/>
      <c r="V17" s="16"/>
      <c r="W17" s="16"/>
    </row>
    <row r="18" spans="1:23" x14ac:dyDescent="0.25">
      <c r="A18" s="158" t="str">
        <f>IFERROR(IF(HLOOKUP($L$5,RangeUnitsetsTESOL,M18,FALSE)=0,"",HLOOKUP($L$5,RangeUnitsetsTESOL,M18,FALSE)),"")</f>
        <v/>
      </c>
      <c r="B18" s="43" t="str">
        <f>IFERROR(IF(VLOOKUP($A18,TableHandbook[],2,FALSE)=0,"",VLOOKUP($A18,TableHandbook[],2,FALSE)),"")</f>
        <v/>
      </c>
      <c r="C18" s="200"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57" t="str">
        <f>IFERROR(VLOOKUP($A18,TableHandbook[],H$2,FALSE),"")</f>
        <v/>
      </c>
      <c r="I18" s="258" t="str">
        <f>IFERROR(VLOOKUP($A18,TableHandbook[],I$2,FALSE),"")</f>
        <v/>
      </c>
      <c r="J18" s="258" t="str">
        <f>IFERROR(VLOOKUP($A18,TableHandbook[],J$2,FALSE),"")</f>
        <v/>
      </c>
      <c r="K18" s="265" t="str">
        <f>IFERROR(VLOOKUP($A18,TableHandbook[],K$2,FALSE),"")</f>
        <v/>
      </c>
      <c r="L18" s="51"/>
      <c r="M18" s="151">
        <v>11</v>
      </c>
      <c r="N18" s="16"/>
      <c r="O18" s="16"/>
      <c r="P18" s="16"/>
      <c r="Q18" s="16"/>
      <c r="R18" s="16"/>
      <c r="S18" s="16"/>
      <c r="T18" s="16"/>
      <c r="U18" s="16"/>
      <c r="V18" s="16"/>
      <c r="W18" s="16"/>
    </row>
    <row r="19" spans="1:23" x14ac:dyDescent="0.25">
      <c r="A19" s="158" t="str">
        <f>IFERROR(IF(HLOOKUP($L$5,RangeUnitsetsTESOL,M19,FALSE)=0,"",HLOOKUP($L$5,RangeUnitsetsTESOL,M19,FALSE)),"")</f>
        <v/>
      </c>
      <c r="B19" s="43" t="str">
        <f>IFERROR(IF(VLOOKUP($A19,TableHandbook[],2,FALSE)=0,"",VLOOKUP($A19,TableHandbook[],2,FALSE)),"")</f>
        <v/>
      </c>
      <c r="C19" s="200"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57" t="str">
        <f>IFERROR(VLOOKUP($A19,TableHandbook[],H$2,FALSE),"")</f>
        <v/>
      </c>
      <c r="I19" s="258" t="str">
        <f>IFERROR(VLOOKUP($A19,TableHandbook[],I$2,FALSE),"")</f>
        <v/>
      </c>
      <c r="J19" s="258" t="str">
        <f>IFERROR(VLOOKUP($A19,TableHandbook[],J$2,FALSE),"")</f>
        <v/>
      </c>
      <c r="K19" s="265" t="str">
        <f>IFERROR(VLOOKUP($A19,TableHandbook[],K$2,FALSE),"")</f>
        <v/>
      </c>
      <c r="L19" s="51"/>
      <c r="M19" s="151">
        <v>12</v>
      </c>
      <c r="N19" s="16"/>
      <c r="O19" s="16"/>
      <c r="P19" s="16"/>
      <c r="Q19" s="16"/>
      <c r="R19" s="16"/>
      <c r="S19" s="16"/>
      <c r="T19" s="16"/>
      <c r="U19" s="16"/>
      <c r="V19" s="16"/>
      <c r="W19" s="16"/>
    </row>
    <row r="20" spans="1:23" ht="15" customHeight="1" x14ac:dyDescent="0.25">
      <c r="A20" s="175"/>
      <c r="B20" s="176"/>
      <c r="C20" s="177"/>
      <c r="D20" s="177"/>
      <c r="E20" s="178"/>
      <c r="F20" s="179"/>
      <c r="G20" s="179"/>
      <c r="H20" s="159"/>
      <c r="I20" s="159"/>
      <c r="J20" s="159"/>
      <c r="K20" s="159"/>
      <c r="L20" s="160"/>
      <c r="M20" s="151"/>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Unitsets!$A$44:$A$48</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3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3"/>
      <c r="B2" s="153">
        <v>2</v>
      </c>
      <c r="C2" s="153">
        <v>3</v>
      </c>
      <c r="D2" s="153">
        <v>4</v>
      </c>
      <c r="E2" s="153"/>
      <c r="F2" s="153">
        <v>6</v>
      </c>
      <c r="G2" s="153">
        <v>5</v>
      </c>
      <c r="H2" s="153">
        <v>7</v>
      </c>
      <c r="I2" s="153">
        <v>8</v>
      </c>
      <c r="J2" s="153">
        <v>9</v>
      </c>
      <c r="K2" s="153">
        <v>10</v>
      </c>
      <c r="L2" s="18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202" t="s">
        <v>45</v>
      </c>
      <c r="E5" s="11"/>
      <c r="F5" s="126" t="s">
        <v>12</v>
      </c>
      <c r="G5" s="11" t="str">
        <f>IFERROR(CONCATENATE(VLOOKUP(D5,TableCourses[],2,FALSE)," ",VLOOKUP(D5,TableCourses[],3,FALSE)),"")</f>
        <v>OC-EDUC v.1</v>
      </c>
      <c r="H5" s="11"/>
      <c r="I5" s="11"/>
      <c r="J5" s="11"/>
      <c r="K5" s="11"/>
      <c r="L5" s="272"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55" t="s">
        <v>25</v>
      </c>
      <c r="I8" s="256" t="s">
        <v>26</v>
      </c>
      <c r="J8" s="256" t="s">
        <v>27</v>
      </c>
      <c r="K8" s="256" t="s">
        <v>28</v>
      </c>
      <c r="L8" s="113" t="s">
        <v>29</v>
      </c>
      <c r="M8" s="17"/>
      <c r="N8" s="17"/>
      <c r="O8" s="17"/>
      <c r="P8" s="18"/>
      <c r="Q8" s="18"/>
      <c r="R8" s="18"/>
      <c r="S8" s="18"/>
      <c r="T8" s="18"/>
      <c r="U8" s="18"/>
      <c r="V8" s="18"/>
      <c r="W8" s="18"/>
    </row>
    <row r="9" spans="1:23" s="22" customFormat="1" ht="21" customHeight="1" x14ac:dyDescent="0.15">
      <c r="A9" s="56" t="str">
        <f>IFERROR(IF(HLOOKUP($L$5,RangeUnitsetsOCEDUC,M9,FALSE)=0,"",HLOOKUP($L$5,RangeUnitsetsOCEDUC,M9,FALSE)),"")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57" t="str">
        <f>IFERROR(VLOOKUP($A9,TableHandbook[],H$2,FALSE),"")</f>
        <v/>
      </c>
      <c r="I9" s="258" t="str">
        <f>IFERROR(VLOOKUP($A9,TableHandbook[],I$2,FALSE),"")</f>
        <v/>
      </c>
      <c r="J9" s="258" t="str">
        <f>IFERROR(VLOOKUP($A9,TableHandbook[],J$2,FALSE),"")</f>
        <v/>
      </c>
      <c r="K9" s="258" t="str">
        <f>IFERROR(VLOOKUP($A9,TableHandbook[],K$2,FALSE),"")</f>
        <v/>
      </c>
      <c r="L9" s="58"/>
      <c r="M9" s="151">
        <v>2</v>
      </c>
      <c r="N9" s="20"/>
      <c r="O9" s="20"/>
      <c r="P9" s="21"/>
      <c r="Q9" s="21"/>
      <c r="R9" s="21"/>
      <c r="S9" s="21"/>
      <c r="T9" s="21"/>
      <c r="U9" s="21"/>
      <c r="V9" s="21"/>
      <c r="W9" s="21"/>
    </row>
    <row r="10" spans="1:23" s="22" customFormat="1" ht="21" customHeight="1" x14ac:dyDescent="0.15">
      <c r="A10" s="56" t="str">
        <f>IFERROR(IF(HLOOKUP($L$5,RangeUnitsetsOCEDUC,M10,FALSE)=0,"",HLOOKUP($L$5,RangeUnitsetsOCEDUC,M10,FALSE)),"")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57" t="str">
        <f>IFERROR(VLOOKUP($A10,TableHandbook[],H$2,FALSE),"")</f>
        <v/>
      </c>
      <c r="I10" s="258" t="str">
        <f>IFERROR(VLOOKUP($A10,TableHandbook[],I$2,FALSE),"")</f>
        <v/>
      </c>
      <c r="J10" s="258" t="str">
        <f>IFERROR(VLOOKUP($A10,TableHandbook[],J$2,FALSE),"")</f>
        <v/>
      </c>
      <c r="K10" s="258" t="str">
        <f>IFERROR(VLOOKUP($A10,TableHandbook[],K$2,FALSE),"")</f>
        <v/>
      </c>
      <c r="L10" s="58"/>
      <c r="M10" s="151">
        <v>3</v>
      </c>
      <c r="N10" s="20"/>
      <c r="O10" s="20"/>
      <c r="P10" s="21"/>
      <c r="Q10" s="21"/>
      <c r="R10" s="21"/>
      <c r="S10" s="21"/>
      <c r="T10" s="21"/>
      <c r="U10" s="21"/>
      <c r="V10" s="21"/>
      <c r="W10" s="21"/>
    </row>
    <row r="11" spans="1:23" s="22" customFormat="1" ht="4.5" customHeight="1" x14ac:dyDescent="0.15">
      <c r="A11" s="191"/>
      <c r="B11" s="192"/>
      <c r="C11" s="192"/>
      <c r="D11" s="193"/>
      <c r="E11" s="192"/>
      <c r="F11" s="194"/>
      <c r="G11" s="192"/>
      <c r="H11" s="259"/>
      <c r="I11" s="260"/>
      <c r="J11" s="260"/>
      <c r="K11" s="260"/>
      <c r="L11" s="197"/>
      <c r="M11" s="151"/>
      <c r="N11" s="20"/>
      <c r="O11" s="20"/>
      <c r="P11" s="20"/>
      <c r="Q11" s="21"/>
      <c r="R11" s="21"/>
      <c r="S11" s="21"/>
      <c r="T11" s="21"/>
      <c r="U11" s="21"/>
      <c r="V11" s="21"/>
      <c r="W11" s="21"/>
    </row>
    <row r="12" spans="1:23" s="22" customFormat="1" ht="21" customHeight="1" x14ac:dyDescent="0.15">
      <c r="A12" s="56" t="str">
        <f>IFERROR(IF(HLOOKUP($L$5,RangeUnitsetsOCEDUC,M12,FALSE)=0,"",HLOOKUP($L$5,RangeUnitsetsOCEDUC,M12,FALSE)),"")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57" t="str">
        <f>IFERROR(VLOOKUP($A12,TableHandbook[],H$2,FALSE),"")</f>
        <v/>
      </c>
      <c r="I12" s="258" t="str">
        <f>IFERROR(VLOOKUP($A12,TableHandbook[],I$2,FALSE),"")</f>
        <v/>
      </c>
      <c r="J12" s="258" t="str">
        <f>IFERROR(VLOOKUP($A12,TableHandbook[],J$2,FALSE),"")</f>
        <v/>
      </c>
      <c r="K12" s="258" t="str">
        <f>IFERROR(VLOOKUP($A12,TableHandbook[],K$2,FALSE),"")</f>
        <v/>
      </c>
      <c r="L12" s="59"/>
      <c r="M12" s="151">
        <v>4</v>
      </c>
      <c r="N12" s="20"/>
      <c r="O12" s="20"/>
      <c r="P12" s="21"/>
      <c r="Q12" s="21"/>
      <c r="R12" s="21"/>
      <c r="S12" s="21"/>
      <c r="T12" s="21"/>
      <c r="U12" s="21"/>
      <c r="V12" s="21"/>
      <c r="W12" s="21"/>
    </row>
    <row r="13" spans="1:23" s="22" customFormat="1" ht="21" customHeight="1" x14ac:dyDescent="0.15">
      <c r="A13" s="56" t="str">
        <f>IFERROR(IF(HLOOKUP($L$5,RangeUnitsetsOCEDUC,M13,FALSE)=0,"",HLOOKUP($L$5,RangeUnitsetsOCEDUC,M13,FALSE)),"")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57" t="str">
        <f>IFERROR(VLOOKUP($A13,TableHandbook[],H$2,FALSE),"")</f>
        <v/>
      </c>
      <c r="I13" s="258" t="str">
        <f>IFERROR(VLOOKUP($A13,TableHandbook[],I$2,FALSE),"")</f>
        <v/>
      </c>
      <c r="J13" s="258" t="str">
        <f>IFERROR(VLOOKUP($A13,TableHandbook[],J$2,FALSE),"")</f>
        <v/>
      </c>
      <c r="K13" s="258" t="str">
        <f>IFERROR(VLOOKUP($A13,TableHandbook[],K$2,FALSE),"")</f>
        <v/>
      </c>
      <c r="L13" s="58"/>
      <c r="M13" s="151">
        <v>5</v>
      </c>
      <c r="N13" s="20"/>
      <c r="O13" s="20"/>
      <c r="P13" s="21"/>
      <c r="Q13" s="21"/>
      <c r="R13" s="21"/>
      <c r="S13" s="21"/>
      <c r="T13" s="21"/>
      <c r="U13" s="21"/>
      <c r="V13" s="21"/>
      <c r="W13" s="21"/>
    </row>
    <row r="14" spans="1:23" s="22" customFormat="1" ht="15" customHeight="1" x14ac:dyDescent="0.15">
      <c r="A14" s="159"/>
      <c r="B14" s="160"/>
      <c r="C14" s="160"/>
      <c r="D14" s="161"/>
      <c r="E14" s="160"/>
      <c r="F14" s="162"/>
      <c r="G14" s="159"/>
      <c r="H14" s="159"/>
      <c r="I14" s="159"/>
      <c r="J14" s="159"/>
      <c r="K14" s="159"/>
      <c r="L14" s="163"/>
      <c r="M14" s="151"/>
      <c r="N14" s="20"/>
      <c r="O14" s="20"/>
      <c r="P14" s="21"/>
      <c r="Q14" s="21"/>
      <c r="R14" s="21"/>
      <c r="S14" s="21"/>
      <c r="T14" s="21"/>
      <c r="U14" s="21"/>
      <c r="V14" s="21"/>
      <c r="W14" s="21"/>
    </row>
    <row r="15" spans="1:23" s="42" customFormat="1" ht="17.25" x14ac:dyDescent="0.25">
      <c r="A15" s="180" t="s">
        <v>46</v>
      </c>
      <c r="B15" s="97"/>
      <c r="C15" s="97"/>
      <c r="D15" s="98"/>
      <c r="E15" s="99"/>
      <c r="F15" s="99"/>
      <c r="G15" s="99"/>
      <c r="H15" s="100" t="str">
        <f>H7</f>
        <v>2025 Availabilities</v>
      </c>
      <c r="I15" s="101"/>
      <c r="J15" s="102"/>
      <c r="K15" s="103"/>
      <c r="L15" s="104"/>
      <c r="M15" s="174"/>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55" t="str">
        <f>H8</f>
        <v>SP1</v>
      </c>
      <c r="I16" s="256" t="str">
        <f t="shared" ref="I16:L16" si="0">I8</f>
        <v>SP2</v>
      </c>
      <c r="J16" s="256" t="str">
        <f t="shared" si="0"/>
        <v>SP3</v>
      </c>
      <c r="K16" s="261" t="str">
        <f t="shared" si="0"/>
        <v>SP4</v>
      </c>
      <c r="L16" s="113" t="str">
        <f t="shared" si="0"/>
        <v>Notes / Progress</v>
      </c>
      <c r="M16" s="151"/>
      <c r="N16" s="16"/>
      <c r="O16" s="16"/>
      <c r="P16" s="16"/>
      <c r="Q16" s="16"/>
      <c r="R16" s="16"/>
      <c r="S16" s="16"/>
      <c r="T16" s="16"/>
      <c r="U16" s="16"/>
      <c r="V16" s="16"/>
      <c r="W16" s="16"/>
    </row>
    <row r="17" spans="1:23" x14ac:dyDescent="0.25">
      <c r="A17" s="158" t="str">
        <f t="shared" ref="A17:A33" si="1">IFERROR(IF(HLOOKUP($L$5,RangeUnitsetsOCEDUC,M17,FALSE)=0,"",HLOOKUP($L$5,RangeUnitsetsOCEDUC,M17,FALSE)),"")</f>
        <v/>
      </c>
      <c r="B17" s="200" t="str">
        <f>IFERROR(IF(VLOOKUP($A17,TableHandbook[],2,FALSE)=0,"",VLOOKUP($A17,TableHandbook[],2,FALSE)),"")</f>
        <v/>
      </c>
      <c r="C17" s="200"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62" t="str">
        <f>IFERROR(VLOOKUP($A17,TableHandbook[],H$2,FALSE),"")</f>
        <v/>
      </c>
      <c r="I17" s="263" t="str">
        <f>IFERROR(VLOOKUP($A17,TableHandbook[],I$2,FALSE),"")</f>
        <v/>
      </c>
      <c r="J17" s="263" t="str">
        <f>IFERROR(VLOOKUP($A17,TableHandbook[],J$2,FALSE),"")</f>
        <v/>
      </c>
      <c r="K17" s="264" t="str">
        <f>IFERROR(VLOOKUP($A17,TableHandbook[],K$2,FALSE),"")</f>
        <v/>
      </c>
      <c r="L17" s="51"/>
      <c r="M17" s="151">
        <v>6</v>
      </c>
      <c r="N17" s="16"/>
      <c r="O17" s="16"/>
      <c r="P17" s="16"/>
      <c r="Q17" s="16"/>
      <c r="R17" s="16"/>
      <c r="S17" s="16"/>
      <c r="T17" s="16"/>
      <c r="U17" s="16"/>
      <c r="V17" s="16"/>
      <c r="W17" s="16"/>
    </row>
    <row r="18" spans="1:23" x14ac:dyDescent="0.25">
      <c r="A18" s="158" t="str">
        <f t="shared" si="1"/>
        <v/>
      </c>
      <c r="B18" s="200" t="str">
        <f>IFERROR(IF(VLOOKUP($A18,TableHandbook[],2,FALSE)=0,"",VLOOKUP($A18,TableHandbook[],2,FALSE)),"")</f>
        <v/>
      </c>
      <c r="C18" s="200"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62" t="str">
        <f>IFERROR(VLOOKUP($A18,TableHandbook[],H$2,FALSE),"")</f>
        <v/>
      </c>
      <c r="I18" s="263" t="str">
        <f>IFERROR(VLOOKUP($A18,TableHandbook[],I$2,FALSE),"")</f>
        <v/>
      </c>
      <c r="J18" s="263" t="str">
        <f>IFERROR(VLOOKUP($A18,TableHandbook[],J$2,FALSE),"")</f>
        <v/>
      </c>
      <c r="K18" s="264" t="str">
        <f>IFERROR(VLOOKUP($A18,TableHandbook[],K$2,FALSE),"")</f>
        <v/>
      </c>
      <c r="L18" s="51"/>
      <c r="M18" s="151">
        <v>7</v>
      </c>
      <c r="N18" s="16"/>
      <c r="O18" s="16"/>
      <c r="P18" s="16"/>
      <c r="Q18" s="16"/>
      <c r="R18" s="16"/>
      <c r="S18" s="16"/>
      <c r="T18" s="16"/>
      <c r="U18" s="16"/>
      <c r="V18" s="16"/>
      <c r="W18" s="16"/>
    </row>
    <row r="19" spans="1:23" x14ac:dyDescent="0.25">
      <c r="A19" s="158" t="str">
        <f t="shared" si="1"/>
        <v/>
      </c>
      <c r="B19" s="200" t="str">
        <f>IFERROR(IF(VLOOKUP($A19,TableHandbook[],2,FALSE)=0,"",VLOOKUP($A19,TableHandbook[],2,FALSE)),"")</f>
        <v/>
      </c>
      <c r="C19" s="200"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62" t="str">
        <f>IFERROR(VLOOKUP($A19,TableHandbook[],H$2,FALSE),"")</f>
        <v/>
      </c>
      <c r="I19" s="263" t="str">
        <f>IFERROR(VLOOKUP($A19,TableHandbook[],I$2,FALSE),"")</f>
        <v/>
      </c>
      <c r="J19" s="263" t="str">
        <f>IFERROR(VLOOKUP($A19,TableHandbook[],J$2,FALSE),"")</f>
        <v/>
      </c>
      <c r="K19" s="264" t="str">
        <f>IFERROR(VLOOKUP($A19,TableHandbook[],K$2,FALSE),"")</f>
        <v/>
      </c>
      <c r="L19" s="51"/>
      <c r="M19" s="151">
        <v>8</v>
      </c>
      <c r="N19" s="16"/>
      <c r="O19" s="16"/>
      <c r="P19" s="16"/>
      <c r="Q19" s="16"/>
      <c r="R19" s="16"/>
      <c r="S19" s="16"/>
      <c r="T19" s="16"/>
      <c r="U19" s="16"/>
      <c r="V19" s="16"/>
      <c r="W19" s="16"/>
    </row>
    <row r="20" spans="1:23" x14ac:dyDescent="0.25">
      <c r="A20" s="158" t="str">
        <f t="shared" si="1"/>
        <v/>
      </c>
      <c r="B20" s="200" t="str">
        <f>IFERROR(IF(VLOOKUP($A20,TableHandbook[],2,FALSE)=0,"",VLOOKUP($A20,TableHandbook[],2,FALSE)),"")</f>
        <v/>
      </c>
      <c r="C20" s="200" t="str">
        <f>IFERROR(IF(VLOOKUP($A20,TableHandbook[],3,FALSE)=0,"",VLOOKUP($A20,TableHandbook[],3,FALSE)),"")</f>
        <v/>
      </c>
      <c r="D20" s="44" t="str">
        <f>IFERROR(IF(VLOOKUP($A20,TableHandbook[],4,FALSE)=0,"",VLOOKUP($A20,TableHandbook[],4,FALSE)),"")</f>
        <v/>
      </c>
      <c r="E20" s="45"/>
      <c r="F20" s="46" t="str">
        <f>IFERROR(IF(VLOOKUP($A20,TableHandbook[],6,FALSE)=0,"",VLOOKUP($A20,TableHandbook[],6,FALSE)),"")</f>
        <v/>
      </c>
      <c r="G20" s="46" t="str">
        <f>IFERROR(IF(VLOOKUP($A20,TableHandbook[],5,FALSE)=0,"",VLOOKUP($A20,TableHandbook[],5,FALSE)),"")</f>
        <v/>
      </c>
      <c r="H20" s="262" t="str">
        <f>IFERROR(VLOOKUP($A20,TableHandbook[],H$2,FALSE),"")</f>
        <v/>
      </c>
      <c r="I20" s="263" t="str">
        <f>IFERROR(VLOOKUP($A20,TableHandbook[],I$2,FALSE),"")</f>
        <v/>
      </c>
      <c r="J20" s="263" t="str">
        <f>IFERROR(VLOOKUP($A20,TableHandbook[],J$2,FALSE),"")</f>
        <v/>
      </c>
      <c r="K20" s="264" t="str">
        <f>IFERROR(VLOOKUP($A20,TableHandbook[],K$2,FALSE),"")</f>
        <v/>
      </c>
      <c r="L20" s="51"/>
      <c r="M20" s="151">
        <v>9</v>
      </c>
      <c r="N20" s="16"/>
      <c r="O20" s="16"/>
      <c r="P20" s="16"/>
      <c r="Q20" s="16"/>
      <c r="R20" s="16"/>
      <c r="S20" s="16"/>
      <c r="T20" s="16"/>
      <c r="U20" s="16"/>
      <c r="V20" s="16"/>
      <c r="W20" s="16"/>
    </row>
    <row r="21" spans="1:23" x14ac:dyDescent="0.25">
      <c r="A21" s="158" t="str">
        <f t="shared" si="1"/>
        <v/>
      </c>
      <c r="B21" s="200" t="str">
        <f>IFERROR(IF(VLOOKUP($A21,TableHandbook[],2,FALSE)=0,"",VLOOKUP($A21,TableHandbook[],2,FALSE)),"")</f>
        <v/>
      </c>
      <c r="C21" s="200" t="str">
        <f>IFERROR(IF(VLOOKUP($A21,TableHandbook[],3,FALSE)=0,"",VLOOKUP($A21,TableHandbook[],3,FALSE)),"")</f>
        <v/>
      </c>
      <c r="D21" s="44" t="str">
        <f>IFERROR(IF(VLOOKUP($A21,TableHandbook[],4,FALSE)=0,"",VLOOKUP($A21,TableHandbook[],4,FALSE)),"")</f>
        <v/>
      </c>
      <c r="E21" s="45"/>
      <c r="F21" s="46" t="str">
        <f>IFERROR(IF(VLOOKUP($A21,TableHandbook[],6,FALSE)=0,"",VLOOKUP($A21,TableHandbook[],6,FALSE)),"")</f>
        <v/>
      </c>
      <c r="G21" s="46" t="str">
        <f>IFERROR(IF(VLOOKUP($A21,TableHandbook[],5,FALSE)=0,"",VLOOKUP($A21,TableHandbook[],5,FALSE)),"")</f>
        <v/>
      </c>
      <c r="H21" s="262" t="str">
        <f>IFERROR(VLOOKUP($A21,TableHandbook[],H$2,FALSE),"")</f>
        <v/>
      </c>
      <c r="I21" s="263" t="str">
        <f>IFERROR(VLOOKUP($A21,TableHandbook[],I$2,FALSE),"")</f>
        <v/>
      </c>
      <c r="J21" s="263" t="str">
        <f>IFERROR(VLOOKUP($A21,TableHandbook[],J$2,FALSE),"")</f>
        <v/>
      </c>
      <c r="K21" s="264" t="str">
        <f>IFERROR(VLOOKUP($A21,TableHandbook[],K$2,FALSE),"")</f>
        <v/>
      </c>
      <c r="L21" s="51"/>
      <c r="M21" s="151">
        <v>10</v>
      </c>
      <c r="N21" s="16"/>
      <c r="O21" s="16"/>
      <c r="P21" s="16"/>
      <c r="Q21" s="16"/>
      <c r="R21" s="16"/>
      <c r="S21" s="16"/>
      <c r="T21" s="16"/>
      <c r="U21" s="16"/>
      <c r="V21" s="16"/>
      <c r="W21" s="16"/>
    </row>
    <row r="22" spans="1:23" x14ac:dyDescent="0.25">
      <c r="A22" s="158" t="str">
        <f t="shared" si="1"/>
        <v/>
      </c>
      <c r="B22" s="200" t="str">
        <f>IFERROR(IF(VLOOKUP($A22,TableHandbook[],2,FALSE)=0,"",VLOOKUP($A22,TableHandbook[],2,FALSE)),"")</f>
        <v/>
      </c>
      <c r="C22" s="200" t="str">
        <f>IFERROR(IF(VLOOKUP($A22,TableHandbook[],3,FALSE)=0,"",VLOOKUP($A22,TableHandbook[],3,FALSE)),"")</f>
        <v/>
      </c>
      <c r="D22" s="44" t="str">
        <f>IFERROR(IF(VLOOKUP($A22,TableHandbook[],4,FALSE)=0,"",VLOOKUP($A22,TableHandbook[],4,FALSE)),"")</f>
        <v/>
      </c>
      <c r="E22" s="45"/>
      <c r="F22" s="46" t="str">
        <f>IFERROR(IF(VLOOKUP($A22,TableHandbook[],6,FALSE)=0,"",VLOOKUP($A22,TableHandbook[],6,FALSE)),"")</f>
        <v/>
      </c>
      <c r="G22" s="46" t="str">
        <f>IFERROR(IF(VLOOKUP($A22,TableHandbook[],5,FALSE)=0,"",VLOOKUP($A22,TableHandbook[],5,FALSE)),"")</f>
        <v/>
      </c>
      <c r="H22" s="262" t="str">
        <f>IFERROR(VLOOKUP($A22,TableHandbook[],H$2,FALSE),"")</f>
        <v/>
      </c>
      <c r="I22" s="263" t="str">
        <f>IFERROR(VLOOKUP($A22,TableHandbook[],I$2,FALSE),"")</f>
        <v/>
      </c>
      <c r="J22" s="263" t="str">
        <f>IFERROR(VLOOKUP($A22,TableHandbook[],J$2,FALSE),"")</f>
        <v/>
      </c>
      <c r="K22" s="264" t="str">
        <f>IFERROR(VLOOKUP($A22,TableHandbook[],K$2,FALSE),"")</f>
        <v/>
      </c>
      <c r="L22" s="51"/>
      <c r="M22" s="151">
        <v>11</v>
      </c>
      <c r="N22" s="16"/>
      <c r="O22" s="16"/>
      <c r="P22" s="16"/>
      <c r="Q22" s="16"/>
      <c r="R22" s="16"/>
      <c r="S22" s="16"/>
      <c r="T22" s="16"/>
      <c r="U22" s="16"/>
      <c r="V22" s="16"/>
      <c r="W22" s="16"/>
    </row>
    <row r="23" spans="1:23" x14ac:dyDescent="0.25">
      <c r="A23" s="158" t="str">
        <f t="shared" si="1"/>
        <v/>
      </c>
      <c r="B23" s="200" t="str">
        <f>IFERROR(IF(VLOOKUP($A23,TableHandbook[],2,FALSE)=0,"",VLOOKUP($A23,TableHandbook[],2,FALSE)),"")</f>
        <v/>
      </c>
      <c r="C23" s="200" t="str">
        <f>IFERROR(IF(VLOOKUP($A23,TableHandbook[],3,FALSE)=0,"",VLOOKUP($A23,TableHandbook[],3,FALSE)),"")</f>
        <v/>
      </c>
      <c r="D23" s="44" t="str">
        <f>IFERROR(IF(VLOOKUP($A23,TableHandbook[],4,FALSE)=0,"",VLOOKUP($A23,TableHandbook[],4,FALSE)),"")</f>
        <v/>
      </c>
      <c r="E23" s="45"/>
      <c r="F23" s="46" t="str">
        <f>IFERROR(IF(VLOOKUP($A23,TableHandbook[],6,FALSE)=0,"",VLOOKUP($A23,TableHandbook[],6,FALSE)),"")</f>
        <v/>
      </c>
      <c r="G23" s="46" t="str">
        <f>IFERROR(IF(VLOOKUP($A23,TableHandbook[],5,FALSE)=0,"",VLOOKUP($A23,TableHandbook[],5,FALSE)),"")</f>
        <v/>
      </c>
      <c r="H23" s="262" t="str">
        <f>IFERROR(VLOOKUP($A23,TableHandbook[],H$2,FALSE),"")</f>
        <v/>
      </c>
      <c r="I23" s="263" t="str">
        <f>IFERROR(VLOOKUP($A23,TableHandbook[],I$2,FALSE),"")</f>
        <v/>
      </c>
      <c r="J23" s="263" t="str">
        <f>IFERROR(VLOOKUP($A23,TableHandbook[],J$2,FALSE),"")</f>
        <v/>
      </c>
      <c r="K23" s="264" t="str">
        <f>IFERROR(VLOOKUP($A23,TableHandbook[],K$2,FALSE),"")</f>
        <v/>
      </c>
      <c r="L23" s="51"/>
      <c r="M23" s="151">
        <v>12</v>
      </c>
      <c r="N23" s="16"/>
      <c r="O23" s="16"/>
      <c r="P23" s="16"/>
      <c r="Q23" s="16"/>
      <c r="R23" s="16"/>
      <c r="S23" s="16"/>
      <c r="T23" s="16"/>
      <c r="U23" s="16"/>
      <c r="V23" s="16"/>
      <c r="W23" s="16"/>
    </row>
    <row r="24" spans="1:23" x14ac:dyDescent="0.25">
      <c r="A24" s="158" t="str">
        <f t="shared" si="1"/>
        <v/>
      </c>
      <c r="B24" s="200" t="str">
        <f>IFERROR(IF(VLOOKUP($A24,TableHandbook[],2,FALSE)=0,"",VLOOKUP($A24,TableHandbook[],2,FALSE)),"")</f>
        <v/>
      </c>
      <c r="C24" s="200"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62" t="str">
        <f>IFERROR(VLOOKUP($A24,TableHandbook[],H$2,FALSE),"")</f>
        <v/>
      </c>
      <c r="I24" s="263" t="str">
        <f>IFERROR(VLOOKUP($A24,TableHandbook[],I$2,FALSE),"")</f>
        <v/>
      </c>
      <c r="J24" s="263" t="str">
        <f>IFERROR(VLOOKUP($A24,TableHandbook[],J$2,FALSE),"")</f>
        <v/>
      </c>
      <c r="K24" s="264" t="str">
        <f>IFERROR(VLOOKUP($A24,TableHandbook[],K$2,FALSE),"")</f>
        <v/>
      </c>
      <c r="L24" s="51"/>
      <c r="M24" s="151">
        <v>13</v>
      </c>
      <c r="N24" s="16"/>
      <c r="O24" s="16"/>
      <c r="P24" s="16"/>
      <c r="Q24" s="16"/>
      <c r="R24" s="16"/>
      <c r="S24" s="16"/>
      <c r="T24" s="16"/>
      <c r="U24" s="16"/>
      <c r="V24" s="16"/>
      <c r="W24" s="16"/>
    </row>
    <row r="25" spans="1:23" x14ac:dyDescent="0.25">
      <c r="A25" s="158" t="str">
        <f t="shared" si="1"/>
        <v/>
      </c>
      <c r="B25" s="200" t="str">
        <f>IFERROR(IF(VLOOKUP($A25,TableHandbook[],2,FALSE)=0,"",VLOOKUP($A25,TableHandbook[],2,FALSE)),"")</f>
        <v/>
      </c>
      <c r="C25" s="200"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62" t="str">
        <f>IFERROR(VLOOKUP($A25,TableHandbook[],H$2,FALSE),"")</f>
        <v/>
      </c>
      <c r="I25" s="263" t="str">
        <f>IFERROR(VLOOKUP($A25,TableHandbook[],I$2,FALSE),"")</f>
        <v/>
      </c>
      <c r="J25" s="263" t="str">
        <f>IFERROR(VLOOKUP($A25,TableHandbook[],J$2,FALSE),"")</f>
        <v/>
      </c>
      <c r="K25" s="264" t="str">
        <f>IFERROR(VLOOKUP($A25,TableHandbook[],K$2,FALSE),"")</f>
        <v/>
      </c>
      <c r="L25" s="51"/>
      <c r="M25" s="151">
        <v>14</v>
      </c>
      <c r="N25" s="16"/>
      <c r="O25" s="16"/>
      <c r="P25" s="16"/>
      <c r="Q25" s="16"/>
      <c r="R25" s="16"/>
      <c r="S25" s="16"/>
      <c r="T25" s="16"/>
      <c r="U25" s="16"/>
      <c r="V25" s="16"/>
      <c r="W25" s="16"/>
    </row>
    <row r="26" spans="1:23" x14ac:dyDescent="0.25">
      <c r="A26" s="158" t="str">
        <f t="shared" si="1"/>
        <v/>
      </c>
      <c r="B26" s="200" t="str">
        <f>IFERROR(IF(VLOOKUP($A26,TableHandbook[],2,FALSE)=0,"",VLOOKUP($A26,TableHandbook[],2,FALSE)),"")</f>
        <v/>
      </c>
      <c r="C26" s="200"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2" t="str">
        <f>IFERROR(VLOOKUP($A26,TableHandbook[],H$2,FALSE),"")</f>
        <v/>
      </c>
      <c r="I26" s="263" t="str">
        <f>IFERROR(VLOOKUP($A26,TableHandbook[],I$2,FALSE),"")</f>
        <v/>
      </c>
      <c r="J26" s="263" t="str">
        <f>IFERROR(VLOOKUP($A26,TableHandbook[],J$2,FALSE),"")</f>
        <v/>
      </c>
      <c r="K26" s="264" t="str">
        <f>IFERROR(VLOOKUP($A26,TableHandbook[],K$2,FALSE),"")</f>
        <v/>
      </c>
      <c r="L26" s="51"/>
      <c r="M26" s="151">
        <v>15</v>
      </c>
      <c r="N26" s="16"/>
      <c r="O26" s="16"/>
      <c r="P26" s="16"/>
      <c r="Q26" s="16"/>
      <c r="R26" s="16"/>
      <c r="S26" s="16"/>
      <c r="T26" s="16"/>
      <c r="U26" s="16"/>
      <c r="V26" s="16"/>
      <c r="W26" s="16"/>
    </row>
    <row r="27" spans="1:23" x14ac:dyDescent="0.25">
      <c r="A27" s="158" t="str">
        <f t="shared" si="1"/>
        <v/>
      </c>
      <c r="B27" s="200" t="str">
        <f>IFERROR(IF(VLOOKUP($A27,TableHandbook[],2,FALSE)=0,"",VLOOKUP($A27,TableHandbook[],2,FALSE)),"")</f>
        <v/>
      </c>
      <c r="C27" s="200"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2" t="str">
        <f>IFERROR(VLOOKUP($A27,TableHandbook[],H$2,FALSE),"")</f>
        <v/>
      </c>
      <c r="I27" s="263" t="str">
        <f>IFERROR(VLOOKUP($A27,TableHandbook[],I$2,FALSE),"")</f>
        <v/>
      </c>
      <c r="J27" s="263" t="str">
        <f>IFERROR(VLOOKUP($A27,TableHandbook[],J$2,FALSE),"")</f>
        <v/>
      </c>
      <c r="K27" s="264" t="str">
        <f>IFERROR(VLOOKUP($A27,TableHandbook[],K$2,FALSE),"")</f>
        <v/>
      </c>
      <c r="L27" s="51"/>
      <c r="M27" s="151">
        <v>16</v>
      </c>
      <c r="N27" s="16"/>
      <c r="O27" s="16"/>
      <c r="P27" s="16"/>
      <c r="Q27" s="16"/>
      <c r="R27" s="16"/>
      <c r="S27" s="16"/>
      <c r="T27" s="16"/>
      <c r="U27" s="16"/>
      <c r="V27" s="16"/>
      <c r="W27" s="16"/>
    </row>
    <row r="28" spans="1:23" x14ac:dyDescent="0.25">
      <c r="A28" s="158" t="str">
        <f t="shared" si="1"/>
        <v/>
      </c>
      <c r="B28" s="200" t="str">
        <f>IFERROR(IF(VLOOKUP($A28,TableHandbook[],2,FALSE)=0,"",VLOOKUP($A28,TableHandbook[],2,FALSE)),"")</f>
        <v/>
      </c>
      <c r="C28" s="200"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62" t="str">
        <f>IFERROR(VLOOKUP($A28,TableHandbook[],H$2,FALSE),"")</f>
        <v/>
      </c>
      <c r="I28" s="263" t="str">
        <f>IFERROR(VLOOKUP($A28,TableHandbook[],I$2,FALSE),"")</f>
        <v/>
      </c>
      <c r="J28" s="263" t="str">
        <f>IFERROR(VLOOKUP($A28,TableHandbook[],J$2,FALSE),"")</f>
        <v/>
      </c>
      <c r="K28" s="264" t="str">
        <f>IFERROR(VLOOKUP($A28,TableHandbook[],K$2,FALSE),"")</f>
        <v/>
      </c>
      <c r="L28" s="51"/>
      <c r="M28" s="151">
        <v>17</v>
      </c>
      <c r="N28" s="16"/>
      <c r="O28" s="16"/>
      <c r="P28" s="16"/>
      <c r="Q28" s="16"/>
      <c r="R28" s="16"/>
      <c r="S28" s="16"/>
      <c r="T28" s="16"/>
      <c r="U28" s="16"/>
      <c r="V28" s="16"/>
      <c r="W28" s="16"/>
    </row>
    <row r="29" spans="1:23" x14ac:dyDescent="0.25">
      <c r="A29" s="158" t="str">
        <f t="shared" si="1"/>
        <v/>
      </c>
      <c r="B29" s="200" t="str">
        <f>IFERROR(IF(VLOOKUP($A29,TableHandbook[],2,FALSE)=0,"",VLOOKUP($A29,TableHandbook[],2,FALSE)),"")</f>
        <v/>
      </c>
      <c r="C29" s="200"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62" t="str">
        <f>IFERROR(VLOOKUP($A29,TableHandbook[],H$2,FALSE),"")</f>
        <v/>
      </c>
      <c r="I29" s="263" t="str">
        <f>IFERROR(VLOOKUP($A29,TableHandbook[],I$2,FALSE),"")</f>
        <v/>
      </c>
      <c r="J29" s="263" t="str">
        <f>IFERROR(VLOOKUP($A29,TableHandbook[],J$2,FALSE),"")</f>
        <v/>
      </c>
      <c r="K29" s="264" t="str">
        <f>IFERROR(VLOOKUP($A29,TableHandbook[],K$2,FALSE),"")</f>
        <v/>
      </c>
      <c r="L29" s="51"/>
      <c r="M29" s="151">
        <v>18</v>
      </c>
      <c r="N29" s="16"/>
      <c r="O29" s="16"/>
      <c r="P29" s="16"/>
      <c r="Q29" s="16"/>
      <c r="R29" s="16"/>
      <c r="S29" s="16"/>
      <c r="T29" s="16"/>
      <c r="U29" s="16"/>
      <c r="V29" s="16"/>
      <c r="W29" s="16"/>
    </row>
    <row r="30" spans="1:23" x14ac:dyDescent="0.25">
      <c r="A30" s="158" t="str">
        <f t="shared" si="1"/>
        <v/>
      </c>
      <c r="B30" s="200" t="str">
        <f>IFERROR(IF(VLOOKUP($A30,TableHandbook[],2,FALSE)=0,"",VLOOKUP($A30,TableHandbook[],2,FALSE)),"")</f>
        <v/>
      </c>
      <c r="C30" s="200"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62" t="str">
        <f>IFERROR(VLOOKUP($A30,TableHandbook[],H$2,FALSE),"")</f>
        <v/>
      </c>
      <c r="I30" s="263" t="str">
        <f>IFERROR(VLOOKUP($A30,TableHandbook[],I$2,FALSE),"")</f>
        <v/>
      </c>
      <c r="J30" s="263" t="str">
        <f>IFERROR(VLOOKUP($A30,TableHandbook[],J$2,FALSE),"")</f>
        <v/>
      </c>
      <c r="K30" s="264" t="str">
        <f>IFERROR(VLOOKUP($A30,TableHandbook[],K$2,FALSE),"")</f>
        <v/>
      </c>
      <c r="L30" s="51"/>
      <c r="M30" s="151">
        <v>19</v>
      </c>
      <c r="N30" s="16"/>
      <c r="O30" s="16"/>
      <c r="P30" s="16"/>
      <c r="Q30" s="16"/>
      <c r="R30" s="16"/>
      <c r="S30" s="16"/>
      <c r="T30" s="16"/>
      <c r="U30" s="16"/>
      <c r="V30" s="16"/>
      <c r="W30" s="16"/>
    </row>
    <row r="31" spans="1:23" x14ac:dyDescent="0.25">
      <c r="A31" s="158" t="str">
        <f t="shared" si="1"/>
        <v/>
      </c>
      <c r="B31" s="200" t="str">
        <f>IFERROR(IF(VLOOKUP($A31,TableHandbook[],2,FALSE)=0,"",VLOOKUP($A31,TableHandbook[],2,FALSE)),"")</f>
        <v/>
      </c>
      <c r="C31" s="200"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62" t="str">
        <f>IFERROR(VLOOKUP($A31,TableHandbook[],H$2,FALSE),"")</f>
        <v/>
      </c>
      <c r="I31" s="263" t="str">
        <f>IFERROR(VLOOKUP($A31,TableHandbook[],I$2,FALSE),"")</f>
        <v/>
      </c>
      <c r="J31" s="263" t="str">
        <f>IFERROR(VLOOKUP($A31,TableHandbook[],J$2,FALSE),"")</f>
        <v/>
      </c>
      <c r="K31" s="264" t="str">
        <f>IFERROR(VLOOKUP($A31,TableHandbook[],K$2,FALSE),"")</f>
        <v/>
      </c>
      <c r="L31" s="51"/>
      <c r="M31" s="151">
        <v>20</v>
      </c>
      <c r="N31" s="16"/>
      <c r="O31" s="16"/>
      <c r="P31" s="16"/>
      <c r="Q31" s="16"/>
      <c r="R31" s="16"/>
      <c r="S31" s="16"/>
      <c r="T31" s="16"/>
      <c r="U31" s="16"/>
      <c r="V31" s="16"/>
      <c r="W31" s="16"/>
    </row>
    <row r="32" spans="1:23" x14ac:dyDescent="0.25">
      <c r="A32" s="158" t="str">
        <f t="shared" si="1"/>
        <v/>
      </c>
      <c r="B32" s="200" t="str">
        <f>IFERROR(IF(VLOOKUP($A32,TableHandbook[],2,FALSE)=0,"",VLOOKUP($A32,TableHandbook[],2,FALSE)),"")</f>
        <v/>
      </c>
      <c r="C32" s="200"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57" t="str">
        <f>IFERROR(VLOOKUP($A32,TableHandbook[],H$2,FALSE),"")</f>
        <v/>
      </c>
      <c r="I32" s="258" t="str">
        <f>IFERROR(VLOOKUP($A32,TableHandbook[],I$2,FALSE),"")</f>
        <v/>
      </c>
      <c r="J32" s="258" t="str">
        <f>IFERROR(VLOOKUP($A32,TableHandbook[],J$2,FALSE),"")</f>
        <v/>
      </c>
      <c r="K32" s="265" t="str">
        <f>IFERROR(VLOOKUP($A32,TableHandbook[],K$2,FALSE),"")</f>
        <v/>
      </c>
      <c r="L32" s="51"/>
      <c r="M32" s="151">
        <v>21</v>
      </c>
      <c r="N32" s="16"/>
      <c r="O32" s="16"/>
      <c r="P32" s="16"/>
      <c r="Q32" s="16"/>
      <c r="R32" s="16"/>
      <c r="S32" s="16"/>
      <c r="T32" s="16"/>
      <c r="U32" s="16"/>
      <c r="V32" s="16"/>
      <c r="W32" s="16"/>
    </row>
    <row r="33" spans="1:23" x14ac:dyDescent="0.25">
      <c r="A33" s="158" t="str">
        <f t="shared" si="1"/>
        <v/>
      </c>
      <c r="B33" s="200" t="str">
        <f>IFERROR(IF(VLOOKUP($A33,TableHandbook[],2,FALSE)=0,"",VLOOKUP($A33,TableHandbook[],2,FALSE)),"")</f>
        <v/>
      </c>
      <c r="C33" s="200" t="str">
        <f>IFERROR(IF(VLOOKUP($A33,TableHandbook[],3,FALSE)=0,"",VLOOKUP($A33,TableHandbook[],3,FALSE)),"")</f>
        <v/>
      </c>
      <c r="D33" s="44" t="str">
        <f>IFERROR(IF(VLOOKUP($A33,TableHandbook[],4,FALSE)=0,"",VLOOKUP($A33,TableHandbook[],4,FALSE)),"")</f>
        <v/>
      </c>
      <c r="E33" s="45"/>
      <c r="F33" s="46" t="str">
        <f>IFERROR(IF(VLOOKUP($A33,TableHandbook[],6,FALSE)=0,"",VLOOKUP($A33,TableHandbook[],6,FALSE)),"")</f>
        <v/>
      </c>
      <c r="G33" s="46" t="str">
        <f>IFERROR(IF(VLOOKUP($A33,TableHandbook[],5,FALSE)=0,"",VLOOKUP($A33,TableHandbook[],5,FALSE)),"")</f>
        <v/>
      </c>
      <c r="H33" s="257" t="str">
        <f>IFERROR(VLOOKUP($A33,TableHandbook[],H$2,FALSE),"")</f>
        <v/>
      </c>
      <c r="I33" s="258" t="str">
        <f>IFERROR(VLOOKUP($A33,TableHandbook[],I$2,FALSE),"")</f>
        <v/>
      </c>
      <c r="J33" s="258" t="str">
        <f>IFERROR(VLOOKUP($A33,TableHandbook[],J$2,FALSE),"")</f>
        <v/>
      </c>
      <c r="K33" s="265" t="str">
        <f>IFERROR(VLOOKUP($A33,TableHandbook[],K$2,FALSE),"")</f>
        <v/>
      </c>
      <c r="L33" s="51"/>
      <c r="M33" s="151">
        <v>22</v>
      </c>
      <c r="N33" s="16"/>
      <c r="O33" s="16"/>
      <c r="P33" s="16"/>
      <c r="Q33" s="16"/>
      <c r="R33" s="16"/>
      <c r="S33" s="16"/>
      <c r="T33" s="16"/>
      <c r="U33" s="16"/>
      <c r="V33" s="16"/>
      <c r="W33" s="16"/>
    </row>
    <row r="34" spans="1:23" ht="15" customHeight="1" x14ac:dyDescent="0.25">
      <c r="A34" s="175"/>
      <c r="B34" s="176"/>
      <c r="C34" s="177"/>
      <c r="D34" s="177"/>
      <c r="E34" s="178"/>
      <c r="F34" s="179"/>
      <c r="G34" s="179"/>
      <c r="H34" s="159"/>
      <c r="I34" s="159"/>
      <c r="J34" s="159"/>
      <c r="K34" s="159"/>
      <c r="L34" s="160"/>
      <c r="M34" s="151"/>
      <c r="N34" s="16"/>
      <c r="O34" s="16"/>
      <c r="P34" s="16"/>
      <c r="Q34" s="16"/>
      <c r="R34" s="16"/>
      <c r="S34" s="16"/>
      <c r="T34" s="16"/>
      <c r="U34" s="16"/>
      <c r="V34" s="16"/>
      <c r="W34" s="16"/>
    </row>
    <row r="35" spans="1:23" s="16" customFormat="1" ht="18" x14ac:dyDescent="0.25">
      <c r="A35" s="65" t="s">
        <v>32</v>
      </c>
      <c r="B35" s="65"/>
      <c r="C35" s="65"/>
      <c r="D35" s="65"/>
      <c r="E35" s="65"/>
      <c r="F35" s="65"/>
      <c r="G35" s="65"/>
      <c r="H35" s="65"/>
      <c r="I35" s="65"/>
      <c r="J35" s="65"/>
      <c r="K35" s="65"/>
      <c r="L35" s="65"/>
    </row>
    <row r="36" spans="1:23" s="38" customFormat="1" ht="17.25" x14ac:dyDescent="0.2">
      <c r="A36" s="32" t="s">
        <v>33</v>
      </c>
      <c r="B36" s="32"/>
      <c r="C36" s="32"/>
      <c r="D36" s="33"/>
      <c r="E36" s="33"/>
      <c r="F36" s="33"/>
      <c r="G36" s="33"/>
      <c r="H36" s="33"/>
      <c r="I36" s="33"/>
      <c r="J36" s="33"/>
      <c r="K36" s="33"/>
      <c r="L36" s="33"/>
      <c r="M36" s="36"/>
      <c r="N36" s="36"/>
      <c r="O36" s="36"/>
      <c r="P36" s="37"/>
      <c r="Q36" s="37"/>
      <c r="R36" s="37"/>
      <c r="S36" s="37"/>
      <c r="T36" s="37"/>
      <c r="U36" s="37"/>
      <c r="V36" s="37"/>
      <c r="W36" s="37"/>
    </row>
    <row r="37" spans="1:23" x14ac:dyDescent="0.25">
      <c r="A37" s="34" t="s">
        <v>34</v>
      </c>
      <c r="B37" s="34"/>
      <c r="C37" s="34"/>
      <c r="D37" s="34"/>
      <c r="E37" s="47"/>
      <c r="F37" s="35"/>
      <c r="G37" s="48"/>
      <c r="H37" s="48"/>
      <c r="I37" s="48"/>
      <c r="J37" s="48"/>
      <c r="K37" s="48"/>
      <c r="L37" s="48" t="s">
        <v>35</v>
      </c>
    </row>
  </sheetData>
  <sheetProtection formatCells="0"/>
  <mergeCells count="1">
    <mergeCell ref="A3:D3"/>
  </mergeCells>
  <conditionalFormatting sqref="A9:L13 A17:L33">
    <cfRule type="expression" dxfId="91" priority="3">
      <formula>$A9=""</formula>
    </cfRule>
  </conditionalFormatting>
  <conditionalFormatting sqref="A17:L33">
    <cfRule type="expression" dxfId="90" priority="4">
      <formula>LEFT($D17,5)="Study"</formula>
    </cfRule>
  </conditionalFormatting>
  <conditionalFormatting sqref="D5:D6">
    <cfRule type="containsText" dxfId="89" priority="2" operator="containsText" text="Choose">
      <formula>NOT(ISERROR(SEARCH("Choose",D5)))</formula>
    </cfRule>
  </conditionalFormatting>
  <conditionalFormatting sqref="H9:K13">
    <cfRule type="expression" dxfId="88" priority="1">
      <formula>$E9=H$8</formula>
    </cfRule>
  </conditionalFormatting>
  <dataValidations count="1">
    <dataValidation type="list" allowBlank="1" showInputMessage="1" showErrorMessage="1" sqref="L11" xr:uid="{00000000-0002-0000-0500-000000000000}"/>
  </dataValidations>
  <hyperlinks>
    <hyperlink ref="A36:L3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Unitsets!$A$44:$A$48</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W1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3"/>
      <c r="B2" s="153">
        <v>2</v>
      </c>
      <c r="C2" s="153">
        <v>3</v>
      </c>
      <c r="D2" s="153">
        <v>4</v>
      </c>
      <c r="E2" s="153"/>
      <c r="F2" s="153">
        <v>6</v>
      </c>
      <c r="G2" s="153">
        <v>5</v>
      </c>
      <c r="H2" s="153">
        <v>7</v>
      </c>
      <c r="I2" s="153">
        <v>8</v>
      </c>
      <c r="J2" s="153">
        <v>9</v>
      </c>
      <c r="K2" s="153">
        <v>10</v>
      </c>
      <c r="L2" s="181"/>
    </row>
    <row r="3" spans="1:23" ht="39.950000000000003" customHeight="1" x14ac:dyDescent="0.25">
      <c r="A3" s="292" t="s">
        <v>8</v>
      </c>
      <c r="B3" s="292"/>
      <c r="C3" s="292"/>
      <c r="D3" s="292"/>
      <c r="E3" s="96"/>
      <c r="F3" s="96"/>
      <c r="G3" s="96"/>
      <c r="H3" s="96"/>
      <c r="I3" s="96"/>
      <c r="J3" s="96"/>
      <c r="K3" s="96"/>
      <c r="L3" s="96"/>
    </row>
    <row r="4" spans="1:23" ht="25.5" x14ac:dyDescent="0.25">
      <c r="A4" s="226"/>
      <c r="B4" s="227"/>
      <c r="C4" s="227"/>
      <c r="D4" s="228" t="s">
        <v>9</v>
      </c>
      <c r="E4" s="229"/>
      <c r="F4" s="227"/>
      <c r="G4" s="230"/>
      <c r="H4" s="230"/>
      <c r="I4" s="230"/>
      <c r="J4" s="230"/>
      <c r="K4" s="230"/>
      <c r="L4" s="230"/>
    </row>
    <row r="5" spans="1:23" ht="20.100000000000001" customHeight="1" x14ac:dyDescent="0.25">
      <c r="B5" s="10"/>
      <c r="C5" s="126" t="s">
        <v>10</v>
      </c>
      <c r="D5" s="116" t="s">
        <v>47</v>
      </c>
      <c r="E5" s="11"/>
      <c r="F5" s="126" t="s">
        <v>12</v>
      </c>
      <c r="G5" s="11" t="str">
        <f>IFERROR(CONCATENATE(VLOOKUP(D5,TableCourses[],2,FALSE)," ",VLOOKUP(D5,TableCourses[],3,FALSE)),"")</f>
        <v>OC-EDHE v.1</v>
      </c>
      <c r="H5" s="11"/>
      <c r="I5" s="11"/>
      <c r="J5" s="11"/>
      <c r="K5" s="11"/>
      <c r="L5" s="210"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55" t="s">
        <v>25</v>
      </c>
      <c r="I8" s="256" t="s">
        <v>26</v>
      </c>
      <c r="J8" s="256" t="s">
        <v>27</v>
      </c>
      <c r="K8" s="256" t="s">
        <v>28</v>
      </c>
      <c r="L8" s="113" t="s">
        <v>48</v>
      </c>
      <c r="M8" s="17"/>
      <c r="N8" s="17"/>
      <c r="O8" s="17"/>
      <c r="P8" s="18"/>
      <c r="Q8" s="18"/>
      <c r="R8" s="18"/>
      <c r="S8" s="18"/>
      <c r="T8" s="18"/>
      <c r="U8" s="18"/>
      <c r="V8" s="18"/>
      <c r="W8" s="18"/>
    </row>
    <row r="9" spans="1:23" s="22" customFormat="1" ht="21" customHeight="1" x14ac:dyDescent="0.15">
      <c r="A9" s="56" t="str">
        <f>IFERROR(IF(HLOOKUP($L$5,RangeUnitsetsOCEDHE,M9,FALSE)=0,"",HLOOKUP($L$5,RangeUnitsetsOCEDHE,M9,FALSE)),"")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57" t="str">
        <f>IFERROR(VLOOKUP($A9,TableHandbook[],H$2,FALSE),"")</f>
        <v/>
      </c>
      <c r="I9" s="258" t="str">
        <f>IFERROR(VLOOKUP($A9,TableHandbook[],I$2,FALSE),"")</f>
        <v/>
      </c>
      <c r="J9" s="258" t="str">
        <f>IFERROR(VLOOKUP($A9,TableHandbook[],J$2,FALSE),"")</f>
        <v/>
      </c>
      <c r="K9" s="258" t="str">
        <f>IFERROR(VLOOKUP($A9,TableHandbook[],K$2,FALSE),"")</f>
        <v/>
      </c>
      <c r="L9" s="58"/>
      <c r="M9" s="151">
        <v>2</v>
      </c>
      <c r="N9" s="20"/>
      <c r="O9" s="20"/>
      <c r="P9" s="21"/>
      <c r="Q9" s="21"/>
      <c r="R9" s="21"/>
      <c r="S9" s="21"/>
      <c r="T9" s="21"/>
      <c r="U9" s="21"/>
      <c r="V9" s="21"/>
      <c r="W9" s="21"/>
    </row>
    <row r="10" spans="1:23" s="22" customFormat="1" ht="21" customHeight="1" x14ac:dyDescent="0.15">
      <c r="A10" s="56" t="str">
        <f>IFERROR(IF(HLOOKUP($L$5,RangeUnitsetsOCEDHE,M10,FALSE)=0,"",HLOOKUP($L$5,RangeUnitsetsOCEDHE,M10,FALSE)),"")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57" t="str">
        <f>IFERROR(VLOOKUP($A10,TableHandbook[],H$2,FALSE),"")</f>
        <v/>
      </c>
      <c r="I10" s="258" t="str">
        <f>IFERROR(VLOOKUP($A10,TableHandbook[],I$2,FALSE),"")</f>
        <v/>
      </c>
      <c r="J10" s="258" t="str">
        <f>IFERROR(VLOOKUP($A10,TableHandbook[],J$2,FALSE),"")</f>
        <v/>
      </c>
      <c r="K10" s="258" t="str">
        <f>IFERROR(VLOOKUP($A10,TableHandbook[],K$2,FALSE),"")</f>
        <v/>
      </c>
      <c r="L10" s="58"/>
      <c r="M10" s="151">
        <v>3</v>
      </c>
      <c r="N10" s="20"/>
      <c r="O10" s="20"/>
      <c r="P10" s="21"/>
      <c r="Q10" s="21"/>
      <c r="R10" s="21"/>
      <c r="S10" s="21"/>
      <c r="T10" s="21"/>
      <c r="U10" s="21"/>
      <c r="V10" s="21"/>
      <c r="W10" s="21"/>
    </row>
    <row r="11" spans="1:23" s="22" customFormat="1" ht="4.5" customHeight="1" x14ac:dyDescent="0.15">
      <c r="A11" s="23"/>
      <c r="B11" s="24"/>
      <c r="C11" s="24"/>
      <c r="D11" s="25"/>
      <c r="E11" s="24"/>
      <c r="F11" s="26"/>
      <c r="G11" s="24"/>
      <c r="H11" s="266"/>
      <c r="I11" s="267"/>
      <c r="J11" s="267"/>
      <c r="K11" s="267"/>
      <c r="L11" s="27"/>
      <c r="M11" s="151"/>
      <c r="N11" s="20"/>
      <c r="O11" s="20"/>
      <c r="P11" s="20"/>
      <c r="Q11" s="21"/>
      <c r="R11" s="21"/>
      <c r="S11" s="21"/>
      <c r="T11" s="21"/>
      <c r="U11" s="21"/>
      <c r="V11" s="21"/>
      <c r="W11" s="21"/>
    </row>
    <row r="12" spans="1:23" s="22" customFormat="1" ht="21" customHeight="1" x14ac:dyDescent="0.15">
      <c r="A12" s="56" t="str">
        <f>IFERROR(IF(HLOOKUP($L$5,RangeUnitsetsOCEDHE,M12,FALSE)=0,"",HLOOKUP($L$5,RangeUnitsetsOCEDHE,M12,FALSE)),"")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57" t="str">
        <f>IFERROR(VLOOKUP($A12,TableHandbook[],H$2,FALSE),"")</f>
        <v/>
      </c>
      <c r="I12" s="258" t="str">
        <f>IFERROR(VLOOKUP($A12,TableHandbook[],I$2,FALSE),"")</f>
        <v/>
      </c>
      <c r="J12" s="258" t="str">
        <f>IFERROR(VLOOKUP($A12,TableHandbook[],J$2,FALSE),"")</f>
        <v/>
      </c>
      <c r="K12" s="258" t="str">
        <f>IFERROR(VLOOKUP($A12,TableHandbook[],K$2,FALSE),"")</f>
        <v/>
      </c>
      <c r="L12" s="59"/>
      <c r="M12" s="151">
        <v>4</v>
      </c>
      <c r="N12" s="20"/>
      <c r="O12" s="20"/>
      <c r="P12" s="21"/>
      <c r="Q12" s="21"/>
      <c r="R12" s="21"/>
      <c r="S12" s="21"/>
      <c r="T12" s="21"/>
      <c r="U12" s="21"/>
      <c r="V12" s="21"/>
      <c r="W12" s="21"/>
    </row>
    <row r="13" spans="1:23" s="22" customFormat="1" ht="21" customHeight="1" x14ac:dyDescent="0.15">
      <c r="A13" s="56" t="str">
        <f>IFERROR(IF(HLOOKUP($L$5,RangeUnitsetsOCEDHE,M13,FALSE)=0,"",HLOOKUP($L$5,RangeUnitsetsOCEDHE,M13,FALSE)),"")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57" t="str">
        <f>IFERROR(VLOOKUP($A13,TableHandbook[],H$2,FALSE),"")</f>
        <v/>
      </c>
      <c r="I13" s="258" t="str">
        <f>IFERROR(VLOOKUP($A13,TableHandbook[],I$2,FALSE),"")</f>
        <v/>
      </c>
      <c r="J13" s="258" t="str">
        <f>IFERROR(VLOOKUP($A13,TableHandbook[],J$2,FALSE),"")</f>
        <v/>
      </c>
      <c r="K13" s="258" t="str">
        <f>IFERROR(VLOOKUP($A13,TableHandbook[],K$2,FALSE),"")</f>
        <v/>
      </c>
      <c r="L13" s="58"/>
      <c r="M13" s="151">
        <v>5</v>
      </c>
      <c r="N13" s="20"/>
      <c r="O13" s="20"/>
      <c r="P13" s="21"/>
      <c r="Q13" s="21"/>
      <c r="R13" s="21"/>
      <c r="S13" s="21"/>
      <c r="T13" s="21"/>
      <c r="U13" s="21"/>
      <c r="V13" s="21"/>
      <c r="W13" s="21"/>
    </row>
    <row r="14" spans="1:23" s="22" customFormat="1" ht="15" customHeight="1" x14ac:dyDescent="0.15">
      <c r="A14" s="159"/>
      <c r="B14" s="160"/>
      <c r="C14" s="160"/>
      <c r="D14" s="161"/>
      <c r="E14" s="160"/>
      <c r="F14" s="162"/>
      <c r="G14" s="159"/>
      <c r="H14" s="159"/>
      <c r="I14" s="159"/>
      <c r="J14" s="159"/>
      <c r="K14" s="159"/>
      <c r="L14" s="163"/>
      <c r="M14" s="151"/>
      <c r="N14" s="20"/>
      <c r="O14" s="20"/>
      <c r="P14" s="21"/>
      <c r="Q14" s="21"/>
      <c r="R14" s="21"/>
      <c r="S14" s="21"/>
      <c r="T14" s="21"/>
      <c r="U14" s="21"/>
      <c r="V14" s="21"/>
      <c r="W14" s="21"/>
    </row>
    <row r="15" spans="1:23" s="16" customFormat="1" ht="18" x14ac:dyDescent="0.25">
      <c r="A15" s="65" t="s">
        <v>32</v>
      </c>
      <c r="B15" s="65"/>
      <c r="C15" s="65"/>
      <c r="D15" s="65"/>
      <c r="E15" s="65"/>
      <c r="F15" s="65"/>
      <c r="G15" s="65"/>
      <c r="H15" s="65"/>
      <c r="I15" s="65"/>
      <c r="J15" s="65"/>
      <c r="K15" s="65"/>
      <c r="L15" s="65"/>
    </row>
    <row r="16" spans="1:23" s="38" customFormat="1" ht="17.25" x14ac:dyDescent="0.2">
      <c r="A16" s="32" t="s">
        <v>33</v>
      </c>
      <c r="B16" s="32"/>
      <c r="C16" s="32"/>
      <c r="D16" s="33"/>
      <c r="E16" s="33"/>
      <c r="F16" s="33"/>
      <c r="G16" s="33"/>
      <c r="H16" s="33"/>
      <c r="I16" s="33"/>
      <c r="J16" s="33"/>
      <c r="K16" s="33"/>
      <c r="L16" s="33"/>
      <c r="M16" s="36"/>
      <c r="N16" s="36"/>
      <c r="O16" s="36"/>
      <c r="P16" s="37"/>
      <c r="Q16" s="37"/>
      <c r="R16" s="37"/>
      <c r="S16" s="37"/>
      <c r="T16" s="37"/>
      <c r="U16" s="37"/>
      <c r="V16" s="37"/>
      <c r="W16" s="37"/>
    </row>
    <row r="17" spans="1:12" x14ac:dyDescent="0.25">
      <c r="A17" s="34" t="s">
        <v>34</v>
      </c>
      <c r="B17" s="34"/>
      <c r="C17" s="34"/>
      <c r="D17" s="34"/>
      <c r="E17" s="47"/>
      <c r="F17" s="35"/>
      <c r="G17" s="48"/>
      <c r="H17" s="48"/>
      <c r="I17" s="48"/>
      <c r="J17" s="48"/>
      <c r="K17" s="48"/>
      <c r="L17" s="48" t="s">
        <v>35</v>
      </c>
    </row>
  </sheetData>
  <sheetProtection formatCell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Unitsets!$A$44:$A$48</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5"/>
  <sheetViews>
    <sheetView topLeftCell="A19" zoomScale="85" zoomScaleNormal="85" workbookViewId="0">
      <selection activeCell="D7" sqref="D7"/>
    </sheetView>
  </sheetViews>
  <sheetFormatPr defaultColWidth="9" defaultRowHeight="15.75" x14ac:dyDescent="0.25"/>
  <cols>
    <col min="1" max="1" width="75" style="71" bestFit="1" customWidth="1"/>
    <col min="2" max="2" width="11.875" style="167" bestFit="1" customWidth="1"/>
    <col min="3" max="3" width="15.125" style="167" bestFit="1" customWidth="1"/>
    <col min="4" max="4" width="19.625" style="167" customWidth="1"/>
    <col min="5" max="5" width="17.125" style="167" bestFit="1" customWidth="1"/>
    <col min="6" max="6" width="21.5" style="167" bestFit="1" customWidth="1"/>
    <col min="7" max="7" width="19.375" style="167" bestFit="1" customWidth="1"/>
    <col min="8" max="8" width="16.625" style="167" bestFit="1" customWidth="1"/>
    <col min="9" max="9" width="6.625" style="167" customWidth="1"/>
    <col min="10" max="10" width="20.875" style="68" bestFit="1" customWidth="1"/>
    <col min="11" max="11" width="3.625" style="69" customWidth="1"/>
    <col min="12" max="12" width="5.875" style="69" customWidth="1"/>
    <col min="13" max="13" width="15.25" style="69" bestFit="1" customWidth="1"/>
    <col min="14" max="14" width="5.875" style="69" bestFit="1" customWidth="1"/>
    <col min="15" max="15" width="15.625" style="69" bestFit="1" customWidth="1"/>
    <col min="16" max="16" width="5.875" style="69" bestFit="1" customWidth="1"/>
    <col min="17" max="17" width="15.625" style="69" bestFit="1" customWidth="1"/>
    <col min="18" max="18" width="5.875" style="69" bestFit="1" customWidth="1"/>
    <col min="19" max="19" width="15.625" style="69" bestFit="1" customWidth="1"/>
    <col min="20" max="20" width="7.375" style="69" bestFit="1" customWidth="1"/>
    <col min="21" max="21" width="15.25" style="69" bestFit="1" customWidth="1"/>
    <col min="22" max="22" width="5.875" style="69" bestFit="1" customWidth="1"/>
    <col min="23" max="23" width="15.625" style="69" bestFit="1" customWidth="1"/>
    <col min="24" max="24" width="5.875" style="69" bestFit="1" customWidth="1"/>
    <col min="25" max="25" width="15.5" style="69" customWidth="1"/>
    <col min="26" max="26" width="5.875" style="69" bestFit="1" customWidth="1"/>
    <col min="27" max="27" width="15.625" style="69" bestFit="1" customWidth="1"/>
    <col min="28" max="28" width="5.875" style="69" bestFit="1" customWidth="1"/>
    <col min="29" max="29" width="14.625" style="69" bestFit="1" customWidth="1"/>
    <col min="30" max="30" width="5.875" style="69" bestFit="1" customWidth="1"/>
    <col min="31" max="31" width="15" style="69" bestFit="1" customWidth="1"/>
    <col min="32" max="32" width="5.875" style="69" bestFit="1" customWidth="1"/>
    <col min="33" max="33" width="15" style="69" bestFit="1" customWidth="1"/>
    <col min="34" max="34" width="5.875" style="69" bestFit="1" customWidth="1"/>
    <col min="35" max="35" width="15" style="69" bestFit="1" customWidth="1"/>
    <col min="36" max="36" width="5.875" style="69" bestFit="1" customWidth="1"/>
    <col min="37" max="37" width="14.875" style="69" bestFit="1" customWidth="1"/>
    <col min="38" max="38" width="5.875" style="69" bestFit="1" customWidth="1"/>
    <col min="39" max="39" width="15.125" style="69" bestFit="1" customWidth="1"/>
    <col min="40" max="40" width="5.875" style="69" bestFit="1" customWidth="1"/>
    <col min="41" max="41" width="15.125" style="69" bestFit="1" customWidth="1"/>
    <col min="42" max="42" width="5.875" style="69" bestFit="1" customWidth="1"/>
    <col min="43" max="43" width="15.125" style="69" bestFit="1" customWidth="1"/>
    <col min="44" max="16384" width="9" style="69"/>
  </cols>
  <sheetData>
    <row r="1" spans="1:45" x14ac:dyDescent="0.25">
      <c r="A1" s="67" t="s">
        <v>49</v>
      </c>
      <c r="B1" s="166"/>
      <c r="C1" s="166"/>
      <c r="D1" s="166"/>
      <c r="L1" s="70"/>
      <c r="AB1"/>
      <c r="AC1"/>
      <c r="AD1"/>
      <c r="AE1"/>
      <c r="AF1"/>
      <c r="AG1"/>
      <c r="AH1"/>
      <c r="AI1"/>
      <c r="AJ1"/>
      <c r="AK1"/>
      <c r="AL1"/>
      <c r="AM1"/>
      <c r="AN1"/>
      <c r="AO1"/>
      <c r="AP1"/>
      <c r="AQ1"/>
    </row>
    <row r="2" spans="1:45" x14ac:dyDescent="0.25">
      <c r="L2" s="72"/>
      <c r="M2" s="73"/>
      <c r="N2" s="74"/>
      <c r="O2" s="73"/>
      <c r="P2" s="75"/>
      <c r="Q2" s="73"/>
      <c r="R2" s="74"/>
      <c r="S2" s="73"/>
      <c r="T2" s="73"/>
      <c r="U2" s="73"/>
      <c r="V2" s="73"/>
      <c r="W2" s="73"/>
      <c r="X2" s="73"/>
      <c r="Y2" s="73"/>
      <c r="Z2" s="73"/>
      <c r="AA2" s="73"/>
      <c r="AB2"/>
      <c r="AC2"/>
      <c r="AD2"/>
      <c r="AE2"/>
      <c r="AF2"/>
      <c r="AG2"/>
      <c r="AH2"/>
      <c r="AI2"/>
      <c r="AJ2"/>
      <c r="AK2"/>
      <c r="AL2"/>
      <c r="AM2"/>
      <c r="AN2"/>
      <c r="AO2"/>
      <c r="AP2"/>
      <c r="AQ2"/>
      <c r="AR2" s="76"/>
      <c r="AS2" s="76"/>
    </row>
    <row r="3" spans="1:45" x14ac:dyDescent="0.25">
      <c r="A3" s="164" t="s">
        <v>50</v>
      </c>
      <c r="H3"/>
      <c r="L3" s="127" t="s">
        <v>51</v>
      </c>
      <c r="M3" s="73"/>
      <c r="N3" s="74"/>
      <c r="O3" s="73"/>
      <c r="P3" s="75"/>
      <c r="Q3" s="73"/>
      <c r="R3" s="74"/>
      <c r="S3" s="73"/>
      <c r="T3" s="127" t="s">
        <v>52</v>
      </c>
      <c r="U3" s="73"/>
      <c r="V3" s="73"/>
      <c r="W3" s="73"/>
      <c r="X3" s="73"/>
      <c r="Y3" s="73"/>
      <c r="Z3" s="73"/>
      <c r="AA3" s="73"/>
      <c r="AB3"/>
      <c r="AC3"/>
      <c r="AD3"/>
      <c r="AE3"/>
      <c r="AF3"/>
      <c r="AG3"/>
      <c r="AH3"/>
      <c r="AI3"/>
      <c r="AJ3"/>
      <c r="AK3"/>
      <c r="AL3"/>
      <c r="AM3"/>
      <c r="AN3"/>
      <c r="AO3"/>
      <c r="AP3"/>
      <c r="AQ3"/>
      <c r="AR3" s="76"/>
      <c r="AS3" s="76"/>
    </row>
    <row r="4" spans="1:45" x14ac:dyDescent="0.25">
      <c r="A4" s="68" t="s">
        <v>53</v>
      </c>
      <c r="B4" s="167" t="s">
        <v>0</v>
      </c>
      <c r="C4" s="167" t="s">
        <v>54</v>
      </c>
      <c r="D4" s="167" t="s">
        <v>55</v>
      </c>
      <c r="E4" s="167" t="s">
        <v>56</v>
      </c>
      <c r="F4" s="167" t="s">
        <v>57</v>
      </c>
      <c r="G4" s="167" t="s">
        <v>58</v>
      </c>
      <c r="H4" s="68" t="s">
        <v>59</v>
      </c>
      <c r="J4" s="165" t="s">
        <v>60</v>
      </c>
      <c r="K4" s="77">
        <v>1</v>
      </c>
      <c r="L4" s="79"/>
      <c r="M4" s="78" t="s">
        <v>61</v>
      </c>
      <c r="N4" s="79"/>
      <c r="O4" s="78" t="s">
        <v>62</v>
      </c>
      <c r="P4" s="79"/>
      <c r="Q4" s="78" t="s">
        <v>63</v>
      </c>
      <c r="R4" s="79"/>
      <c r="S4" s="78" t="s">
        <v>64</v>
      </c>
      <c r="T4" s="79"/>
      <c r="U4" s="78" t="s">
        <v>65</v>
      </c>
      <c r="V4" s="79"/>
      <c r="W4" s="78" t="s">
        <v>66</v>
      </c>
      <c r="X4" s="79"/>
      <c r="Y4" s="78" t="s">
        <v>67</v>
      </c>
      <c r="Z4" s="79"/>
      <c r="AA4" s="78" t="s">
        <v>68</v>
      </c>
      <c r="AB4"/>
      <c r="AC4"/>
      <c r="AD4"/>
      <c r="AE4"/>
      <c r="AF4"/>
      <c r="AG4"/>
      <c r="AH4"/>
      <c r="AI4"/>
      <c r="AJ4"/>
      <c r="AK4"/>
      <c r="AL4"/>
      <c r="AM4"/>
      <c r="AN4"/>
      <c r="AO4"/>
      <c r="AP4"/>
      <c r="AQ4"/>
      <c r="AR4" s="76"/>
      <c r="AS4" s="76"/>
    </row>
    <row r="5" spans="1:45" x14ac:dyDescent="0.25">
      <c r="A5" s="185" t="s">
        <v>69</v>
      </c>
      <c r="B5" s="247" t="s">
        <v>70</v>
      </c>
      <c r="C5" s="247" t="s">
        <v>71</v>
      </c>
      <c r="D5" s="248">
        <v>44197</v>
      </c>
      <c r="E5" s="247">
        <v>2</v>
      </c>
      <c r="F5" s="248">
        <v>44562</v>
      </c>
      <c r="G5" s="167" t="s">
        <v>72</v>
      </c>
      <c r="H5" s="245" t="s">
        <v>73</v>
      </c>
      <c r="I5"/>
      <c r="K5" s="80">
        <v>2</v>
      </c>
      <c r="L5" s="90" t="s">
        <v>74</v>
      </c>
      <c r="M5" s="94" t="s">
        <v>75</v>
      </c>
      <c r="N5" s="90" t="s">
        <v>76</v>
      </c>
      <c r="O5" s="94" t="s">
        <v>77</v>
      </c>
      <c r="P5" s="90" t="s">
        <v>78</v>
      </c>
      <c r="Q5" s="94" t="s">
        <v>75</v>
      </c>
      <c r="R5" s="90" t="s">
        <v>79</v>
      </c>
      <c r="S5" s="94" t="s">
        <v>80</v>
      </c>
      <c r="T5" s="90" t="s">
        <v>74</v>
      </c>
      <c r="U5" s="94" t="s">
        <v>75</v>
      </c>
      <c r="V5" s="90" t="s">
        <v>76</v>
      </c>
      <c r="W5" s="94" t="s">
        <v>80</v>
      </c>
      <c r="X5" s="90" t="s">
        <v>78</v>
      </c>
      <c r="Y5" s="94" t="s">
        <v>81</v>
      </c>
      <c r="Z5" s="90" t="s">
        <v>79</v>
      </c>
      <c r="AA5" s="94" t="s">
        <v>80</v>
      </c>
      <c r="AB5"/>
      <c r="AC5"/>
      <c r="AD5"/>
      <c r="AE5"/>
      <c r="AF5"/>
      <c r="AG5"/>
      <c r="AH5"/>
      <c r="AI5"/>
      <c r="AJ5"/>
      <c r="AK5"/>
      <c r="AL5"/>
      <c r="AM5"/>
      <c r="AN5"/>
      <c r="AO5"/>
      <c r="AP5"/>
      <c r="AQ5"/>
      <c r="AR5" s="76"/>
      <c r="AS5" s="76"/>
    </row>
    <row r="6" spans="1:45" x14ac:dyDescent="0.25">
      <c r="A6" s="185" t="s">
        <v>45</v>
      </c>
      <c r="B6" s="247" t="s">
        <v>82</v>
      </c>
      <c r="C6" s="247" t="s">
        <v>71</v>
      </c>
      <c r="D6" s="248">
        <v>44197</v>
      </c>
      <c r="E6" s="247">
        <v>3</v>
      </c>
      <c r="F6" s="248">
        <v>44562</v>
      </c>
      <c r="G6" s="167" t="s">
        <v>72</v>
      </c>
      <c r="H6" s="247" t="s">
        <v>73</v>
      </c>
      <c r="I6"/>
      <c r="K6" s="80">
        <v>3</v>
      </c>
      <c r="L6" s="91" t="s">
        <v>74</v>
      </c>
      <c r="M6" s="95" t="s">
        <v>81</v>
      </c>
      <c r="N6" s="91" t="s">
        <v>76</v>
      </c>
      <c r="O6" s="95" t="s">
        <v>83</v>
      </c>
      <c r="P6" s="91" t="s">
        <v>78</v>
      </c>
      <c r="Q6" s="95" t="s">
        <v>84</v>
      </c>
      <c r="R6" s="91" t="s">
        <v>79</v>
      </c>
      <c r="S6" s="95" t="s">
        <v>85</v>
      </c>
      <c r="T6" s="91" t="s">
        <v>74</v>
      </c>
      <c r="U6" s="95" t="s">
        <v>81</v>
      </c>
      <c r="V6" s="91" t="s">
        <v>76</v>
      </c>
      <c r="W6" s="95" t="s">
        <v>86</v>
      </c>
      <c r="X6" s="91" t="s">
        <v>78</v>
      </c>
      <c r="Y6" s="95" t="s">
        <v>75</v>
      </c>
      <c r="Z6" s="91" t="s">
        <v>79</v>
      </c>
      <c r="AA6" s="95" t="s">
        <v>87</v>
      </c>
      <c r="AB6"/>
      <c r="AC6"/>
      <c r="AD6"/>
      <c r="AE6"/>
      <c r="AF6"/>
      <c r="AG6"/>
      <c r="AH6"/>
      <c r="AI6"/>
      <c r="AJ6"/>
      <c r="AK6"/>
      <c r="AL6"/>
      <c r="AM6"/>
      <c r="AN6"/>
      <c r="AO6"/>
      <c r="AP6"/>
      <c r="AQ6"/>
      <c r="AR6" s="76"/>
      <c r="AS6" s="76"/>
    </row>
    <row r="7" spans="1:45" x14ac:dyDescent="0.25">
      <c r="A7" s="71" t="s">
        <v>88</v>
      </c>
      <c r="B7" s="247" t="s">
        <v>89</v>
      </c>
      <c r="C7" s="247" t="s">
        <v>71</v>
      </c>
      <c r="D7" s="248">
        <v>44197</v>
      </c>
      <c r="E7" s="247">
        <v>1</v>
      </c>
      <c r="F7" s="248">
        <v>44197</v>
      </c>
      <c r="G7" s="167" t="s">
        <v>72</v>
      </c>
      <c r="H7" s="245" t="s">
        <v>73</v>
      </c>
      <c r="I7"/>
      <c r="K7" s="80">
        <v>4</v>
      </c>
      <c r="L7" s="91" t="s">
        <v>76</v>
      </c>
      <c r="M7" s="95" t="s">
        <v>80</v>
      </c>
      <c r="N7" s="91" t="s">
        <v>78</v>
      </c>
      <c r="O7" s="95" t="s">
        <v>84</v>
      </c>
      <c r="P7" s="91" t="s">
        <v>79</v>
      </c>
      <c r="Q7" s="95" t="s">
        <v>80</v>
      </c>
      <c r="R7" s="91" t="s">
        <v>74</v>
      </c>
      <c r="S7" s="95" t="s">
        <v>75</v>
      </c>
      <c r="T7" s="91" t="s">
        <v>76</v>
      </c>
      <c r="U7" s="95" t="s">
        <v>80</v>
      </c>
      <c r="V7" s="91" t="s">
        <v>78</v>
      </c>
      <c r="W7" s="95" t="s">
        <v>75</v>
      </c>
      <c r="X7" s="91" t="s">
        <v>79</v>
      </c>
      <c r="Y7" s="95" t="s">
        <v>87</v>
      </c>
      <c r="Z7" s="91" t="s">
        <v>74</v>
      </c>
      <c r="AA7" s="95" t="s">
        <v>81</v>
      </c>
      <c r="AB7"/>
      <c r="AC7"/>
      <c r="AD7"/>
      <c r="AE7"/>
      <c r="AF7"/>
      <c r="AG7"/>
      <c r="AH7"/>
      <c r="AI7"/>
      <c r="AJ7"/>
      <c r="AK7"/>
      <c r="AL7"/>
      <c r="AM7"/>
      <c r="AN7"/>
      <c r="AO7"/>
      <c r="AP7"/>
      <c r="AQ7"/>
      <c r="AR7" s="76"/>
      <c r="AS7" s="76"/>
    </row>
    <row r="8" spans="1:45" x14ac:dyDescent="0.25">
      <c r="A8" s="71" t="s">
        <v>47</v>
      </c>
      <c r="B8" s="247" t="s">
        <v>90</v>
      </c>
      <c r="C8" s="247" t="s">
        <v>71</v>
      </c>
      <c r="D8" s="248">
        <v>43466</v>
      </c>
      <c r="E8" s="247">
        <v>2</v>
      </c>
      <c r="F8" s="248">
        <v>44197</v>
      </c>
      <c r="G8" s="167" t="s">
        <v>72</v>
      </c>
      <c r="H8" s="247" t="s">
        <v>73</v>
      </c>
      <c r="I8"/>
      <c r="K8" s="80">
        <v>5</v>
      </c>
      <c r="L8" s="91" t="s">
        <v>76</v>
      </c>
      <c r="M8" s="95" t="s">
        <v>91</v>
      </c>
      <c r="N8" s="91" t="s">
        <v>78</v>
      </c>
      <c r="O8" s="95" t="s">
        <v>81</v>
      </c>
      <c r="P8" s="91" t="s">
        <v>79</v>
      </c>
      <c r="Q8" s="95" t="s">
        <v>85</v>
      </c>
      <c r="R8" s="91" t="s">
        <v>74</v>
      </c>
      <c r="S8" s="95" t="s">
        <v>81</v>
      </c>
      <c r="T8" s="91" t="s">
        <v>76</v>
      </c>
      <c r="U8" s="95" t="s">
        <v>92</v>
      </c>
      <c r="V8" s="91" t="s">
        <v>78</v>
      </c>
      <c r="W8" s="95" t="s">
        <v>81</v>
      </c>
      <c r="X8" s="91" t="s">
        <v>79</v>
      </c>
      <c r="Y8" s="95" t="s">
        <v>80</v>
      </c>
      <c r="Z8" s="91" t="s">
        <v>74</v>
      </c>
      <c r="AA8" s="95" t="s">
        <v>75</v>
      </c>
      <c r="AB8"/>
      <c r="AC8"/>
      <c r="AD8"/>
      <c r="AE8"/>
      <c r="AF8"/>
      <c r="AG8"/>
      <c r="AH8"/>
      <c r="AI8"/>
      <c r="AJ8"/>
      <c r="AK8"/>
      <c r="AL8"/>
      <c r="AM8"/>
      <c r="AN8"/>
      <c r="AO8"/>
      <c r="AP8"/>
      <c r="AQ8"/>
      <c r="AR8" s="81"/>
    </row>
    <row r="9" spans="1:45" x14ac:dyDescent="0.25">
      <c r="A9" s="71" t="s">
        <v>93</v>
      </c>
      <c r="B9" s="247" t="s">
        <v>94</v>
      </c>
      <c r="C9" s="247" t="s">
        <v>71</v>
      </c>
      <c r="D9" s="248">
        <v>44197</v>
      </c>
      <c r="E9" s="247">
        <v>1</v>
      </c>
      <c r="F9" s="248">
        <v>44197</v>
      </c>
      <c r="G9" s="167" t="s">
        <v>72</v>
      </c>
      <c r="H9" s="247" t="s">
        <v>73</v>
      </c>
      <c r="I9"/>
      <c r="K9" s="80">
        <v>6</v>
      </c>
      <c r="L9" s="91" t="s">
        <v>78</v>
      </c>
      <c r="M9" s="95" t="s">
        <v>84</v>
      </c>
      <c r="N9" s="91" t="s">
        <v>79</v>
      </c>
      <c r="O9" s="95" t="s">
        <v>85</v>
      </c>
      <c r="P9" s="91" t="s">
        <v>74</v>
      </c>
      <c r="Q9" s="95" t="s">
        <v>81</v>
      </c>
      <c r="R9" s="91" t="s">
        <v>76</v>
      </c>
      <c r="S9" s="95" t="s">
        <v>91</v>
      </c>
      <c r="T9" s="91" t="s">
        <v>78</v>
      </c>
      <c r="U9" s="95" t="s">
        <v>95</v>
      </c>
      <c r="V9" s="91" t="s">
        <v>79</v>
      </c>
      <c r="W9" s="95" t="s">
        <v>87</v>
      </c>
      <c r="X9" s="91" t="s">
        <v>74</v>
      </c>
      <c r="Y9" s="95" t="s">
        <v>96</v>
      </c>
      <c r="Z9" s="91" t="s">
        <v>76</v>
      </c>
      <c r="AA9" s="95" t="s">
        <v>86</v>
      </c>
      <c r="AB9"/>
      <c r="AC9"/>
      <c r="AD9"/>
      <c r="AE9"/>
      <c r="AF9"/>
      <c r="AG9"/>
      <c r="AH9"/>
      <c r="AI9"/>
      <c r="AJ9"/>
      <c r="AK9"/>
      <c r="AL9"/>
      <c r="AM9"/>
      <c r="AN9"/>
      <c r="AO9"/>
      <c r="AP9"/>
      <c r="AQ9"/>
      <c r="AR9" s="81"/>
    </row>
    <row r="10" spans="1:45" x14ac:dyDescent="0.25">
      <c r="A10" s="71" t="s">
        <v>43</v>
      </c>
      <c r="B10" s="247" t="s">
        <v>97</v>
      </c>
      <c r="C10" s="247" t="s">
        <v>98</v>
      </c>
      <c r="D10" s="248">
        <v>42736</v>
      </c>
      <c r="E10" s="247">
        <v>3</v>
      </c>
      <c r="F10" s="248">
        <v>43831</v>
      </c>
      <c r="G10" s="167" t="s">
        <v>72</v>
      </c>
      <c r="H10" s="247" t="s">
        <v>73</v>
      </c>
      <c r="I10"/>
      <c r="K10" s="80">
        <v>7</v>
      </c>
      <c r="L10" s="91" t="s">
        <v>78</v>
      </c>
      <c r="M10" s="95" t="s">
        <v>99</v>
      </c>
      <c r="N10" s="91" t="s">
        <v>79</v>
      </c>
      <c r="O10" s="95" t="s">
        <v>80</v>
      </c>
      <c r="P10" s="91" t="s">
        <v>74</v>
      </c>
      <c r="Q10" s="95" t="s">
        <v>77</v>
      </c>
      <c r="R10" s="91" t="s">
        <v>76</v>
      </c>
      <c r="S10" s="95" t="s">
        <v>77</v>
      </c>
      <c r="T10" s="91" t="s">
        <v>78</v>
      </c>
      <c r="U10" s="95" t="s">
        <v>100</v>
      </c>
      <c r="V10" s="91" t="s">
        <v>79</v>
      </c>
      <c r="W10" s="95" t="s">
        <v>95</v>
      </c>
      <c r="X10" s="91" t="s">
        <v>74</v>
      </c>
      <c r="Y10" s="95" t="s">
        <v>92</v>
      </c>
      <c r="Z10" s="91" t="s">
        <v>76</v>
      </c>
      <c r="AA10" s="95" t="s">
        <v>92</v>
      </c>
      <c r="AB10"/>
      <c r="AC10"/>
      <c r="AD10"/>
      <c r="AE10"/>
      <c r="AF10"/>
      <c r="AG10"/>
      <c r="AH10"/>
      <c r="AI10"/>
      <c r="AJ10"/>
      <c r="AK10"/>
      <c r="AL10"/>
      <c r="AM10"/>
      <c r="AN10"/>
      <c r="AO10"/>
      <c r="AP10"/>
      <c r="AQ10"/>
      <c r="AR10" s="81"/>
    </row>
    <row r="11" spans="1:45" x14ac:dyDescent="0.25">
      <c r="A11" s="71" t="s">
        <v>101</v>
      </c>
      <c r="B11" s="247" t="s">
        <v>102</v>
      </c>
      <c r="C11" s="247" t="s">
        <v>71</v>
      </c>
      <c r="D11" s="248">
        <v>45292</v>
      </c>
      <c r="E11" s="247">
        <v>1</v>
      </c>
      <c r="F11" s="248">
        <v>45292</v>
      </c>
      <c r="G11" s="167" t="s">
        <v>103</v>
      </c>
      <c r="H11" s="247" t="s">
        <v>104</v>
      </c>
      <c r="I11"/>
      <c r="K11" s="80">
        <v>8</v>
      </c>
      <c r="L11" s="91" t="s">
        <v>79</v>
      </c>
      <c r="M11" s="95" t="s">
        <v>95</v>
      </c>
      <c r="N11" s="91" t="s">
        <v>74</v>
      </c>
      <c r="O11" s="95" t="s">
        <v>75</v>
      </c>
      <c r="P11" s="91" t="s">
        <v>76</v>
      </c>
      <c r="Q11" s="95" t="s">
        <v>91</v>
      </c>
      <c r="R11" s="91" t="s">
        <v>78</v>
      </c>
      <c r="S11" s="95" t="s">
        <v>99</v>
      </c>
      <c r="T11" s="91" t="s">
        <v>79</v>
      </c>
      <c r="U11" s="95" t="s">
        <v>87</v>
      </c>
      <c r="V11" s="91" t="s">
        <v>74</v>
      </c>
      <c r="W11" s="95" t="s">
        <v>96</v>
      </c>
      <c r="X11" s="91" t="s">
        <v>76</v>
      </c>
      <c r="Y11" s="95" t="s">
        <v>86</v>
      </c>
      <c r="Z11" s="91" t="s">
        <v>78</v>
      </c>
      <c r="AA11" s="95" t="s">
        <v>96</v>
      </c>
      <c r="AB11"/>
      <c r="AC11"/>
      <c r="AD11"/>
      <c r="AE11"/>
      <c r="AF11"/>
      <c r="AG11"/>
      <c r="AH11"/>
      <c r="AI11"/>
      <c r="AJ11"/>
      <c r="AK11"/>
      <c r="AL11"/>
      <c r="AM11"/>
      <c r="AN11"/>
      <c r="AO11"/>
      <c r="AP11"/>
      <c r="AQ11"/>
      <c r="AR11" s="81"/>
    </row>
    <row r="12" spans="1:45" x14ac:dyDescent="0.25">
      <c r="A12" s="71" t="s">
        <v>105</v>
      </c>
      <c r="B12" s="247" t="s">
        <v>106</v>
      </c>
      <c r="C12" s="247" t="s">
        <v>71</v>
      </c>
      <c r="D12" s="248">
        <v>45292</v>
      </c>
      <c r="E12" s="247">
        <v>1</v>
      </c>
      <c r="F12" s="248">
        <v>45292</v>
      </c>
      <c r="G12" s="167" t="s">
        <v>103</v>
      </c>
      <c r="H12" s="247" t="s">
        <v>104</v>
      </c>
      <c r="I12"/>
      <c r="K12" s="80">
        <v>9</v>
      </c>
      <c r="L12" s="91" t="s">
        <v>79</v>
      </c>
      <c r="M12" s="95" t="s">
        <v>85</v>
      </c>
      <c r="N12" s="93" t="s">
        <v>74</v>
      </c>
      <c r="O12" s="95" t="s">
        <v>107</v>
      </c>
      <c r="P12" s="91" t="s">
        <v>76</v>
      </c>
      <c r="Q12" s="95" t="s">
        <v>83</v>
      </c>
      <c r="R12" s="93" t="s">
        <v>78</v>
      </c>
      <c r="S12" s="95" t="s">
        <v>84</v>
      </c>
      <c r="T12" s="91" t="s">
        <v>79</v>
      </c>
      <c r="U12" s="95" t="s">
        <v>108</v>
      </c>
      <c r="V12" s="93" t="s">
        <v>74</v>
      </c>
      <c r="W12" s="95" t="s">
        <v>92</v>
      </c>
      <c r="X12" s="91" t="s">
        <v>76</v>
      </c>
      <c r="Y12" s="95" t="s">
        <v>100</v>
      </c>
      <c r="Z12" s="93" t="s">
        <v>78</v>
      </c>
      <c r="AA12" s="95" t="s">
        <v>100</v>
      </c>
      <c r="AB12"/>
      <c r="AC12"/>
      <c r="AD12"/>
      <c r="AE12"/>
      <c r="AF12"/>
      <c r="AG12"/>
      <c r="AH12"/>
      <c r="AI12"/>
      <c r="AJ12"/>
      <c r="AK12"/>
      <c r="AL12"/>
      <c r="AM12"/>
      <c r="AN12"/>
      <c r="AO12"/>
      <c r="AP12"/>
      <c r="AQ12"/>
      <c r="AR12" s="81"/>
    </row>
    <row r="13" spans="1:45" x14ac:dyDescent="0.25">
      <c r="A13" s="71" t="s">
        <v>42</v>
      </c>
      <c r="B13" s="247" t="s">
        <v>109</v>
      </c>
      <c r="C13" s="247" t="s">
        <v>71</v>
      </c>
      <c r="D13" s="248">
        <v>43647</v>
      </c>
      <c r="E13" s="247">
        <v>1</v>
      </c>
      <c r="F13" s="248">
        <v>43647</v>
      </c>
      <c r="G13" s="167" t="s">
        <v>103</v>
      </c>
      <c r="H13" s="247" t="s">
        <v>73</v>
      </c>
      <c r="I13"/>
      <c r="K13" s="80">
        <v>10</v>
      </c>
      <c r="L13" s="90" t="s">
        <v>110</v>
      </c>
      <c r="M13" s="94" t="s">
        <v>77</v>
      </c>
      <c r="N13" s="90" t="s">
        <v>111</v>
      </c>
      <c r="O13" s="94" t="s">
        <v>91</v>
      </c>
      <c r="P13" s="90" t="s">
        <v>112</v>
      </c>
      <c r="Q13" s="94" t="s">
        <v>99</v>
      </c>
      <c r="R13" s="90" t="s">
        <v>113</v>
      </c>
      <c r="S13" s="94" t="s">
        <v>114</v>
      </c>
      <c r="T13" s="90" t="s">
        <v>110</v>
      </c>
      <c r="U13" s="94" t="s">
        <v>115</v>
      </c>
      <c r="V13" s="90" t="s">
        <v>111</v>
      </c>
      <c r="W13" s="94" t="s">
        <v>116</v>
      </c>
      <c r="X13" s="90" t="s">
        <v>112</v>
      </c>
      <c r="Y13" s="94" t="s">
        <v>95</v>
      </c>
      <c r="Z13" s="90" t="s">
        <v>113</v>
      </c>
      <c r="AA13" s="94" t="s">
        <v>108</v>
      </c>
      <c r="AB13"/>
      <c r="AC13"/>
      <c r="AD13"/>
      <c r="AE13"/>
      <c r="AF13"/>
      <c r="AG13"/>
      <c r="AH13"/>
      <c r="AI13"/>
      <c r="AJ13"/>
      <c r="AK13"/>
      <c r="AL13"/>
      <c r="AM13"/>
      <c r="AN13"/>
      <c r="AO13"/>
      <c r="AP13"/>
      <c r="AQ13"/>
      <c r="AR13" s="81"/>
    </row>
    <row r="14" spans="1:45" x14ac:dyDescent="0.25">
      <c r="A14" s="71" t="s">
        <v>37</v>
      </c>
      <c r="B14" s="247" t="s">
        <v>117</v>
      </c>
      <c r="C14" s="247" t="s">
        <v>98</v>
      </c>
      <c r="D14" s="248">
        <v>44562</v>
      </c>
      <c r="E14" s="247">
        <v>2</v>
      </c>
      <c r="F14" s="248">
        <v>44562</v>
      </c>
      <c r="G14" s="167" t="s">
        <v>103</v>
      </c>
      <c r="H14" s="247" t="s">
        <v>73</v>
      </c>
      <c r="I14"/>
      <c r="K14" s="80">
        <v>11</v>
      </c>
      <c r="L14" s="91" t="s">
        <v>110</v>
      </c>
      <c r="M14" s="95" t="s">
        <v>107</v>
      </c>
      <c r="N14" s="91" t="s">
        <v>111</v>
      </c>
      <c r="O14" s="95" t="s">
        <v>118</v>
      </c>
      <c r="P14" s="91" t="s">
        <v>112</v>
      </c>
      <c r="Q14" s="95" t="s">
        <v>119</v>
      </c>
      <c r="R14" s="91" t="s">
        <v>113</v>
      </c>
      <c r="S14" s="95" t="s">
        <v>95</v>
      </c>
      <c r="T14" s="91" t="s">
        <v>110</v>
      </c>
      <c r="U14" s="95" t="s">
        <v>120</v>
      </c>
      <c r="V14" s="91" t="s">
        <v>111</v>
      </c>
      <c r="W14" s="95" t="s">
        <v>100</v>
      </c>
      <c r="X14" s="91" t="s">
        <v>112</v>
      </c>
      <c r="Y14" s="95" t="s">
        <v>121</v>
      </c>
      <c r="Z14" s="91" t="s">
        <v>113</v>
      </c>
      <c r="AA14" s="95" t="s">
        <v>122</v>
      </c>
      <c r="AB14"/>
      <c r="AC14"/>
      <c r="AD14"/>
      <c r="AE14"/>
      <c r="AF14"/>
      <c r="AG14"/>
      <c r="AH14"/>
      <c r="AI14"/>
      <c r="AJ14"/>
      <c r="AK14"/>
      <c r="AL14"/>
      <c r="AM14"/>
      <c r="AN14"/>
      <c r="AO14"/>
      <c r="AP14"/>
      <c r="AQ14"/>
      <c r="AR14" s="81"/>
    </row>
    <row r="15" spans="1:45" x14ac:dyDescent="0.25">
      <c r="A15" s="68" t="s">
        <v>11</v>
      </c>
      <c r="B15" s="247" t="s">
        <v>123</v>
      </c>
      <c r="C15" s="247" t="s">
        <v>98</v>
      </c>
      <c r="D15" s="248">
        <v>44562</v>
      </c>
      <c r="E15" s="253">
        <v>5</v>
      </c>
      <c r="F15" s="246">
        <v>45474</v>
      </c>
      <c r="G15" s="167" t="s">
        <v>124</v>
      </c>
      <c r="H15" s="247" t="s">
        <v>73</v>
      </c>
      <c r="I15"/>
      <c r="K15" s="80">
        <v>12</v>
      </c>
      <c r="L15" s="91" t="s">
        <v>111</v>
      </c>
      <c r="M15" s="95" t="s">
        <v>83</v>
      </c>
      <c r="N15" s="91" t="s">
        <v>112</v>
      </c>
      <c r="O15" s="95" t="s">
        <v>99</v>
      </c>
      <c r="P15" s="91" t="s">
        <v>113</v>
      </c>
      <c r="Q15" s="95" t="s">
        <v>114</v>
      </c>
      <c r="R15" s="91" t="s">
        <v>110</v>
      </c>
      <c r="S15" s="95" t="s">
        <v>107</v>
      </c>
      <c r="T15" s="91" t="s">
        <v>111</v>
      </c>
      <c r="U15" s="95" t="s">
        <v>116</v>
      </c>
      <c r="V15" s="91" t="s">
        <v>112</v>
      </c>
      <c r="W15" s="95" t="s">
        <v>121</v>
      </c>
      <c r="X15" s="91" t="s">
        <v>113</v>
      </c>
      <c r="Y15" s="95" t="s">
        <v>108</v>
      </c>
      <c r="Z15" s="91" t="s">
        <v>110</v>
      </c>
      <c r="AA15" s="95" t="s">
        <v>115</v>
      </c>
      <c r="AB15"/>
      <c r="AC15"/>
      <c r="AD15"/>
      <c r="AE15"/>
      <c r="AF15"/>
      <c r="AG15"/>
      <c r="AH15"/>
      <c r="AI15"/>
      <c r="AJ15"/>
      <c r="AK15"/>
      <c r="AL15"/>
      <c r="AM15"/>
      <c r="AN15"/>
      <c r="AO15"/>
      <c r="AP15"/>
      <c r="AQ15"/>
      <c r="AR15" s="81"/>
    </row>
    <row r="16" spans="1:45" x14ac:dyDescent="0.25">
      <c r="H16"/>
      <c r="I16"/>
      <c r="K16" s="80">
        <v>13</v>
      </c>
      <c r="L16" s="91" t="s">
        <v>111</v>
      </c>
      <c r="M16" s="95" t="s">
        <v>118</v>
      </c>
      <c r="N16" s="91" t="s">
        <v>112</v>
      </c>
      <c r="O16" s="95" t="s">
        <v>119</v>
      </c>
      <c r="P16" s="91" t="s">
        <v>113</v>
      </c>
      <c r="Q16" s="95" t="s">
        <v>95</v>
      </c>
      <c r="R16" s="91" t="s">
        <v>110</v>
      </c>
      <c r="S16" s="95" t="s">
        <v>120</v>
      </c>
      <c r="T16" s="91" t="s">
        <v>111</v>
      </c>
      <c r="U16" s="95" t="s">
        <v>86</v>
      </c>
      <c r="V16" s="91" t="s">
        <v>112</v>
      </c>
      <c r="W16" s="95" t="s">
        <v>120</v>
      </c>
      <c r="X16" s="91" t="s">
        <v>113</v>
      </c>
      <c r="Y16" s="95" t="s">
        <v>122</v>
      </c>
      <c r="Z16" s="91" t="s">
        <v>110</v>
      </c>
      <c r="AA16" s="95" t="s">
        <v>120</v>
      </c>
      <c r="AB16"/>
      <c r="AC16"/>
      <c r="AD16"/>
      <c r="AE16"/>
      <c r="AF16"/>
      <c r="AG16"/>
      <c r="AH16"/>
      <c r="AI16"/>
      <c r="AJ16"/>
      <c r="AK16"/>
      <c r="AL16"/>
      <c r="AM16"/>
      <c r="AN16"/>
      <c r="AO16"/>
      <c r="AP16"/>
      <c r="AQ16"/>
      <c r="AR16" s="81"/>
    </row>
    <row r="17" spans="1:45" x14ac:dyDescent="0.25">
      <c r="A17" s="164" t="s">
        <v>125</v>
      </c>
      <c r="I17"/>
      <c r="K17" s="80">
        <v>14</v>
      </c>
      <c r="L17" s="91" t="s">
        <v>112</v>
      </c>
      <c r="M17" s="95" t="s">
        <v>120</v>
      </c>
      <c r="N17" s="91" t="s">
        <v>113</v>
      </c>
      <c r="O17" s="95" t="s">
        <v>114</v>
      </c>
      <c r="P17" s="91" t="s">
        <v>110</v>
      </c>
      <c r="Q17" s="95" t="s">
        <v>120</v>
      </c>
      <c r="R17" s="91" t="s">
        <v>111</v>
      </c>
      <c r="S17" s="95" t="s">
        <v>83</v>
      </c>
      <c r="T17" s="91" t="s">
        <v>112</v>
      </c>
      <c r="U17" s="95" t="s">
        <v>96</v>
      </c>
      <c r="V17" s="91" t="s">
        <v>113</v>
      </c>
      <c r="W17" s="95" t="s">
        <v>108</v>
      </c>
      <c r="X17" s="91" t="s">
        <v>110</v>
      </c>
      <c r="Y17" s="95" t="s">
        <v>115</v>
      </c>
      <c r="Z17" s="91" t="s">
        <v>111</v>
      </c>
      <c r="AA17" s="95" t="s">
        <v>116</v>
      </c>
      <c r="AB17"/>
      <c r="AC17"/>
      <c r="AD17"/>
      <c r="AE17"/>
      <c r="AF17"/>
      <c r="AG17"/>
      <c r="AH17"/>
      <c r="AI17"/>
      <c r="AJ17"/>
      <c r="AK17"/>
      <c r="AL17"/>
      <c r="AM17"/>
      <c r="AN17"/>
      <c r="AO17"/>
      <c r="AP17"/>
      <c r="AQ17"/>
      <c r="AR17" s="81"/>
    </row>
    <row r="18" spans="1:45" x14ac:dyDescent="0.25">
      <c r="A18" s="85" t="s">
        <v>126</v>
      </c>
      <c r="B18" s="168" t="s">
        <v>0</v>
      </c>
      <c r="C18" s="167" t="s">
        <v>54</v>
      </c>
      <c r="D18" s="167" t="s">
        <v>55</v>
      </c>
      <c r="E18" s="167" t="s">
        <v>56</v>
      </c>
      <c r="F18" s="167" t="s">
        <v>57</v>
      </c>
      <c r="G18" s="167" t="s">
        <v>58</v>
      </c>
      <c r="I18"/>
      <c r="K18" s="80">
        <v>15</v>
      </c>
      <c r="L18" s="91" t="s">
        <v>112</v>
      </c>
      <c r="M18" s="95" t="s">
        <v>119</v>
      </c>
      <c r="N18" s="91" t="s">
        <v>113</v>
      </c>
      <c r="O18" s="95" t="s">
        <v>95</v>
      </c>
      <c r="P18" s="91" t="s">
        <v>110</v>
      </c>
      <c r="Q18" s="95" t="s">
        <v>107</v>
      </c>
      <c r="R18" s="91" t="s">
        <v>111</v>
      </c>
      <c r="S18" s="95" t="s">
        <v>118</v>
      </c>
      <c r="T18" s="91" t="s">
        <v>112</v>
      </c>
      <c r="U18" s="95" t="s">
        <v>121</v>
      </c>
      <c r="V18" s="91" t="s">
        <v>113</v>
      </c>
      <c r="W18" s="95" t="s">
        <v>122</v>
      </c>
      <c r="X18" s="91" t="s">
        <v>110</v>
      </c>
      <c r="Y18" s="95" t="s">
        <v>120</v>
      </c>
      <c r="Z18" s="91" t="s">
        <v>111</v>
      </c>
      <c r="AA18" s="95" t="s">
        <v>95</v>
      </c>
      <c r="AB18"/>
      <c r="AC18"/>
      <c r="AD18"/>
      <c r="AE18"/>
      <c r="AF18"/>
      <c r="AG18"/>
      <c r="AH18"/>
      <c r="AI18"/>
      <c r="AJ18"/>
      <c r="AK18"/>
      <c r="AL18"/>
      <c r="AM18"/>
      <c r="AN18"/>
      <c r="AO18"/>
      <c r="AP18"/>
      <c r="AQ18"/>
      <c r="AR18" s="81"/>
    </row>
    <row r="19" spans="1:45" x14ac:dyDescent="0.25">
      <c r="A19" s="82" t="s">
        <v>14</v>
      </c>
      <c r="B19" s="247" t="s">
        <v>127</v>
      </c>
      <c r="C19" s="247" t="s">
        <v>98</v>
      </c>
      <c r="D19" s="248">
        <v>44562</v>
      </c>
      <c r="E19" s="245">
        <v>5</v>
      </c>
      <c r="F19" s="254">
        <v>45474</v>
      </c>
      <c r="G19" s="81" t="s">
        <v>124</v>
      </c>
      <c r="I19"/>
      <c r="K19" s="80">
        <v>16</v>
      </c>
      <c r="L19" s="91" t="s">
        <v>113</v>
      </c>
      <c r="M19" s="95" t="s">
        <v>114</v>
      </c>
      <c r="N19" s="91" t="s">
        <v>110</v>
      </c>
      <c r="O19" s="95" t="s">
        <v>120</v>
      </c>
      <c r="P19" s="91" t="s">
        <v>111</v>
      </c>
      <c r="Q19" s="95" t="s">
        <v>118</v>
      </c>
      <c r="R19" s="91" t="s">
        <v>112</v>
      </c>
      <c r="S19" s="95" t="s">
        <v>119</v>
      </c>
      <c r="T19" s="91" t="s">
        <v>113</v>
      </c>
      <c r="U19" s="95" t="s">
        <v>122</v>
      </c>
      <c r="V19" s="91" t="s">
        <v>110</v>
      </c>
      <c r="W19" s="95" t="s">
        <v>115</v>
      </c>
      <c r="X19" s="91" t="s">
        <v>111</v>
      </c>
      <c r="Y19" s="95" t="s">
        <v>116</v>
      </c>
      <c r="Z19" s="91" t="s">
        <v>112</v>
      </c>
      <c r="AA19" s="95" t="s">
        <v>121</v>
      </c>
      <c r="AB19"/>
      <c r="AC19"/>
      <c r="AD19"/>
      <c r="AE19"/>
      <c r="AF19"/>
      <c r="AG19"/>
      <c r="AH19"/>
      <c r="AI19"/>
      <c r="AJ19"/>
      <c r="AK19"/>
      <c r="AL19"/>
      <c r="AM19"/>
      <c r="AN19"/>
      <c r="AO19"/>
      <c r="AP19"/>
      <c r="AQ19"/>
      <c r="AR19" s="81"/>
    </row>
    <row r="20" spans="1:45" x14ac:dyDescent="0.25">
      <c r="A20" s="82" t="s">
        <v>36</v>
      </c>
      <c r="B20" s="247" t="s">
        <v>128</v>
      </c>
      <c r="C20" s="247" t="s">
        <v>98</v>
      </c>
      <c r="D20" s="248">
        <v>44562</v>
      </c>
      <c r="E20" s="245">
        <v>6</v>
      </c>
      <c r="F20" s="254">
        <v>45474</v>
      </c>
      <c r="G20" s="81" t="s">
        <v>124</v>
      </c>
      <c r="I20"/>
      <c r="K20" s="80">
        <v>17</v>
      </c>
      <c r="L20" s="93" t="s">
        <v>113</v>
      </c>
      <c r="M20" s="92" t="s">
        <v>129</v>
      </c>
      <c r="N20" s="93" t="s">
        <v>110</v>
      </c>
      <c r="O20" s="106" t="s">
        <v>130</v>
      </c>
      <c r="P20" s="93" t="s">
        <v>111</v>
      </c>
      <c r="Q20" s="92" t="s">
        <v>129</v>
      </c>
      <c r="R20" s="93" t="s">
        <v>112</v>
      </c>
      <c r="S20" s="92" t="s">
        <v>129</v>
      </c>
      <c r="T20" s="93" t="s">
        <v>113</v>
      </c>
      <c r="U20" s="92" t="s">
        <v>129</v>
      </c>
      <c r="V20" s="93" t="s">
        <v>110</v>
      </c>
      <c r="W20" s="92" t="s">
        <v>129</v>
      </c>
      <c r="X20" s="93" t="s">
        <v>111</v>
      </c>
      <c r="Y20" s="92" t="s">
        <v>129</v>
      </c>
      <c r="Z20" s="93" t="s">
        <v>112</v>
      </c>
      <c r="AA20" s="92" t="s">
        <v>129</v>
      </c>
      <c r="AB20"/>
      <c r="AC20"/>
      <c r="AD20"/>
      <c r="AE20"/>
      <c r="AF20"/>
      <c r="AG20"/>
      <c r="AH20"/>
      <c r="AI20"/>
      <c r="AJ20"/>
      <c r="AK20"/>
      <c r="AL20"/>
      <c r="AM20"/>
      <c r="AN20"/>
      <c r="AO20"/>
      <c r="AP20"/>
      <c r="AQ20"/>
      <c r="AR20" s="81"/>
    </row>
    <row r="21" spans="1:45" x14ac:dyDescent="0.25">
      <c r="A21" s="82" t="s">
        <v>131</v>
      </c>
      <c r="B21" s="247" t="s">
        <v>132</v>
      </c>
      <c r="C21" s="247" t="s">
        <v>133</v>
      </c>
      <c r="D21" s="248">
        <v>44562</v>
      </c>
      <c r="E21" s="245">
        <v>6</v>
      </c>
      <c r="F21" s="254">
        <v>45474</v>
      </c>
      <c r="G21" s="81" t="s">
        <v>124</v>
      </c>
      <c r="K21" s="80">
        <v>18</v>
      </c>
      <c r="L21" s="91" t="s">
        <v>134</v>
      </c>
      <c r="M21" s="105" t="s">
        <v>135</v>
      </c>
      <c r="N21" s="91" t="s">
        <v>136</v>
      </c>
      <c r="O21" s="95" t="s">
        <v>129</v>
      </c>
      <c r="P21" s="91" t="s">
        <v>137</v>
      </c>
      <c r="Q21" s="105" t="s">
        <v>135</v>
      </c>
      <c r="R21" s="91" t="s">
        <v>138</v>
      </c>
      <c r="S21" s="105" t="s">
        <v>135</v>
      </c>
      <c r="T21" s="91" t="s">
        <v>134</v>
      </c>
      <c r="U21" s="95" t="s">
        <v>135</v>
      </c>
      <c r="V21" s="91" t="s">
        <v>136</v>
      </c>
      <c r="W21" s="95" t="s">
        <v>135</v>
      </c>
      <c r="X21" s="91" t="s">
        <v>137</v>
      </c>
      <c r="Y21" s="95" t="s">
        <v>135</v>
      </c>
      <c r="Z21" s="91" t="s">
        <v>138</v>
      </c>
      <c r="AA21" s="95" t="s">
        <v>135</v>
      </c>
      <c r="AB21"/>
      <c r="AC21"/>
      <c r="AD21"/>
      <c r="AE21"/>
      <c r="AF21"/>
      <c r="AG21"/>
      <c r="AH21"/>
      <c r="AI21"/>
      <c r="AJ21"/>
      <c r="AK21"/>
      <c r="AL21"/>
      <c r="AM21"/>
      <c r="AN21"/>
      <c r="AO21"/>
      <c r="AP21"/>
      <c r="AQ21"/>
      <c r="AR21" s="83"/>
    </row>
    <row r="22" spans="1:45" x14ac:dyDescent="0.25">
      <c r="A22" s="85"/>
      <c r="B22" s="168"/>
      <c r="K22" s="80">
        <v>19</v>
      </c>
      <c r="L22" s="93" t="s">
        <v>134</v>
      </c>
      <c r="M22" s="106"/>
      <c r="N22" s="93" t="s">
        <v>136</v>
      </c>
      <c r="O22" s="106"/>
      <c r="P22" s="93" t="s">
        <v>137</v>
      </c>
      <c r="Q22" s="106"/>
      <c r="R22" s="93" t="s">
        <v>138</v>
      </c>
      <c r="S22" s="106"/>
      <c r="T22" s="93" t="s">
        <v>134</v>
      </c>
      <c r="U22" s="92"/>
      <c r="V22" s="93" t="s">
        <v>136</v>
      </c>
      <c r="W22" s="92"/>
      <c r="X22" s="93" t="s">
        <v>137</v>
      </c>
      <c r="Y22" s="92"/>
      <c r="Z22" s="93" t="s">
        <v>138</v>
      </c>
      <c r="AA22" s="92"/>
      <c r="AB22"/>
      <c r="AC22"/>
      <c r="AD22"/>
      <c r="AE22"/>
      <c r="AF22"/>
      <c r="AG22"/>
      <c r="AH22"/>
      <c r="AI22"/>
      <c r="AJ22"/>
      <c r="AK22"/>
      <c r="AL22"/>
      <c r="AM22"/>
      <c r="AN22"/>
      <c r="AO22"/>
      <c r="AP22"/>
      <c r="AQ22"/>
    </row>
    <row r="23" spans="1:45" x14ac:dyDescent="0.25">
      <c r="A23" s="164" t="s">
        <v>139</v>
      </c>
      <c r="AB23" s="84"/>
      <c r="AC23" s="84"/>
      <c r="AD23" s="84"/>
      <c r="AE23" s="84"/>
      <c r="AF23" s="84"/>
      <c r="AG23"/>
      <c r="AH23"/>
      <c r="AI23"/>
      <c r="AJ23"/>
      <c r="AK23"/>
      <c r="AL23"/>
      <c r="AR23"/>
      <c r="AS23"/>
    </row>
    <row r="24" spans="1:45" x14ac:dyDescent="0.25">
      <c r="A24" s="85" t="s">
        <v>126</v>
      </c>
      <c r="B24" s="168" t="s">
        <v>0</v>
      </c>
      <c r="C24" s="167" t="s">
        <v>54</v>
      </c>
      <c r="D24" s="167" t="s">
        <v>55</v>
      </c>
      <c r="E24" s="167" t="s">
        <v>56</v>
      </c>
      <c r="F24" s="167" t="s">
        <v>57</v>
      </c>
      <c r="G24" s="243" t="s">
        <v>58</v>
      </c>
      <c r="H24" s="1"/>
      <c r="J24"/>
      <c r="K24"/>
      <c r="M24" s="80"/>
      <c r="N24" s="84"/>
      <c r="O24" s="77"/>
      <c r="P24"/>
      <c r="Q24"/>
      <c r="R24"/>
      <c r="S24"/>
      <c r="T24"/>
      <c r="U24"/>
      <c r="V24"/>
      <c r="W24"/>
      <c r="X24"/>
      <c r="Y24"/>
      <c r="Z24"/>
      <c r="AA24"/>
      <c r="AF24" s="84"/>
      <c r="AG24"/>
      <c r="AH24"/>
      <c r="AI24"/>
      <c r="AJ24"/>
      <c r="AK24"/>
      <c r="AL24"/>
    </row>
    <row r="25" spans="1:45" x14ac:dyDescent="0.25">
      <c r="A25" s="82" t="s">
        <v>140</v>
      </c>
      <c r="B25" s="247" t="s">
        <v>141</v>
      </c>
      <c r="C25" s="247" t="s">
        <v>71</v>
      </c>
      <c r="D25" s="248">
        <v>45292</v>
      </c>
      <c r="E25" s="247">
        <v>1</v>
      </c>
      <c r="F25" s="248">
        <v>45292</v>
      </c>
      <c r="G25" s="81" t="s">
        <v>103</v>
      </c>
      <c r="H25" s="1"/>
      <c r="J25" s="165" t="s">
        <v>142</v>
      </c>
      <c r="K25" s="77">
        <v>1</v>
      </c>
      <c r="L25" s="171"/>
      <c r="M25" s="172" t="s">
        <v>143</v>
      </c>
      <c r="N25" s="171"/>
      <c r="O25" s="172" t="s">
        <v>144</v>
      </c>
      <c r="P25" s="171"/>
      <c r="Q25" s="172" t="s">
        <v>145</v>
      </c>
      <c r="R25" s="171"/>
      <c r="S25" s="172" t="s">
        <v>146</v>
      </c>
      <c r="T25" s="171"/>
      <c r="U25" s="172" t="s">
        <v>147</v>
      </c>
      <c r="V25" s="171"/>
      <c r="W25" s="172" t="s">
        <v>148</v>
      </c>
      <c r="X25" s="171"/>
      <c r="Y25" s="172" t="s">
        <v>149</v>
      </c>
      <c r="Z25" s="171"/>
      <c r="AA25" s="172" t="s">
        <v>150</v>
      </c>
      <c r="AB25" s="79"/>
      <c r="AC25" s="78" t="s">
        <v>151</v>
      </c>
      <c r="AD25" s="79"/>
      <c r="AE25" s="78" t="s">
        <v>152</v>
      </c>
      <c r="AF25" s="79"/>
      <c r="AG25" s="78" t="s">
        <v>153</v>
      </c>
      <c r="AH25" s="79"/>
      <c r="AI25" s="78" t="s">
        <v>154</v>
      </c>
      <c r="AJ25" s="79"/>
      <c r="AK25" s="78" t="s">
        <v>155</v>
      </c>
      <c r="AL25" s="79"/>
      <c r="AM25" s="78" t="s">
        <v>156</v>
      </c>
      <c r="AN25" s="79"/>
      <c r="AO25" s="78" t="s">
        <v>157</v>
      </c>
      <c r="AP25" s="79"/>
      <c r="AQ25" s="78" t="s">
        <v>158</v>
      </c>
    </row>
    <row r="26" spans="1:45" x14ac:dyDescent="0.25">
      <c r="A26" s="82" t="s">
        <v>159</v>
      </c>
      <c r="B26" s="247" t="s">
        <v>160</v>
      </c>
      <c r="C26" s="247" t="s">
        <v>71</v>
      </c>
      <c r="D26" s="248">
        <v>45292</v>
      </c>
      <c r="E26" s="247">
        <v>1</v>
      </c>
      <c r="F26" s="248">
        <v>45292</v>
      </c>
      <c r="G26" s="81" t="s">
        <v>103</v>
      </c>
      <c r="H26" s="1"/>
      <c r="K26" s="80">
        <v>2</v>
      </c>
      <c r="L26" s="90" t="s">
        <v>161</v>
      </c>
      <c r="M26" s="94" t="s">
        <v>162</v>
      </c>
      <c r="N26" s="90" t="s">
        <v>163</v>
      </c>
      <c r="O26" s="94" t="s">
        <v>164</v>
      </c>
      <c r="P26" s="90" t="s">
        <v>165</v>
      </c>
      <c r="Q26" s="94" t="s">
        <v>162</v>
      </c>
      <c r="R26" s="90" t="s">
        <v>166</v>
      </c>
      <c r="S26" s="94" t="s">
        <v>164</v>
      </c>
      <c r="T26" s="90" t="s">
        <v>161</v>
      </c>
      <c r="U26" s="94" t="s">
        <v>162</v>
      </c>
      <c r="V26" s="90" t="s">
        <v>163</v>
      </c>
      <c r="W26" s="94" t="s">
        <v>164</v>
      </c>
      <c r="X26" s="90" t="s">
        <v>165</v>
      </c>
      <c r="Y26" s="94" t="s">
        <v>162</v>
      </c>
      <c r="Z26" s="90" t="s">
        <v>166</v>
      </c>
      <c r="AA26" s="94" t="s">
        <v>164</v>
      </c>
      <c r="AB26" s="90" t="s">
        <v>161</v>
      </c>
      <c r="AC26" s="94" t="s">
        <v>162</v>
      </c>
      <c r="AD26" s="90" t="s">
        <v>163</v>
      </c>
      <c r="AE26" s="94" t="s">
        <v>164</v>
      </c>
      <c r="AF26" s="90" t="s">
        <v>165</v>
      </c>
      <c r="AG26" s="94" t="s">
        <v>162</v>
      </c>
      <c r="AH26" s="90" t="s">
        <v>166</v>
      </c>
      <c r="AI26" s="94" t="s">
        <v>164</v>
      </c>
      <c r="AJ26" s="90" t="s">
        <v>161</v>
      </c>
      <c r="AK26" s="94" t="s">
        <v>162</v>
      </c>
      <c r="AL26" s="90" t="s">
        <v>163</v>
      </c>
      <c r="AM26" s="94" t="s">
        <v>164</v>
      </c>
      <c r="AN26" s="90" t="s">
        <v>165</v>
      </c>
      <c r="AO26" s="94" t="s">
        <v>162</v>
      </c>
      <c r="AP26" s="90" t="s">
        <v>166</v>
      </c>
      <c r="AQ26" s="94" t="s">
        <v>164</v>
      </c>
    </row>
    <row r="27" spans="1:45" x14ac:dyDescent="0.25">
      <c r="C27" s="1"/>
      <c r="D27" s="1"/>
      <c r="E27" s="1"/>
      <c r="F27" s="1"/>
      <c r="G27" s="1"/>
      <c r="H27" s="1"/>
      <c r="K27" s="80">
        <v>3</v>
      </c>
      <c r="L27" s="91" t="s">
        <v>161</v>
      </c>
      <c r="M27" s="95" t="s">
        <v>167</v>
      </c>
      <c r="N27" s="91" t="s">
        <v>163</v>
      </c>
      <c r="O27" s="95" t="s">
        <v>167</v>
      </c>
      <c r="P27" s="91" t="s">
        <v>165</v>
      </c>
      <c r="Q27" s="95" t="s">
        <v>167</v>
      </c>
      <c r="R27" s="91" t="s">
        <v>166</v>
      </c>
      <c r="S27" s="95" t="s">
        <v>167</v>
      </c>
      <c r="T27" s="91" t="s">
        <v>161</v>
      </c>
      <c r="U27" s="95" t="s">
        <v>168</v>
      </c>
      <c r="V27" s="91" t="s">
        <v>163</v>
      </c>
      <c r="W27" s="95" t="s">
        <v>169</v>
      </c>
      <c r="X27" s="91" t="s">
        <v>165</v>
      </c>
      <c r="Y27" s="95" t="s">
        <v>170</v>
      </c>
      <c r="Z27" s="91" t="s">
        <v>166</v>
      </c>
      <c r="AA27" s="95" t="s">
        <v>169</v>
      </c>
      <c r="AB27" s="91" t="s">
        <v>161</v>
      </c>
      <c r="AC27" s="95" t="s">
        <v>171</v>
      </c>
      <c r="AD27" s="91" t="s">
        <v>163</v>
      </c>
      <c r="AE27" s="95" t="s">
        <v>169</v>
      </c>
      <c r="AF27" s="91" t="s">
        <v>165</v>
      </c>
      <c r="AG27" s="95" t="s">
        <v>172</v>
      </c>
      <c r="AH27" s="91" t="s">
        <v>166</v>
      </c>
      <c r="AI27" s="95" t="s">
        <v>169</v>
      </c>
      <c r="AJ27" s="91" t="s">
        <v>161</v>
      </c>
      <c r="AK27" s="95" t="s">
        <v>173</v>
      </c>
      <c r="AL27" s="91" t="s">
        <v>163</v>
      </c>
      <c r="AM27" s="95" t="s">
        <v>169</v>
      </c>
      <c r="AN27" s="91" t="s">
        <v>165</v>
      </c>
      <c r="AO27" s="95" t="s">
        <v>174</v>
      </c>
      <c r="AP27" s="91" t="s">
        <v>166</v>
      </c>
      <c r="AQ27" s="95" t="s">
        <v>169</v>
      </c>
    </row>
    <row r="28" spans="1:45" x14ac:dyDescent="0.25">
      <c r="A28" s="164" t="s">
        <v>175</v>
      </c>
      <c r="B28" s="68"/>
      <c r="C28" s="68"/>
      <c r="D28" s="68"/>
      <c r="E28" s="68"/>
      <c r="G28" s="1"/>
      <c r="H28" s="1"/>
      <c r="K28" s="80">
        <v>4</v>
      </c>
      <c r="L28" s="91" t="s">
        <v>163</v>
      </c>
      <c r="M28" s="95" t="s">
        <v>164</v>
      </c>
      <c r="N28" s="91" t="s">
        <v>165</v>
      </c>
      <c r="O28" s="95" t="s">
        <v>162</v>
      </c>
      <c r="P28" s="91" t="s">
        <v>166</v>
      </c>
      <c r="Q28" s="95" t="s">
        <v>164</v>
      </c>
      <c r="R28" s="91" t="s">
        <v>161</v>
      </c>
      <c r="S28" s="95" t="s">
        <v>162</v>
      </c>
      <c r="T28" s="91" t="s">
        <v>163</v>
      </c>
      <c r="U28" s="95" t="s">
        <v>164</v>
      </c>
      <c r="V28" s="91" t="s">
        <v>165</v>
      </c>
      <c r="W28" s="95" t="s">
        <v>162</v>
      </c>
      <c r="X28" s="91" t="s">
        <v>166</v>
      </c>
      <c r="Y28" s="95" t="s">
        <v>164</v>
      </c>
      <c r="Z28" s="91" t="s">
        <v>161</v>
      </c>
      <c r="AA28" s="95" t="s">
        <v>162</v>
      </c>
      <c r="AB28" s="91" t="s">
        <v>163</v>
      </c>
      <c r="AC28" s="95" t="s">
        <v>164</v>
      </c>
      <c r="AD28" s="91" t="s">
        <v>165</v>
      </c>
      <c r="AE28" s="95" t="s">
        <v>162</v>
      </c>
      <c r="AF28" s="91" t="s">
        <v>166</v>
      </c>
      <c r="AG28" s="95" t="s">
        <v>164</v>
      </c>
      <c r="AH28" s="91" t="s">
        <v>161</v>
      </c>
      <c r="AI28" s="95" t="s">
        <v>162</v>
      </c>
      <c r="AJ28" s="91" t="s">
        <v>163</v>
      </c>
      <c r="AK28" s="95" t="s">
        <v>164</v>
      </c>
      <c r="AL28" s="91" t="s">
        <v>165</v>
      </c>
      <c r="AM28" s="95" t="s">
        <v>162</v>
      </c>
      <c r="AN28" s="91" t="s">
        <v>166</v>
      </c>
      <c r="AO28" s="95" t="s">
        <v>164</v>
      </c>
      <c r="AP28" s="91" t="s">
        <v>161</v>
      </c>
      <c r="AQ28" s="95" t="s">
        <v>162</v>
      </c>
    </row>
    <row r="29" spans="1:45" x14ac:dyDescent="0.25">
      <c r="A29" s="85" t="s">
        <v>39</v>
      </c>
      <c r="B29" s="86" t="s">
        <v>0</v>
      </c>
      <c r="C29" s="68" t="s">
        <v>54</v>
      </c>
      <c r="D29" s="68" t="s">
        <v>55</v>
      </c>
      <c r="E29" s="68" t="s">
        <v>56</v>
      </c>
      <c r="F29" s="167" t="s">
        <v>57</v>
      </c>
      <c r="G29" s="243" t="s">
        <v>58</v>
      </c>
      <c r="H29" s="1"/>
      <c r="K29" s="80">
        <v>5</v>
      </c>
      <c r="L29" s="91" t="s">
        <v>163</v>
      </c>
      <c r="M29" s="95" t="s">
        <v>167</v>
      </c>
      <c r="N29" s="91" t="s">
        <v>165</v>
      </c>
      <c r="O29" s="95" t="s">
        <v>167</v>
      </c>
      <c r="P29" s="91" t="s">
        <v>166</v>
      </c>
      <c r="Q29" s="95" t="s">
        <v>167</v>
      </c>
      <c r="R29" s="91" t="s">
        <v>161</v>
      </c>
      <c r="S29" s="95" t="s">
        <v>167</v>
      </c>
      <c r="T29" s="91" t="s">
        <v>163</v>
      </c>
      <c r="U29" s="95" t="s">
        <v>169</v>
      </c>
      <c r="V29" s="91" t="s">
        <v>165</v>
      </c>
      <c r="W29" s="95" t="s">
        <v>170</v>
      </c>
      <c r="X29" s="91" t="s">
        <v>166</v>
      </c>
      <c r="Y29" s="95" t="s">
        <v>169</v>
      </c>
      <c r="Z29" s="91" t="s">
        <v>161</v>
      </c>
      <c r="AA29" s="95" t="s">
        <v>168</v>
      </c>
      <c r="AB29" s="91" t="s">
        <v>163</v>
      </c>
      <c r="AC29" s="95" t="s">
        <v>169</v>
      </c>
      <c r="AD29" s="91" t="s">
        <v>165</v>
      </c>
      <c r="AE29" s="95" t="s">
        <v>172</v>
      </c>
      <c r="AF29" s="91" t="s">
        <v>166</v>
      </c>
      <c r="AG29" s="95" t="s">
        <v>169</v>
      </c>
      <c r="AH29" s="91" t="s">
        <v>161</v>
      </c>
      <c r="AI29" s="95" t="s">
        <v>171</v>
      </c>
      <c r="AJ29" s="91" t="s">
        <v>163</v>
      </c>
      <c r="AK29" s="95" t="s">
        <v>169</v>
      </c>
      <c r="AL29" s="91" t="s">
        <v>165</v>
      </c>
      <c r="AM29" s="95" t="s">
        <v>174</v>
      </c>
      <c r="AN29" s="91" t="s">
        <v>166</v>
      </c>
      <c r="AO29" s="95" t="s">
        <v>169</v>
      </c>
      <c r="AP29" s="91" t="s">
        <v>161</v>
      </c>
      <c r="AQ29" s="95" t="s">
        <v>173</v>
      </c>
    </row>
    <row r="30" spans="1:45" x14ac:dyDescent="0.25">
      <c r="A30" s="199" t="s">
        <v>176</v>
      </c>
      <c r="B30" s="81" t="s">
        <v>177</v>
      </c>
      <c r="C30" s="81"/>
      <c r="D30" s="188"/>
      <c r="E30" s="81"/>
      <c r="F30" s="188"/>
      <c r="G30" s="81"/>
      <c r="H30" s="1"/>
      <c r="K30" s="80">
        <v>6</v>
      </c>
      <c r="L30" s="91" t="s">
        <v>165</v>
      </c>
      <c r="M30" s="95" t="s">
        <v>167</v>
      </c>
      <c r="N30" s="91" t="s">
        <v>166</v>
      </c>
      <c r="O30" s="95" t="s">
        <v>178</v>
      </c>
      <c r="P30" s="91" t="s">
        <v>161</v>
      </c>
      <c r="Q30" s="95" t="s">
        <v>167</v>
      </c>
      <c r="R30" s="91" t="s">
        <v>163</v>
      </c>
      <c r="S30" s="95" t="s">
        <v>178</v>
      </c>
      <c r="T30" s="91" t="s">
        <v>165</v>
      </c>
      <c r="U30" s="95" t="s">
        <v>179</v>
      </c>
      <c r="V30" s="91" t="s">
        <v>166</v>
      </c>
      <c r="W30" s="95" t="s">
        <v>178</v>
      </c>
      <c r="X30" s="91" t="s">
        <v>161</v>
      </c>
      <c r="Y30" s="95" t="s">
        <v>179</v>
      </c>
      <c r="Z30" s="91" t="s">
        <v>163</v>
      </c>
      <c r="AA30" s="95" t="s">
        <v>178</v>
      </c>
      <c r="AB30" s="91" t="s">
        <v>165</v>
      </c>
      <c r="AC30" s="95" t="s">
        <v>180</v>
      </c>
      <c r="AD30" s="91" t="s">
        <v>166</v>
      </c>
      <c r="AE30" s="95" t="s">
        <v>178</v>
      </c>
      <c r="AF30" s="91" t="s">
        <v>161</v>
      </c>
      <c r="AG30" s="95" t="s">
        <v>180</v>
      </c>
      <c r="AH30" s="91" t="s">
        <v>163</v>
      </c>
      <c r="AI30" s="95" t="s">
        <v>178</v>
      </c>
      <c r="AJ30" s="91" t="s">
        <v>165</v>
      </c>
      <c r="AK30" s="95" t="s">
        <v>180</v>
      </c>
      <c r="AL30" s="91" t="s">
        <v>166</v>
      </c>
      <c r="AM30" s="95" t="s">
        <v>178</v>
      </c>
      <c r="AN30" s="91" t="s">
        <v>161</v>
      </c>
      <c r="AO30" s="95" t="s">
        <v>180</v>
      </c>
      <c r="AP30" s="91" t="s">
        <v>163</v>
      </c>
      <c r="AQ30" s="95" t="s">
        <v>178</v>
      </c>
    </row>
    <row r="31" spans="1:45" x14ac:dyDescent="0.25">
      <c r="A31" s="82" t="s">
        <v>181</v>
      </c>
      <c r="B31" s="247" t="s">
        <v>182</v>
      </c>
      <c r="C31" s="247" t="s">
        <v>71</v>
      </c>
      <c r="D31" s="248">
        <v>44562</v>
      </c>
      <c r="E31" s="247">
        <v>1</v>
      </c>
      <c r="F31" s="248">
        <v>44562</v>
      </c>
      <c r="G31" s="81" t="s">
        <v>72</v>
      </c>
      <c r="H31" s="1"/>
      <c r="K31" s="80">
        <v>7</v>
      </c>
      <c r="L31" s="91" t="s">
        <v>165</v>
      </c>
      <c r="M31" s="95" t="s">
        <v>167</v>
      </c>
      <c r="N31" s="91" t="s">
        <v>166</v>
      </c>
      <c r="O31" s="105" t="s">
        <v>183</v>
      </c>
      <c r="P31" s="91" t="s">
        <v>161</v>
      </c>
      <c r="Q31" s="95" t="s">
        <v>167</v>
      </c>
      <c r="R31" s="91" t="s">
        <v>163</v>
      </c>
      <c r="S31" s="105" t="s">
        <v>183</v>
      </c>
      <c r="T31" s="91" t="s">
        <v>165</v>
      </c>
      <c r="U31" s="95" t="s">
        <v>170</v>
      </c>
      <c r="V31" s="91" t="s">
        <v>166</v>
      </c>
      <c r="W31" s="105" t="s">
        <v>183</v>
      </c>
      <c r="X31" s="91" t="s">
        <v>161</v>
      </c>
      <c r="Y31" s="95" t="s">
        <v>168</v>
      </c>
      <c r="Z31" s="91" t="s">
        <v>163</v>
      </c>
      <c r="AA31" s="105" t="s">
        <v>183</v>
      </c>
      <c r="AB31" s="91" t="s">
        <v>165</v>
      </c>
      <c r="AC31" s="95" t="s">
        <v>172</v>
      </c>
      <c r="AD31" s="91" t="s">
        <v>166</v>
      </c>
      <c r="AE31" s="105" t="s">
        <v>183</v>
      </c>
      <c r="AF31" s="91" t="s">
        <v>161</v>
      </c>
      <c r="AG31" s="95" t="s">
        <v>171</v>
      </c>
      <c r="AH31" s="91" t="s">
        <v>163</v>
      </c>
      <c r="AI31" s="105" t="s">
        <v>183</v>
      </c>
      <c r="AJ31" s="91" t="s">
        <v>165</v>
      </c>
      <c r="AK31" s="95" t="s">
        <v>174</v>
      </c>
      <c r="AL31" s="91" t="s">
        <v>166</v>
      </c>
      <c r="AM31" s="105" t="s">
        <v>183</v>
      </c>
      <c r="AN31" s="91" t="s">
        <v>161</v>
      </c>
      <c r="AO31" s="95" t="s">
        <v>173</v>
      </c>
      <c r="AP31" s="91" t="s">
        <v>163</v>
      </c>
      <c r="AQ31" s="105" t="s">
        <v>183</v>
      </c>
    </row>
    <row r="32" spans="1:45" x14ac:dyDescent="0.25">
      <c r="A32" s="82" t="s">
        <v>184</v>
      </c>
      <c r="B32" s="247" t="s">
        <v>185</v>
      </c>
      <c r="C32" s="247" t="s">
        <v>71</v>
      </c>
      <c r="D32" s="248">
        <v>44562</v>
      </c>
      <c r="E32" s="247">
        <v>1</v>
      </c>
      <c r="F32" s="248">
        <v>44562</v>
      </c>
      <c r="G32" s="81" t="s">
        <v>72</v>
      </c>
      <c r="H32" s="1"/>
      <c r="K32" s="80">
        <v>8</v>
      </c>
      <c r="L32" s="91" t="s">
        <v>166</v>
      </c>
      <c r="M32" s="95" t="s">
        <v>178</v>
      </c>
      <c r="N32" s="91" t="s">
        <v>161</v>
      </c>
      <c r="O32" s="95" t="s">
        <v>167</v>
      </c>
      <c r="P32" s="91" t="s">
        <v>163</v>
      </c>
      <c r="Q32" s="95" t="s">
        <v>178</v>
      </c>
      <c r="R32" s="91" t="s">
        <v>165</v>
      </c>
      <c r="S32" s="95" t="s">
        <v>167</v>
      </c>
      <c r="T32" s="91" t="s">
        <v>166</v>
      </c>
      <c r="U32" s="95" t="s">
        <v>178</v>
      </c>
      <c r="V32" s="91" t="s">
        <v>161</v>
      </c>
      <c r="W32" s="95" t="s">
        <v>179</v>
      </c>
      <c r="X32" s="91" t="s">
        <v>163</v>
      </c>
      <c r="Y32" s="95" t="s">
        <v>178</v>
      </c>
      <c r="Z32" s="91" t="s">
        <v>165</v>
      </c>
      <c r="AA32" s="95" t="s">
        <v>179</v>
      </c>
      <c r="AB32" s="91" t="s">
        <v>166</v>
      </c>
      <c r="AC32" s="95" t="s">
        <v>178</v>
      </c>
      <c r="AD32" s="91" t="s">
        <v>161</v>
      </c>
      <c r="AE32" s="95" t="s">
        <v>180</v>
      </c>
      <c r="AF32" s="91" t="s">
        <v>163</v>
      </c>
      <c r="AG32" s="95" t="s">
        <v>178</v>
      </c>
      <c r="AH32" s="91" t="s">
        <v>165</v>
      </c>
      <c r="AI32" s="95" t="s">
        <v>180</v>
      </c>
      <c r="AJ32" s="91" t="s">
        <v>166</v>
      </c>
      <c r="AK32" s="95" t="s">
        <v>178</v>
      </c>
      <c r="AL32" s="91" t="s">
        <v>161</v>
      </c>
      <c r="AM32" s="95" t="s">
        <v>180</v>
      </c>
      <c r="AN32" s="91" t="s">
        <v>163</v>
      </c>
      <c r="AO32" s="95" t="s">
        <v>178</v>
      </c>
      <c r="AP32" s="91" t="s">
        <v>165</v>
      </c>
      <c r="AQ32" s="95" t="s">
        <v>180</v>
      </c>
    </row>
    <row r="33" spans="1:43" x14ac:dyDescent="0.25">
      <c r="A33" s="82" t="s">
        <v>186</v>
      </c>
      <c r="B33" s="247" t="s">
        <v>187</v>
      </c>
      <c r="C33" s="247" t="s">
        <v>71</v>
      </c>
      <c r="D33" s="248">
        <v>44562</v>
      </c>
      <c r="E33" s="247">
        <v>1</v>
      </c>
      <c r="F33" s="248">
        <v>44562</v>
      </c>
      <c r="G33" s="81" t="s">
        <v>72</v>
      </c>
      <c r="H33" s="1"/>
      <c r="K33" s="80">
        <v>9</v>
      </c>
      <c r="L33" s="93" t="s">
        <v>166</v>
      </c>
      <c r="M33" s="106" t="s">
        <v>183</v>
      </c>
      <c r="N33" s="93" t="s">
        <v>161</v>
      </c>
      <c r="O33" s="92" t="s">
        <v>167</v>
      </c>
      <c r="P33" s="93" t="s">
        <v>163</v>
      </c>
      <c r="Q33" s="106" t="s">
        <v>183</v>
      </c>
      <c r="R33" s="93" t="s">
        <v>165</v>
      </c>
      <c r="S33" s="92" t="s">
        <v>167</v>
      </c>
      <c r="T33" s="93" t="s">
        <v>166</v>
      </c>
      <c r="U33" s="106" t="s">
        <v>183</v>
      </c>
      <c r="V33" s="93" t="s">
        <v>161</v>
      </c>
      <c r="W33" s="92" t="s">
        <v>168</v>
      </c>
      <c r="X33" s="93" t="s">
        <v>163</v>
      </c>
      <c r="Y33" s="106" t="s">
        <v>183</v>
      </c>
      <c r="Z33" s="93" t="s">
        <v>165</v>
      </c>
      <c r="AA33" s="92" t="s">
        <v>170</v>
      </c>
      <c r="AB33" s="93" t="s">
        <v>166</v>
      </c>
      <c r="AC33" s="106" t="s">
        <v>183</v>
      </c>
      <c r="AD33" s="93" t="s">
        <v>161</v>
      </c>
      <c r="AE33" s="92" t="s">
        <v>171</v>
      </c>
      <c r="AF33" s="93" t="s">
        <v>163</v>
      </c>
      <c r="AG33" s="106" t="s">
        <v>183</v>
      </c>
      <c r="AH33" s="93" t="s">
        <v>165</v>
      </c>
      <c r="AI33" s="92" t="s">
        <v>172</v>
      </c>
      <c r="AJ33" s="93" t="s">
        <v>166</v>
      </c>
      <c r="AK33" s="105" t="s">
        <v>183</v>
      </c>
      <c r="AL33" s="93" t="s">
        <v>161</v>
      </c>
      <c r="AM33" s="92" t="s">
        <v>173</v>
      </c>
      <c r="AN33" s="93" t="s">
        <v>163</v>
      </c>
      <c r="AO33" s="105" t="s">
        <v>183</v>
      </c>
      <c r="AP33" s="93" t="s">
        <v>165</v>
      </c>
      <c r="AQ33" s="92" t="s">
        <v>174</v>
      </c>
    </row>
    <row r="34" spans="1:43" x14ac:dyDescent="0.25">
      <c r="A34"/>
      <c r="C34" s="1"/>
      <c r="D34" s="1"/>
      <c r="E34" s="1"/>
      <c r="F34" s="1"/>
      <c r="G34" s="1"/>
      <c r="H34" s="1"/>
      <c r="K34" s="80">
        <v>10</v>
      </c>
      <c r="L34" s="90" t="s">
        <v>188</v>
      </c>
      <c r="M34" s="94" t="s">
        <v>170</v>
      </c>
      <c r="N34" s="90" t="s">
        <v>188</v>
      </c>
      <c r="O34" s="94" t="s">
        <v>170</v>
      </c>
      <c r="P34" s="90" t="s">
        <v>188</v>
      </c>
      <c r="Q34" s="94" t="s">
        <v>170</v>
      </c>
      <c r="R34" s="90" t="s">
        <v>188</v>
      </c>
      <c r="S34" s="94" t="s">
        <v>170</v>
      </c>
      <c r="T34" s="90"/>
      <c r="U34" s="173" t="s">
        <v>135</v>
      </c>
      <c r="V34" s="90"/>
      <c r="W34" s="173" t="s">
        <v>135</v>
      </c>
      <c r="X34" s="90"/>
      <c r="Y34" s="173" t="s">
        <v>135</v>
      </c>
      <c r="Z34" s="90"/>
      <c r="AA34" s="173" t="s">
        <v>135</v>
      </c>
      <c r="AB34" s="90"/>
      <c r="AC34" s="173" t="s">
        <v>135</v>
      </c>
      <c r="AD34" s="90"/>
      <c r="AE34" s="173" t="s">
        <v>135</v>
      </c>
      <c r="AF34" s="90"/>
      <c r="AG34" s="173" t="s">
        <v>135</v>
      </c>
      <c r="AH34" s="90"/>
      <c r="AI34" s="173" t="s">
        <v>135</v>
      </c>
      <c r="AJ34" s="90"/>
      <c r="AK34" s="173" t="s">
        <v>135</v>
      </c>
      <c r="AL34" s="90"/>
      <c r="AM34" s="173" t="s">
        <v>135</v>
      </c>
      <c r="AN34" s="90"/>
      <c r="AO34" s="173" t="s">
        <v>135</v>
      </c>
      <c r="AP34" s="90"/>
      <c r="AQ34" s="173" t="s">
        <v>135</v>
      </c>
    </row>
    <row r="35" spans="1:43" x14ac:dyDescent="0.25">
      <c r="A35" s="164" t="s">
        <v>189</v>
      </c>
      <c r="B35" s="68"/>
      <c r="C35" s="68"/>
      <c r="D35" s="68"/>
      <c r="E35" s="68"/>
      <c r="G35" s="1"/>
      <c r="I35" s="1"/>
      <c r="K35" s="80">
        <v>11</v>
      </c>
      <c r="L35" s="91" t="s">
        <v>190</v>
      </c>
      <c r="M35" s="95" t="s">
        <v>174</v>
      </c>
      <c r="N35" s="91" t="s">
        <v>190</v>
      </c>
      <c r="O35" s="95" t="s">
        <v>174</v>
      </c>
      <c r="P35" s="91" t="s">
        <v>190</v>
      </c>
      <c r="Q35" s="95" t="s">
        <v>174</v>
      </c>
      <c r="R35" s="91" t="s">
        <v>190</v>
      </c>
      <c r="S35" s="95" t="s">
        <v>174</v>
      </c>
      <c r="T35" s="91"/>
      <c r="U35" s="95"/>
      <c r="V35" s="91"/>
      <c r="W35" s="95"/>
      <c r="X35" s="91"/>
      <c r="Y35" s="95"/>
      <c r="Z35" s="91"/>
      <c r="AA35" s="95"/>
      <c r="AB35" s="91"/>
      <c r="AC35" s="95"/>
      <c r="AD35" s="91"/>
      <c r="AE35" s="95"/>
      <c r="AF35" s="91"/>
      <c r="AG35" s="95"/>
      <c r="AH35" s="91"/>
      <c r="AI35" s="95"/>
      <c r="AJ35" s="91"/>
      <c r="AK35" s="95"/>
      <c r="AL35" s="91"/>
      <c r="AM35" s="95"/>
      <c r="AN35" s="91"/>
      <c r="AO35" s="95"/>
      <c r="AP35" s="91"/>
      <c r="AQ35" s="95"/>
    </row>
    <row r="36" spans="1:43" ht="15.75" customHeight="1" x14ac:dyDescent="0.25">
      <c r="A36" s="85" t="s">
        <v>191</v>
      </c>
      <c r="B36" s="86" t="s">
        <v>0</v>
      </c>
      <c r="C36" s="68" t="s">
        <v>54</v>
      </c>
      <c r="D36" s="68" t="s">
        <v>55</v>
      </c>
      <c r="E36" s="68" t="s">
        <v>56</v>
      </c>
      <c r="F36" s="167" t="s">
        <v>57</v>
      </c>
      <c r="G36" s="243" t="s">
        <v>58</v>
      </c>
      <c r="I36" s="1"/>
      <c r="K36" s="80">
        <v>12</v>
      </c>
      <c r="L36" s="91" t="s">
        <v>192</v>
      </c>
      <c r="M36" s="95" t="s">
        <v>180</v>
      </c>
      <c r="N36" s="91" t="s">
        <v>192</v>
      </c>
      <c r="O36" s="95" t="s">
        <v>180</v>
      </c>
      <c r="P36" s="91" t="s">
        <v>192</v>
      </c>
      <c r="Q36" s="95" t="s">
        <v>180</v>
      </c>
      <c r="R36" s="91" t="s">
        <v>192</v>
      </c>
      <c r="S36" s="95" t="s">
        <v>180</v>
      </c>
      <c r="T36" s="91"/>
      <c r="U36" s="95"/>
      <c r="V36" s="91"/>
      <c r="W36" s="95"/>
      <c r="X36" s="91"/>
      <c r="Y36" s="95"/>
      <c r="Z36" s="91"/>
      <c r="AA36" s="95"/>
      <c r="AB36" s="91"/>
      <c r="AC36" s="95"/>
      <c r="AD36" s="91"/>
      <c r="AE36" s="95"/>
      <c r="AF36" s="91"/>
      <c r="AG36" s="95"/>
      <c r="AH36" s="91"/>
      <c r="AI36" s="95"/>
      <c r="AJ36" s="91"/>
      <c r="AK36" s="95"/>
      <c r="AL36" s="91"/>
      <c r="AM36" s="95"/>
      <c r="AN36" s="91"/>
      <c r="AO36" s="95"/>
      <c r="AP36" s="91"/>
      <c r="AQ36" s="95"/>
    </row>
    <row r="37" spans="1:43" x14ac:dyDescent="0.25">
      <c r="A37" s="199" t="s">
        <v>193</v>
      </c>
      <c r="B37" s="273" t="s">
        <v>194</v>
      </c>
      <c r="C37" s="273"/>
      <c r="D37" s="274"/>
      <c r="E37" s="273"/>
      <c r="F37" s="274"/>
      <c r="G37" s="273"/>
      <c r="I37" s="1"/>
      <c r="K37" s="80">
        <v>13</v>
      </c>
      <c r="L37" s="91" t="s">
        <v>195</v>
      </c>
      <c r="M37" s="95" t="s">
        <v>169</v>
      </c>
      <c r="N37" s="91" t="s">
        <v>195</v>
      </c>
      <c r="O37" s="95" t="s">
        <v>169</v>
      </c>
      <c r="P37" s="91" t="s">
        <v>195</v>
      </c>
      <c r="Q37" s="95" t="s">
        <v>169</v>
      </c>
      <c r="R37" s="91" t="s">
        <v>195</v>
      </c>
      <c r="S37" s="95" t="s">
        <v>169</v>
      </c>
      <c r="T37" s="91"/>
      <c r="U37" s="95"/>
      <c r="V37" s="91"/>
      <c r="W37" s="95"/>
      <c r="X37" s="91"/>
      <c r="Y37" s="95"/>
      <c r="Z37" s="91"/>
      <c r="AA37" s="95"/>
      <c r="AB37" s="91"/>
      <c r="AC37" s="95"/>
      <c r="AD37" s="91"/>
      <c r="AE37" s="95"/>
      <c r="AF37" s="91"/>
      <c r="AG37" s="95"/>
      <c r="AH37" s="91"/>
      <c r="AI37" s="95"/>
      <c r="AJ37" s="91"/>
      <c r="AK37" s="95"/>
      <c r="AL37" s="91"/>
      <c r="AM37" s="95"/>
      <c r="AN37" s="91"/>
      <c r="AO37" s="95"/>
      <c r="AP37" s="91"/>
      <c r="AQ37" s="95"/>
    </row>
    <row r="38" spans="1:43" ht="15.75" customHeight="1" x14ac:dyDescent="0.25">
      <c r="A38" s="82" t="s">
        <v>196</v>
      </c>
      <c r="B38" s="273" t="s">
        <v>197</v>
      </c>
      <c r="C38" s="273"/>
      <c r="D38" s="274"/>
      <c r="E38" s="273"/>
      <c r="F38" s="274"/>
      <c r="G38" s="273"/>
      <c r="I38" s="1"/>
      <c r="K38" s="80">
        <v>14</v>
      </c>
      <c r="L38" s="91" t="s">
        <v>198</v>
      </c>
      <c r="M38" s="95" t="s">
        <v>171</v>
      </c>
      <c r="N38" s="91" t="s">
        <v>198</v>
      </c>
      <c r="O38" s="95" t="s">
        <v>171</v>
      </c>
      <c r="P38" s="91" t="s">
        <v>198</v>
      </c>
      <c r="Q38" s="95" t="s">
        <v>171</v>
      </c>
      <c r="R38" s="91" t="s">
        <v>198</v>
      </c>
      <c r="S38" s="95" t="s">
        <v>171</v>
      </c>
      <c r="T38" s="91"/>
      <c r="U38" s="95"/>
      <c r="V38" s="91"/>
      <c r="W38" s="95"/>
      <c r="X38" s="91"/>
      <c r="Y38" s="95"/>
      <c r="Z38" s="91"/>
      <c r="AA38" s="95"/>
      <c r="AB38" s="91"/>
      <c r="AC38" s="95"/>
      <c r="AD38" s="91"/>
      <c r="AE38" s="95"/>
      <c r="AF38" s="91"/>
      <c r="AG38" s="95"/>
      <c r="AH38" s="91"/>
      <c r="AI38" s="95"/>
      <c r="AJ38" s="91"/>
      <c r="AK38" s="95"/>
      <c r="AL38" s="91"/>
      <c r="AM38" s="95"/>
      <c r="AN38" s="91"/>
      <c r="AO38" s="95"/>
      <c r="AP38" s="91"/>
      <c r="AQ38" s="95"/>
    </row>
    <row r="39" spans="1:43" ht="15.75" customHeight="1" x14ac:dyDescent="0.25">
      <c r="A39" s="82" t="s">
        <v>199</v>
      </c>
      <c r="B39" s="273" t="s">
        <v>200</v>
      </c>
      <c r="C39" s="273"/>
      <c r="D39" s="274"/>
      <c r="E39" s="273"/>
      <c r="F39" s="274"/>
      <c r="G39" s="273"/>
      <c r="I39" s="1"/>
      <c r="K39" s="80">
        <v>15</v>
      </c>
      <c r="L39" s="91" t="s">
        <v>201</v>
      </c>
      <c r="M39" s="95" t="s">
        <v>168</v>
      </c>
      <c r="N39" s="91" t="s">
        <v>201</v>
      </c>
      <c r="O39" s="95" t="s">
        <v>168</v>
      </c>
      <c r="P39" s="91" t="s">
        <v>201</v>
      </c>
      <c r="Q39" s="95" t="s">
        <v>168</v>
      </c>
      <c r="R39" s="91" t="s">
        <v>201</v>
      </c>
      <c r="S39" s="95" t="s">
        <v>168</v>
      </c>
      <c r="T39" s="91"/>
      <c r="U39" s="95"/>
      <c r="V39" s="91"/>
      <c r="W39" s="105"/>
      <c r="X39" s="91"/>
      <c r="Y39" s="95"/>
      <c r="Z39" s="91"/>
      <c r="AA39" s="95"/>
      <c r="AB39" s="91"/>
      <c r="AC39" s="95"/>
      <c r="AD39" s="91"/>
      <c r="AE39" s="105"/>
      <c r="AF39" s="91"/>
      <c r="AG39" s="95"/>
      <c r="AH39" s="91"/>
      <c r="AI39" s="105"/>
      <c r="AJ39" s="91"/>
      <c r="AK39" s="95"/>
      <c r="AL39" s="91"/>
      <c r="AM39" s="95"/>
      <c r="AN39" s="91"/>
      <c r="AO39" s="95"/>
      <c r="AP39" s="91"/>
      <c r="AQ39" s="95"/>
    </row>
    <row r="40" spans="1:43" x14ac:dyDescent="0.25">
      <c r="A40" s="82" t="s">
        <v>202</v>
      </c>
      <c r="B40" s="273" t="s">
        <v>203</v>
      </c>
      <c r="C40" s="273"/>
      <c r="D40" s="274"/>
      <c r="E40" s="273"/>
      <c r="F40" s="274"/>
      <c r="G40" s="273"/>
      <c r="I40" s="1"/>
      <c r="K40" s="80">
        <v>16</v>
      </c>
      <c r="L40" s="91" t="s">
        <v>204</v>
      </c>
      <c r="M40" s="95" t="s">
        <v>172</v>
      </c>
      <c r="N40" s="91" t="s">
        <v>204</v>
      </c>
      <c r="O40" s="95" t="s">
        <v>172</v>
      </c>
      <c r="P40" s="91" t="s">
        <v>204</v>
      </c>
      <c r="Q40" s="95" t="s">
        <v>172</v>
      </c>
      <c r="R40" s="91" t="s">
        <v>204</v>
      </c>
      <c r="S40" s="95" t="s">
        <v>172</v>
      </c>
      <c r="T40" s="91"/>
      <c r="U40" s="95"/>
      <c r="V40" s="91"/>
      <c r="W40" s="105"/>
      <c r="X40" s="91"/>
      <c r="Y40" s="95"/>
      <c r="Z40" s="91"/>
      <c r="AA40" s="95"/>
      <c r="AB40" s="91"/>
      <c r="AC40" s="95"/>
      <c r="AD40" s="91"/>
      <c r="AE40" s="105"/>
      <c r="AF40" s="91"/>
      <c r="AG40" s="95"/>
      <c r="AH40" s="91"/>
      <c r="AI40" s="105"/>
      <c r="AJ40" s="91"/>
      <c r="AK40" s="95"/>
      <c r="AL40" s="91"/>
      <c r="AM40" s="95"/>
      <c r="AN40" s="91"/>
      <c r="AO40" s="95"/>
      <c r="AP40" s="91"/>
      <c r="AQ40" s="95"/>
    </row>
    <row r="41" spans="1:43" x14ac:dyDescent="0.25">
      <c r="E41" s="169"/>
      <c r="I41" s="1"/>
      <c r="K41" s="80">
        <v>17</v>
      </c>
      <c r="L41" s="91" t="s">
        <v>205</v>
      </c>
      <c r="M41" s="95" t="s">
        <v>173</v>
      </c>
      <c r="N41" s="91" t="s">
        <v>205</v>
      </c>
      <c r="O41" s="95" t="s">
        <v>173</v>
      </c>
      <c r="P41" s="91" t="s">
        <v>205</v>
      </c>
      <c r="Q41" s="95" t="s">
        <v>173</v>
      </c>
      <c r="R41" s="91" t="s">
        <v>205</v>
      </c>
      <c r="S41" s="95" t="s">
        <v>173</v>
      </c>
      <c r="T41" s="91"/>
      <c r="U41" s="95"/>
      <c r="V41" s="91"/>
      <c r="W41" s="95"/>
      <c r="X41" s="91"/>
      <c r="Y41" s="95"/>
      <c r="Z41" s="91"/>
      <c r="AA41" s="95"/>
      <c r="AB41" s="91"/>
      <c r="AC41" s="95"/>
      <c r="AD41" s="91"/>
      <c r="AE41" s="95"/>
      <c r="AF41" s="91"/>
      <c r="AG41" s="95"/>
      <c r="AH41" s="91"/>
      <c r="AI41" s="95"/>
      <c r="AJ41" s="91"/>
      <c r="AK41" s="95"/>
      <c r="AL41" s="91"/>
      <c r="AM41" s="95"/>
      <c r="AN41" s="91"/>
      <c r="AO41" s="95"/>
      <c r="AP41" s="91"/>
      <c r="AQ41" s="95"/>
    </row>
    <row r="42" spans="1:43" x14ac:dyDescent="0.25">
      <c r="C42"/>
      <c r="D42"/>
      <c r="E42"/>
      <c r="F42" s="1"/>
      <c r="G42" s="1"/>
      <c r="H42" s="1"/>
      <c r="I42" s="1"/>
      <c r="K42" s="80">
        <v>18</v>
      </c>
      <c r="L42" s="93" t="s">
        <v>206</v>
      </c>
      <c r="M42" s="106" t="s">
        <v>179</v>
      </c>
      <c r="N42" s="93" t="s">
        <v>206</v>
      </c>
      <c r="O42" s="106" t="s">
        <v>179</v>
      </c>
      <c r="P42" s="93" t="s">
        <v>206</v>
      </c>
      <c r="Q42" s="106" t="s">
        <v>179</v>
      </c>
      <c r="R42" s="93" t="s">
        <v>206</v>
      </c>
      <c r="S42" s="106" t="s">
        <v>179</v>
      </c>
      <c r="T42" s="93"/>
      <c r="U42" s="106"/>
      <c r="V42" s="93"/>
      <c r="W42" s="92"/>
      <c r="X42" s="93"/>
      <c r="Y42" s="106"/>
      <c r="Z42" s="93"/>
      <c r="AA42" s="92"/>
      <c r="AB42" s="93"/>
      <c r="AC42" s="106"/>
      <c r="AD42" s="93"/>
      <c r="AE42" s="92"/>
      <c r="AF42" s="93"/>
      <c r="AG42" s="106"/>
      <c r="AH42" s="93"/>
      <c r="AI42" s="92"/>
      <c r="AJ42" s="93"/>
      <c r="AK42" s="92"/>
      <c r="AL42" s="93"/>
      <c r="AM42" s="92"/>
      <c r="AN42" s="93"/>
      <c r="AO42" s="92"/>
      <c r="AP42" s="93"/>
      <c r="AQ42" s="92"/>
    </row>
    <row r="43" spans="1:43" x14ac:dyDescent="0.25">
      <c r="A43" s="164" t="s">
        <v>207</v>
      </c>
      <c r="F43" s="1"/>
      <c r="G43" s="1"/>
      <c r="H43" s="1"/>
      <c r="I43" s="1"/>
      <c r="J43"/>
      <c r="K43"/>
      <c r="M43"/>
      <c r="N43"/>
      <c r="O43"/>
      <c r="P43"/>
      <c r="Q43"/>
      <c r="R43"/>
      <c r="S43"/>
    </row>
    <row r="44" spans="1:43" x14ac:dyDescent="0.25">
      <c r="A44" s="85" t="s">
        <v>17</v>
      </c>
      <c r="B44" s="168" t="s">
        <v>208</v>
      </c>
      <c r="C44" s="167" t="s">
        <v>209</v>
      </c>
      <c r="D44" s="167" t="s">
        <v>210</v>
      </c>
      <c r="E44" s="167" t="s">
        <v>211</v>
      </c>
      <c r="F44" s="1"/>
      <c r="G44" s="1"/>
      <c r="H44" s="1"/>
      <c r="I44" s="1"/>
      <c r="J44"/>
      <c r="K44"/>
    </row>
    <row r="45" spans="1:43" x14ac:dyDescent="0.25">
      <c r="A45" s="68" t="s">
        <v>212</v>
      </c>
      <c r="B45" s="167" t="s">
        <v>25</v>
      </c>
      <c r="C45" s="167" t="s">
        <v>26</v>
      </c>
      <c r="D45" s="167" t="s">
        <v>27</v>
      </c>
      <c r="E45" s="167" t="s">
        <v>28</v>
      </c>
      <c r="F45" s="1"/>
      <c r="G45" s="1"/>
      <c r="H45" s="1"/>
      <c r="I45" s="1"/>
      <c r="J45" s="165" t="s">
        <v>213</v>
      </c>
      <c r="K45" s="77">
        <v>1</v>
      </c>
      <c r="L45" s="171"/>
      <c r="M45" s="172" t="s">
        <v>214</v>
      </c>
      <c r="N45" s="171"/>
      <c r="O45" s="172" t="s">
        <v>215</v>
      </c>
      <c r="P45" s="171"/>
      <c r="Q45" s="172" t="s">
        <v>216</v>
      </c>
      <c r="R45" s="171"/>
      <c r="S45" s="172" t="s">
        <v>217</v>
      </c>
      <c r="T45" s="171"/>
      <c r="U45" s="172" t="s">
        <v>218</v>
      </c>
      <c r="V45" s="171"/>
      <c r="W45" s="172" t="s">
        <v>219</v>
      </c>
      <c r="X45" s="171"/>
      <c r="Y45" s="172" t="s">
        <v>220</v>
      </c>
      <c r="Z45" s="171"/>
      <c r="AA45" s="172" t="s">
        <v>221</v>
      </c>
      <c r="AB45"/>
      <c r="AC45"/>
    </row>
    <row r="46" spans="1:43" x14ac:dyDescent="0.25">
      <c r="A46" s="68" t="s">
        <v>222</v>
      </c>
      <c r="B46" s="167" t="s">
        <v>26</v>
      </c>
      <c r="C46" s="167" t="s">
        <v>27</v>
      </c>
      <c r="D46" s="167" t="s">
        <v>28</v>
      </c>
      <c r="E46" s="167" t="s">
        <v>25</v>
      </c>
      <c r="F46" s="1"/>
      <c r="G46" s="1"/>
      <c r="H46" s="1"/>
      <c r="I46" s="1"/>
      <c r="K46" s="80">
        <v>2</v>
      </c>
      <c r="L46" s="90" t="s">
        <v>161</v>
      </c>
      <c r="M46" s="94" t="s">
        <v>223</v>
      </c>
      <c r="N46" s="90" t="s">
        <v>163</v>
      </c>
      <c r="O46" s="94" t="s">
        <v>224</v>
      </c>
      <c r="P46" s="90" t="s">
        <v>165</v>
      </c>
      <c r="Q46" s="184" t="str">
        <f>M46</f>
        <v>EDUC5024</v>
      </c>
      <c r="R46" s="90" t="s">
        <v>166</v>
      </c>
      <c r="S46" s="184" t="str">
        <f>O46</f>
        <v>EDUC5020</v>
      </c>
      <c r="T46" s="90" t="s">
        <v>161</v>
      </c>
      <c r="U46" s="94" t="s">
        <v>225</v>
      </c>
      <c r="V46" s="90" t="s">
        <v>163</v>
      </c>
      <c r="W46" s="94" t="s">
        <v>226</v>
      </c>
      <c r="X46" s="90" t="s">
        <v>165</v>
      </c>
      <c r="Y46" s="94" t="s">
        <v>225</v>
      </c>
      <c r="Z46" s="90" t="s">
        <v>166</v>
      </c>
      <c r="AA46" s="94" t="s">
        <v>226</v>
      </c>
      <c r="AB46"/>
      <c r="AC46"/>
    </row>
    <row r="47" spans="1:43" x14ac:dyDescent="0.25">
      <c r="A47" s="68" t="s">
        <v>227</v>
      </c>
      <c r="B47" s="167" t="s">
        <v>27</v>
      </c>
      <c r="C47" s="167" t="s">
        <v>28</v>
      </c>
      <c r="D47" s="167" t="s">
        <v>25</v>
      </c>
      <c r="E47" s="167" t="s">
        <v>26</v>
      </c>
      <c r="F47" s="1"/>
      <c r="G47" s="1"/>
      <c r="H47" s="1"/>
      <c r="I47" s="1"/>
      <c r="K47" s="80">
        <v>3</v>
      </c>
      <c r="L47" s="91" t="s">
        <v>161</v>
      </c>
      <c r="M47" s="95" t="s">
        <v>228</v>
      </c>
      <c r="N47" s="91" t="s">
        <v>163</v>
      </c>
      <c r="O47" s="95" t="s">
        <v>229</v>
      </c>
      <c r="P47" s="91" t="s">
        <v>165</v>
      </c>
      <c r="Q47" s="182" t="str">
        <f t="shared" ref="Q47:S49" si="0">M47</f>
        <v>AC-TESOL</v>
      </c>
      <c r="R47" s="91" t="s">
        <v>166</v>
      </c>
      <c r="S47" s="182" t="str">
        <f t="shared" si="0"/>
        <v>EDUC5026</v>
      </c>
      <c r="T47" s="91" t="s">
        <v>161</v>
      </c>
      <c r="U47" s="95" t="s">
        <v>230</v>
      </c>
      <c r="V47" s="91" t="s">
        <v>163</v>
      </c>
      <c r="W47" s="95" t="s">
        <v>231</v>
      </c>
      <c r="X47" s="91" t="s">
        <v>165</v>
      </c>
      <c r="Y47" s="95" t="s">
        <v>170</v>
      </c>
      <c r="Z47" s="91" t="s">
        <v>166</v>
      </c>
      <c r="AA47" s="95" t="s">
        <v>231</v>
      </c>
      <c r="AB47"/>
      <c r="AC47"/>
    </row>
    <row r="48" spans="1:43" x14ac:dyDescent="0.25">
      <c r="A48" s="68" t="s">
        <v>232</v>
      </c>
      <c r="B48" s="167" t="s">
        <v>28</v>
      </c>
      <c r="C48" s="167" t="s">
        <v>25</v>
      </c>
      <c r="D48" s="167" t="s">
        <v>26</v>
      </c>
      <c r="E48" s="167" t="s">
        <v>27</v>
      </c>
      <c r="F48" s="1"/>
      <c r="G48" s="1"/>
      <c r="H48" s="1"/>
      <c r="I48" s="1"/>
      <c r="K48" s="80">
        <v>4</v>
      </c>
      <c r="L48" s="91" t="s">
        <v>163</v>
      </c>
      <c r="M48" s="95" t="s">
        <v>224</v>
      </c>
      <c r="N48" s="91" t="s">
        <v>165</v>
      </c>
      <c r="O48" s="95" t="s">
        <v>223</v>
      </c>
      <c r="P48" s="91" t="s">
        <v>166</v>
      </c>
      <c r="Q48" s="182" t="str">
        <f t="shared" si="0"/>
        <v>EDUC5020</v>
      </c>
      <c r="R48" s="91" t="s">
        <v>161</v>
      </c>
      <c r="S48" s="182" t="str">
        <f t="shared" si="0"/>
        <v>EDUC5024</v>
      </c>
      <c r="T48" s="91" t="s">
        <v>163</v>
      </c>
      <c r="U48" s="95" t="s">
        <v>226</v>
      </c>
      <c r="V48" s="91" t="s">
        <v>165</v>
      </c>
      <c r="W48" s="95" t="s">
        <v>225</v>
      </c>
      <c r="X48" s="91" t="s">
        <v>166</v>
      </c>
      <c r="Y48" s="95" t="s">
        <v>226</v>
      </c>
      <c r="Z48" s="91" t="s">
        <v>161</v>
      </c>
      <c r="AA48" s="95" t="s">
        <v>225</v>
      </c>
      <c r="AB48"/>
      <c r="AC48"/>
    </row>
    <row r="49" spans="1:29" x14ac:dyDescent="0.25">
      <c r="C49" s="1"/>
      <c r="D49" s="1"/>
      <c r="E49" s="1"/>
      <c r="F49" s="1"/>
      <c r="G49" s="1"/>
      <c r="H49" s="1"/>
      <c r="I49" s="1"/>
      <c r="K49" s="80">
        <v>5</v>
      </c>
      <c r="L49" s="91" t="s">
        <v>163</v>
      </c>
      <c r="M49" s="95" t="s">
        <v>229</v>
      </c>
      <c r="N49" s="91" t="s">
        <v>165</v>
      </c>
      <c r="O49" s="95" t="s">
        <v>228</v>
      </c>
      <c r="P49" s="91" t="s">
        <v>166</v>
      </c>
      <c r="Q49" s="182" t="str">
        <f t="shared" si="0"/>
        <v>EDUC5026</v>
      </c>
      <c r="R49" s="91" t="s">
        <v>161</v>
      </c>
      <c r="S49" s="182" t="str">
        <f t="shared" si="0"/>
        <v>AC-TESOL</v>
      </c>
      <c r="T49" s="91" t="s">
        <v>163</v>
      </c>
      <c r="U49" s="95" t="s">
        <v>231</v>
      </c>
      <c r="V49" s="91" t="s">
        <v>165</v>
      </c>
      <c r="W49" s="95" t="s">
        <v>170</v>
      </c>
      <c r="X49" s="91" t="s">
        <v>166</v>
      </c>
      <c r="Y49" s="95" t="s">
        <v>231</v>
      </c>
      <c r="Z49" s="91" t="s">
        <v>161</v>
      </c>
      <c r="AA49" s="95" t="s">
        <v>230</v>
      </c>
      <c r="AB49"/>
      <c r="AC49"/>
    </row>
    <row r="50" spans="1:29" x14ac:dyDescent="0.25">
      <c r="C50" s="1"/>
      <c r="D50" s="1"/>
      <c r="E50" s="1"/>
      <c r="F50" s="1"/>
      <c r="G50" s="1"/>
      <c r="H50" s="1"/>
      <c r="I50" s="1"/>
      <c r="K50" s="80">
        <v>6</v>
      </c>
      <c r="L50" s="91" t="s">
        <v>165</v>
      </c>
      <c r="M50" s="95"/>
      <c r="N50" s="91" t="s">
        <v>166</v>
      </c>
      <c r="O50" s="95"/>
      <c r="P50" s="91" t="s">
        <v>161</v>
      </c>
      <c r="Q50" s="95"/>
      <c r="R50" s="91" t="s">
        <v>163</v>
      </c>
      <c r="S50" s="95"/>
      <c r="T50" s="91" t="s">
        <v>165</v>
      </c>
      <c r="U50" s="95" t="s">
        <v>179</v>
      </c>
      <c r="V50" s="91" t="s">
        <v>166</v>
      </c>
      <c r="W50" s="95" t="s">
        <v>178</v>
      </c>
      <c r="X50" s="91" t="s">
        <v>161</v>
      </c>
      <c r="Y50" s="95" t="s">
        <v>230</v>
      </c>
      <c r="Z50" s="91" t="s">
        <v>163</v>
      </c>
      <c r="AA50" s="95" t="s">
        <v>178</v>
      </c>
      <c r="AB50"/>
      <c r="AC50"/>
    </row>
    <row r="51" spans="1:29" x14ac:dyDescent="0.25">
      <c r="A51"/>
      <c r="B51" s="1"/>
      <c r="C51" s="1"/>
      <c r="D51" s="1"/>
      <c r="E51" s="1"/>
      <c r="F51" s="1"/>
      <c r="G51" s="1"/>
      <c r="H51" s="1"/>
      <c r="I51" s="1"/>
      <c r="K51" s="80">
        <v>7</v>
      </c>
      <c r="L51" s="91" t="s">
        <v>165</v>
      </c>
      <c r="M51" s="95"/>
      <c r="N51" s="91" t="s">
        <v>166</v>
      </c>
      <c r="O51" s="105"/>
      <c r="P51" s="91" t="s">
        <v>161</v>
      </c>
      <c r="Q51" s="95"/>
      <c r="R51" s="91" t="s">
        <v>163</v>
      </c>
      <c r="S51" s="105"/>
      <c r="T51" s="91" t="s">
        <v>165</v>
      </c>
      <c r="U51" s="95" t="s">
        <v>170</v>
      </c>
      <c r="V51" s="91" t="s">
        <v>166</v>
      </c>
      <c r="W51" s="105" t="s">
        <v>183</v>
      </c>
      <c r="X51" s="91" t="s">
        <v>161</v>
      </c>
      <c r="Y51" s="95" t="s">
        <v>179</v>
      </c>
      <c r="Z51" s="91" t="s">
        <v>163</v>
      </c>
      <c r="AA51" s="105" t="s">
        <v>183</v>
      </c>
      <c r="AB51"/>
      <c r="AC51"/>
    </row>
    <row r="52" spans="1:29" x14ac:dyDescent="0.25">
      <c r="A52" s="71" t="s">
        <v>233</v>
      </c>
      <c r="B52" s="201">
        <v>45552</v>
      </c>
      <c r="G52" s="1"/>
      <c r="H52" s="1"/>
      <c r="I52" s="1"/>
      <c r="K52" s="80">
        <v>8</v>
      </c>
      <c r="L52" s="91" t="s">
        <v>166</v>
      </c>
      <c r="M52" s="95"/>
      <c r="N52" s="91" t="s">
        <v>161</v>
      </c>
      <c r="O52" s="95"/>
      <c r="P52" s="91" t="s">
        <v>163</v>
      </c>
      <c r="Q52" s="95"/>
      <c r="R52" s="91" t="s">
        <v>165</v>
      </c>
      <c r="S52" s="95"/>
      <c r="T52" s="91" t="s">
        <v>166</v>
      </c>
      <c r="U52" s="95" t="s">
        <v>178</v>
      </c>
      <c r="V52" s="91" t="s">
        <v>161</v>
      </c>
      <c r="W52" s="95" t="s">
        <v>230</v>
      </c>
      <c r="X52" s="91" t="s">
        <v>163</v>
      </c>
      <c r="Y52" s="95" t="s">
        <v>178</v>
      </c>
      <c r="Z52" s="91" t="s">
        <v>165</v>
      </c>
      <c r="AA52" s="95" t="s">
        <v>170</v>
      </c>
      <c r="AB52"/>
      <c r="AC52"/>
    </row>
    <row r="53" spans="1:29" x14ac:dyDescent="0.25">
      <c r="A53" s="71" t="s">
        <v>234</v>
      </c>
      <c r="B53" s="201">
        <v>45552</v>
      </c>
      <c r="H53" s="1"/>
      <c r="I53" s="1"/>
      <c r="K53" s="80">
        <v>9</v>
      </c>
      <c r="L53" s="93" t="s">
        <v>166</v>
      </c>
      <c r="M53" s="106"/>
      <c r="N53" s="93" t="s">
        <v>161</v>
      </c>
      <c r="O53" s="92"/>
      <c r="P53" s="93" t="s">
        <v>163</v>
      </c>
      <c r="Q53" s="106"/>
      <c r="R53" s="93" t="s">
        <v>165</v>
      </c>
      <c r="S53" s="92"/>
      <c r="T53" s="93" t="s">
        <v>166</v>
      </c>
      <c r="U53" s="106" t="s">
        <v>183</v>
      </c>
      <c r="V53" s="93" t="s">
        <v>161</v>
      </c>
      <c r="W53" s="92" t="s">
        <v>179</v>
      </c>
      <c r="X53" s="93" t="s">
        <v>163</v>
      </c>
      <c r="Y53" s="106" t="s">
        <v>183</v>
      </c>
      <c r="Z53" s="93" t="s">
        <v>165</v>
      </c>
      <c r="AA53" s="92" t="s">
        <v>179</v>
      </c>
      <c r="AB53"/>
      <c r="AC53"/>
    </row>
    <row r="54" spans="1:29" x14ac:dyDescent="0.25">
      <c r="A54" s="71" t="s">
        <v>235</v>
      </c>
      <c r="B54" s="201">
        <v>45552</v>
      </c>
      <c r="H54" s="1"/>
      <c r="I54" s="1"/>
      <c r="K54" s="80">
        <v>10</v>
      </c>
      <c r="L54" s="91" t="s">
        <v>236</v>
      </c>
      <c r="M54" s="95" t="s">
        <v>228</v>
      </c>
      <c r="N54" s="91" t="s">
        <v>166</v>
      </c>
      <c r="O54" s="182" t="str">
        <f>M54</f>
        <v>AC-TESOL</v>
      </c>
      <c r="P54" s="91" t="s">
        <v>161</v>
      </c>
      <c r="Q54" s="182" t="str">
        <f>O54</f>
        <v>AC-TESOL</v>
      </c>
      <c r="R54" s="91" t="s">
        <v>163</v>
      </c>
      <c r="S54" s="182" t="str">
        <f>Q54</f>
        <v>AC-TESOL</v>
      </c>
      <c r="T54" s="91"/>
      <c r="U54" s="105"/>
      <c r="V54" s="91"/>
      <c r="W54" s="105"/>
      <c r="X54" s="91"/>
      <c r="Y54" s="105"/>
      <c r="Z54" s="91"/>
      <c r="AA54" s="105"/>
    </row>
    <row r="55" spans="1:29" x14ac:dyDescent="0.25">
      <c r="A55" s="71" t="s">
        <v>237</v>
      </c>
      <c r="B55" s="201">
        <v>45552</v>
      </c>
      <c r="H55" s="1"/>
      <c r="I55" s="1"/>
      <c r="K55" s="80">
        <v>11</v>
      </c>
      <c r="L55" s="91" t="s">
        <v>238</v>
      </c>
      <c r="M55" s="95" t="s">
        <v>239</v>
      </c>
      <c r="N55" s="91" t="s">
        <v>161</v>
      </c>
      <c r="O55" s="182" t="str">
        <f t="shared" ref="O55:S56" si="1">M55</f>
        <v>EDUC5022</v>
      </c>
      <c r="P55" s="91" t="s">
        <v>163</v>
      </c>
      <c r="Q55" s="182" t="str">
        <f t="shared" si="1"/>
        <v>EDUC5022</v>
      </c>
      <c r="R55" s="91" t="s">
        <v>165</v>
      </c>
      <c r="S55" s="182" t="str">
        <f t="shared" si="1"/>
        <v>EDUC5022</v>
      </c>
      <c r="T55" s="91"/>
      <c r="U55" s="95"/>
      <c r="V55" s="91"/>
      <c r="W55" s="95"/>
      <c r="X55" s="91"/>
      <c r="Y55" s="95"/>
      <c r="Z55" s="91"/>
      <c r="AA55" s="95"/>
    </row>
    <row r="56" spans="1:29" x14ac:dyDescent="0.25">
      <c r="A56" s="71" t="s">
        <v>240</v>
      </c>
      <c r="B56" s="201">
        <v>45622</v>
      </c>
      <c r="I56" s="1"/>
      <c r="K56" s="80">
        <v>12</v>
      </c>
      <c r="L56" s="93" t="s">
        <v>241</v>
      </c>
      <c r="M56" s="106" t="s">
        <v>242</v>
      </c>
      <c r="N56" s="93" t="s">
        <v>161</v>
      </c>
      <c r="O56" s="183" t="str">
        <f t="shared" si="1"/>
        <v>EDUC5029</v>
      </c>
      <c r="P56" s="93" t="s">
        <v>163</v>
      </c>
      <c r="Q56" s="183" t="str">
        <f t="shared" si="1"/>
        <v>EDUC5029</v>
      </c>
      <c r="R56" s="93" t="s">
        <v>165</v>
      </c>
      <c r="S56" s="183" t="str">
        <f t="shared" si="1"/>
        <v>EDUC5029</v>
      </c>
      <c r="T56" s="93"/>
      <c r="U56" s="106"/>
      <c r="V56" s="93"/>
      <c r="W56" s="92"/>
      <c r="X56" s="93"/>
      <c r="Y56" s="106"/>
      <c r="Z56" s="93"/>
      <c r="AA56" s="92"/>
    </row>
    <row r="57" spans="1:29" x14ac:dyDescent="0.25">
      <c r="A57" s="71" t="s">
        <v>243</v>
      </c>
      <c r="B57" s="201">
        <v>45572</v>
      </c>
      <c r="I57" s="1"/>
    </row>
    <row r="58" spans="1:29" x14ac:dyDescent="0.25">
      <c r="A58" s="71" t="s">
        <v>244</v>
      </c>
      <c r="B58" s="201">
        <v>45572</v>
      </c>
      <c r="I58" s="1"/>
    </row>
    <row r="59" spans="1:29" x14ac:dyDescent="0.25">
      <c r="A59" s="71" t="s">
        <v>245</v>
      </c>
      <c r="B59" s="201">
        <v>45572</v>
      </c>
      <c r="I59" s="1"/>
      <c r="J59" s="165" t="s">
        <v>246</v>
      </c>
      <c r="K59" s="77">
        <v>1</v>
      </c>
      <c r="L59" s="171"/>
      <c r="M59" s="172" t="s">
        <v>247</v>
      </c>
      <c r="N59" s="171"/>
      <c r="O59" s="172" t="s">
        <v>248</v>
      </c>
      <c r="P59" s="171"/>
      <c r="Q59" s="172" t="s">
        <v>249</v>
      </c>
      <c r="R59" s="171"/>
      <c r="S59" s="172" t="s">
        <v>250</v>
      </c>
    </row>
    <row r="60" spans="1:29" x14ac:dyDescent="0.25">
      <c r="A60" s="71" t="s">
        <v>251</v>
      </c>
      <c r="B60" s="201">
        <v>45572</v>
      </c>
      <c r="I60" s="1"/>
      <c r="K60" s="80">
        <v>2</v>
      </c>
      <c r="L60" s="90" t="s">
        <v>161</v>
      </c>
      <c r="M60" s="94" t="s">
        <v>252</v>
      </c>
      <c r="N60" s="90" t="s">
        <v>163</v>
      </c>
      <c r="O60" s="94" t="s">
        <v>253</v>
      </c>
      <c r="P60" s="90" t="s">
        <v>165</v>
      </c>
      <c r="Q60" s="184" t="str">
        <f>M60</f>
        <v>EDHE5001</v>
      </c>
      <c r="R60" s="90" t="s">
        <v>166</v>
      </c>
      <c r="S60" s="184" t="str">
        <f>O60</f>
        <v>EDHE5002</v>
      </c>
    </row>
    <row r="61" spans="1:29" x14ac:dyDescent="0.25">
      <c r="A61" s="71" t="s">
        <v>627</v>
      </c>
      <c r="B61" s="277">
        <v>45622</v>
      </c>
      <c r="I61" s="1"/>
      <c r="K61" s="80">
        <v>3</v>
      </c>
      <c r="L61" s="91" t="s">
        <v>161</v>
      </c>
      <c r="M61" s="95" t="s">
        <v>254</v>
      </c>
      <c r="N61" s="91" t="s">
        <v>163</v>
      </c>
      <c r="O61" s="95" t="s">
        <v>255</v>
      </c>
      <c r="P61" s="91" t="s">
        <v>165</v>
      </c>
      <c r="Q61" s="182" t="str">
        <f t="shared" ref="Q61:Q63" si="2">M61</f>
        <v>EDHE5004</v>
      </c>
      <c r="R61" s="91" t="s">
        <v>166</v>
      </c>
      <c r="S61" s="182" t="str">
        <f t="shared" ref="S61:S63" si="3">O61</f>
        <v>EDHE5005</v>
      </c>
    </row>
    <row r="62" spans="1:29" x14ac:dyDescent="0.25">
      <c r="K62" s="80">
        <v>4</v>
      </c>
      <c r="L62" s="91" t="s">
        <v>163</v>
      </c>
      <c r="M62" s="95" t="s">
        <v>253</v>
      </c>
      <c r="N62" s="91" t="s">
        <v>165</v>
      </c>
      <c r="O62" s="95" t="s">
        <v>252</v>
      </c>
      <c r="P62" s="91" t="s">
        <v>166</v>
      </c>
      <c r="Q62" s="182" t="str">
        <f t="shared" si="2"/>
        <v>EDHE5002</v>
      </c>
      <c r="R62" s="91" t="s">
        <v>161</v>
      </c>
      <c r="S62" s="182" t="str">
        <f t="shared" si="3"/>
        <v>EDHE5001</v>
      </c>
    </row>
    <row r="63" spans="1:29" x14ac:dyDescent="0.25">
      <c r="K63" s="80">
        <v>5</v>
      </c>
      <c r="L63" s="93" t="s">
        <v>163</v>
      </c>
      <c r="M63" s="106" t="s">
        <v>255</v>
      </c>
      <c r="N63" s="93" t="s">
        <v>165</v>
      </c>
      <c r="O63" s="106" t="s">
        <v>254</v>
      </c>
      <c r="P63" s="93" t="s">
        <v>166</v>
      </c>
      <c r="Q63" s="212" t="str">
        <f t="shared" si="2"/>
        <v>EDHE5005</v>
      </c>
      <c r="R63" s="93" t="s">
        <v>161</v>
      </c>
      <c r="S63" s="212" t="str">
        <f t="shared" si="3"/>
        <v>EDHE5004</v>
      </c>
    </row>
    <row r="66" spans="10:19" x14ac:dyDescent="0.25">
      <c r="J66" s="165" t="s">
        <v>256</v>
      </c>
      <c r="K66" s="77">
        <v>1</v>
      </c>
      <c r="L66" s="79"/>
      <c r="M66" s="78" t="s">
        <v>257</v>
      </c>
      <c r="N66" s="79"/>
      <c r="O66" s="78" t="s">
        <v>258</v>
      </c>
      <c r="P66" s="79"/>
      <c r="Q66" s="78" t="s">
        <v>259</v>
      </c>
      <c r="R66" s="79"/>
      <c r="S66" s="78" t="s">
        <v>260</v>
      </c>
    </row>
    <row r="67" spans="10:19" x14ac:dyDescent="0.25">
      <c r="K67" s="80">
        <v>2</v>
      </c>
      <c r="L67" s="90" t="s">
        <v>161</v>
      </c>
      <c r="M67" s="94" t="s">
        <v>167</v>
      </c>
      <c r="N67" s="90" t="s">
        <v>163</v>
      </c>
      <c r="O67" s="94" t="s">
        <v>167</v>
      </c>
      <c r="P67" s="90" t="s">
        <v>165</v>
      </c>
      <c r="Q67" s="94" t="s">
        <v>167</v>
      </c>
      <c r="R67" s="90" t="s">
        <v>166</v>
      </c>
      <c r="S67" s="94" t="s">
        <v>167</v>
      </c>
    </row>
    <row r="68" spans="10:19" x14ac:dyDescent="0.25">
      <c r="K68" s="80">
        <v>3</v>
      </c>
      <c r="L68" s="91" t="s">
        <v>161</v>
      </c>
      <c r="M68" s="95" t="s">
        <v>167</v>
      </c>
      <c r="N68" s="91" t="s">
        <v>163</v>
      </c>
      <c r="O68" s="95" t="s">
        <v>167</v>
      </c>
      <c r="P68" s="91" t="s">
        <v>165</v>
      </c>
      <c r="Q68" s="95" t="s">
        <v>167</v>
      </c>
      <c r="R68" s="91" t="s">
        <v>166</v>
      </c>
      <c r="S68" s="95" t="s">
        <v>167</v>
      </c>
    </row>
    <row r="69" spans="10:19" x14ac:dyDescent="0.25">
      <c r="K69" s="80">
        <v>4</v>
      </c>
      <c r="L69" s="91" t="s">
        <v>163</v>
      </c>
      <c r="M69" s="95" t="s">
        <v>167</v>
      </c>
      <c r="N69" s="91" t="s">
        <v>165</v>
      </c>
      <c r="O69" s="95" t="s">
        <v>167</v>
      </c>
      <c r="P69" s="91" t="s">
        <v>166</v>
      </c>
      <c r="Q69" s="95" t="s">
        <v>167</v>
      </c>
      <c r="R69" s="91" t="s">
        <v>161</v>
      </c>
      <c r="S69" s="95" t="s">
        <v>167</v>
      </c>
    </row>
    <row r="70" spans="10:19" x14ac:dyDescent="0.25">
      <c r="K70" s="80">
        <v>5</v>
      </c>
      <c r="L70" s="93" t="s">
        <v>163</v>
      </c>
      <c r="M70" s="92" t="s">
        <v>167</v>
      </c>
      <c r="N70" s="93" t="s">
        <v>165</v>
      </c>
      <c r="O70" s="92" t="s">
        <v>167</v>
      </c>
      <c r="P70" s="93" t="s">
        <v>166</v>
      </c>
      <c r="Q70" s="92" t="s">
        <v>167</v>
      </c>
      <c r="R70" s="93" t="s">
        <v>161</v>
      </c>
      <c r="S70" s="92" t="s">
        <v>167</v>
      </c>
    </row>
    <row r="71" spans="10:19" x14ac:dyDescent="0.25">
      <c r="K71" s="80">
        <v>6</v>
      </c>
      <c r="L71" s="90" t="s">
        <v>261</v>
      </c>
      <c r="M71" s="94" t="s">
        <v>262</v>
      </c>
      <c r="N71" s="90" t="s">
        <v>261</v>
      </c>
      <c r="O71" s="94" t="s">
        <v>262</v>
      </c>
      <c r="P71" s="90" t="s">
        <v>261</v>
      </c>
      <c r="Q71" s="94" t="s">
        <v>262</v>
      </c>
      <c r="R71" s="90" t="s">
        <v>261</v>
      </c>
      <c r="S71" s="94" t="s">
        <v>262</v>
      </c>
    </row>
    <row r="72" spans="10:19" x14ac:dyDescent="0.25">
      <c r="K72" s="80">
        <v>7</v>
      </c>
      <c r="L72" s="91"/>
      <c r="M72" s="95" t="s">
        <v>75</v>
      </c>
      <c r="N72" s="91"/>
      <c r="O72" s="95" t="s">
        <v>75</v>
      </c>
      <c r="P72" s="91"/>
      <c r="Q72" s="95" t="s">
        <v>75</v>
      </c>
      <c r="R72" s="91"/>
      <c r="S72" s="95" t="s">
        <v>75</v>
      </c>
    </row>
    <row r="73" spans="10:19" x14ac:dyDescent="0.25">
      <c r="K73" s="80">
        <v>8</v>
      </c>
      <c r="L73" s="91"/>
      <c r="M73" s="105" t="s">
        <v>80</v>
      </c>
      <c r="N73" s="91"/>
      <c r="O73" s="95" t="s">
        <v>80</v>
      </c>
      <c r="P73" s="91"/>
      <c r="Q73" s="95" t="s">
        <v>80</v>
      </c>
      <c r="R73" s="91"/>
      <c r="S73" s="95" t="s">
        <v>80</v>
      </c>
    </row>
    <row r="74" spans="10:19" x14ac:dyDescent="0.25">
      <c r="K74" s="80">
        <v>9</v>
      </c>
      <c r="L74" s="91"/>
      <c r="M74" s="95" t="s">
        <v>96</v>
      </c>
      <c r="N74" s="91"/>
      <c r="O74" s="105" t="s">
        <v>96</v>
      </c>
      <c r="P74" s="91"/>
      <c r="Q74" s="105" t="s">
        <v>96</v>
      </c>
      <c r="R74" s="91"/>
      <c r="S74" s="105" t="s">
        <v>96</v>
      </c>
    </row>
    <row r="75" spans="10:19" x14ac:dyDescent="0.25">
      <c r="K75" s="80">
        <v>10</v>
      </c>
      <c r="L75" s="91"/>
      <c r="M75" s="105" t="s">
        <v>95</v>
      </c>
      <c r="N75" s="91"/>
      <c r="O75" s="105" t="s">
        <v>95</v>
      </c>
      <c r="P75" s="91"/>
      <c r="Q75" s="105" t="s">
        <v>95</v>
      </c>
      <c r="R75" s="91"/>
      <c r="S75" s="105" t="s">
        <v>95</v>
      </c>
    </row>
    <row r="76" spans="10:19" x14ac:dyDescent="0.25">
      <c r="K76" s="80">
        <v>11</v>
      </c>
      <c r="L76" s="91"/>
      <c r="M76" s="105" t="s">
        <v>263</v>
      </c>
      <c r="N76" s="91"/>
      <c r="O76" s="105" t="s">
        <v>263</v>
      </c>
      <c r="P76" s="91"/>
      <c r="Q76" s="105" t="s">
        <v>263</v>
      </c>
      <c r="R76" s="91"/>
      <c r="S76" s="105" t="s">
        <v>263</v>
      </c>
    </row>
    <row r="77" spans="10:19" x14ac:dyDescent="0.25">
      <c r="K77" s="80">
        <v>12</v>
      </c>
      <c r="L77" s="91"/>
      <c r="M77" s="95" t="s">
        <v>264</v>
      </c>
      <c r="N77" s="91"/>
      <c r="O77" s="95" t="s">
        <v>264</v>
      </c>
      <c r="P77" s="91"/>
      <c r="Q77" s="95" t="s">
        <v>264</v>
      </c>
      <c r="R77" s="91"/>
      <c r="S77" s="95" t="s">
        <v>264</v>
      </c>
    </row>
    <row r="78" spans="10:19" x14ac:dyDescent="0.25">
      <c r="K78" s="80">
        <v>13</v>
      </c>
      <c r="L78" s="91"/>
      <c r="M78" s="95" t="s">
        <v>84</v>
      </c>
      <c r="N78" s="91"/>
      <c r="O78" s="95" t="s">
        <v>84</v>
      </c>
      <c r="P78" s="91"/>
      <c r="Q78" s="95" t="s">
        <v>84</v>
      </c>
      <c r="R78" s="91"/>
      <c r="S78" s="95" t="s">
        <v>84</v>
      </c>
    </row>
    <row r="79" spans="10:19" x14ac:dyDescent="0.25">
      <c r="K79" s="80">
        <v>14</v>
      </c>
      <c r="L79" s="91"/>
      <c r="M79" s="95" t="s">
        <v>107</v>
      </c>
      <c r="N79" s="91"/>
      <c r="O79" s="95" t="s">
        <v>107</v>
      </c>
      <c r="P79" s="91"/>
      <c r="Q79" s="95" t="s">
        <v>107</v>
      </c>
      <c r="R79" s="91"/>
      <c r="S79" s="95" t="s">
        <v>107</v>
      </c>
    </row>
    <row r="80" spans="10:19" x14ac:dyDescent="0.25">
      <c r="K80" s="80">
        <v>15</v>
      </c>
      <c r="L80" s="91"/>
      <c r="M80" s="95" t="s">
        <v>83</v>
      </c>
      <c r="N80" s="91"/>
      <c r="O80" s="95" t="s">
        <v>83</v>
      </c>
      <c r="P80" s="91"/>
      <c r="Q80" s="95" t="s">
        <v>83</v>
      </c>
      <c r="R80" s="91"/>
      <c r="S80" s="95" t="s">
        <v>83</v>
      </c>
    </row>
    <row r="81" spans="11:19" x14ac:dyDescent="0.25">
      <c r="K81" s="80">
        <v>16</v>
      </c>
      <c r="L81" s="91"/>
      <c r="M81" s="95" t="s">
        <v>264</v>
      </c>
      <c r="N81" s="91"/>
      <c r="O81" s="95" t="s">
        <v>264</v>
      </c>
      <c r="P81" s="91"/>
      <c r="Q81" s="95" t="s">
        <v>264</v>
      </c>
      <c r="R81" s="91"/>
      <c r="S81" s="95" t="s">
        <v>264</v>
      </c>
    </row>
    <row r="82" spans="11:19" x14ac:dyDescent="0.25">
      <c r="K82" s="80">
        <v>17</v>
      </c>
      <c r="L82" s="91"/>
      <c r="M82" s="95" t="s">
        <v>87</v>
      </c>
      <c r="N82" s="91"/>
      <c r="O82" s="95" t="s">
        <v>87</v>
      </c>
      <c r="P82" s="91"/>
      <c r="Q82" s="95" t="s">
        <v>87</v>
      </c>
      <c r="R82" s="91"/>
      <c r="S82" s="95" t="s">
        <v>87</v>
      </c>
    </row>
    <row r="83" spans="11:19" x14ac:dyDescent="0.25">
      <c r="K83" s="80">
        <v>18</v>
      </c>
      <c r="L83" s="91"/>
      <c r="M83" s="95" t="s">
        <v>86</v>
      </c>
      <c r="N83" s="91"/>
      <c r="O83" s="95" t="s">
        <v>86</v>
      </c>
      <c r="P83" s="91"/>
      <c r="Q83" s="95" t="s">
        <v>86</v>
      </c>
      <c r="R83" s="91"/>
      <c r="S83" s="95" t="s">
        <v>86</v>
      </c>
    </row>
    <row r="84" spans="11:19" x14ac:dyDescent="0.25">
      <c r="K84" s="80">
        <v>19</v>
      </c>
      <c r="L84" s="91"/>
      <c r="M84" s="95" t="s">
        <v>115</v>
      </c>
      <c r="N84" s="91"/>
      <c r="O84" s="95" t="s">
        <v>115</v>
      </c>
      <c r="P84" s="91"/>
      <c r="Q84" s="95" t="s">
        <v>115</v>
      </c>
      <c r="R84" s="91"/>
      <c r="S84" s="95" t="s">
        <v>115</v>
      </c>
    </row>
    <row r="85" spans="11:19" x14ac:dyDescent="0.25">
      <c r="K85" s="80">
        <v>20</v>
      </c>
      <c r="L85" s="93"/>
      <c r="M85" s="106" t="s">
        <v>108</v>
      </c>
      <c r="N85" s="93"/>
      <c r="O85" s="106" t="s">
        <v>108</v>
      </c>
      <c r="P85" s="93"/>
      <c r="Q85" s="106" t="s">
        <v>108</v>
      </c>
      <c r="R85" s="93"/>
      <c r="S85" s="106" t="s">
        <v>108</v>
      </c>
    </row>
  </sheetData>
  <sortState xmlns:xlrd2="http://schemas.microsoft.com/office/spreadsheetml/2017/richdata2" ref="M71:M76">
    <sortCondition ref="M71"/>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P48"/>
  <sheetViews>
    <sheetView showGridLines="0" tabSelected="1"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8.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20"/>
      <c r="B2" s="153">
        <v>2</v>
      </c>
      <c r="C2" s="153">
        <v>3</v>
      </c>
      <c r="D2" s="153">
        <v>4</v>
      </c>
      <c r="E2" s="153"/>
      <c r="F2" s="153">
        <v>6</v>
      </c>
      <c r="G2" s="153">
        <v>5</v>
      </c>
      <c r="H2" s="153">
        <v>7</v>
      </c>
      <c r="I2" s="153">
        <v>8</v>
      </c>
      <c r="J2" s="153">
        <v>9</v>
      </c>
      <c r="K2" s="153">
        <v>10</v>
      </c>
      <c r="L2" s="121"/>
    </row>
    <row r="3" spans="1:16" ht="39.950000000000003" customHeight="1" x14ac:dyDescent="0.25">
      <c r="A3" s="292" t="s">
        <v>8</v>
      </c>
      <c r="B3" s="292"/>
      <c r="C3" s="292"/>
      <c r="D3" s="292"/>
      <c r="E3" s="96"/>
      <c r="F3" s="96"/>
      <c r="G3" s="96"/>
      <c r="H3" s="96"/>
      <c r="I3" s="96"/>
      <c r="J3" s="96"/>
      <c r="K3" s="96"/>
      <c r="L3" s="96"/>
    </row>
    <row r="4" spans="1:16" ht="25.5" x14ac:dyDescent="0.25">
      <c r="A4" s="226"/>
      <c r="B4" s="227"/>
      <c r="C4" s="227"/>
      <c r="D4" s="228" t="s">
        <v>9</v>
      </c>
      <c r="E4" s="229"/>
      <c r="F4" s="227"/>
      <c r="G4" s="230"/>
      <c r="H4" s="230"/>
      <c r="I4" s="230"/>
      <c r="J4" s="230"/>
      <c r="K4" s="230"/>
      <c r="L4" s="230"/>
    </row>
    <row r="5" spans="1:16" ht="20.100000000000001" customHeight="1" x14ac:dyDescent="0.25">
      <c r="B5" s="10"/>
      <c r="C5" s="126" t="s">
        <v>10</v>
      </c>
      <c r="D5" s="202" t="s">
        <v>11</v>
      </c>
      <c r="E5" s="11"/>
      <c r="F5" s="10" t="s">
        <v>12</v>
      </c>
      <c r="G5" s="139" t="str">
        <f>IFERROR(CONCATENATE(VLOOKUP(D5,TableCourses[],2,FALSE)," ",VLOOKUP(D5,TableCourses[],3,FALSE)),"")</f>
        <v>OM-TEACH1 v.2</v>
      </c>
      <c r="H5" s="11"/>
      <c r="I5" s="11"/>
      <c r="J5" s="11"/>
      <c r="K5" s="11"/>
      <c r="L5" s="12"/>
    </row>
    <row r="6" spans="1:16" ht="20.100000000000001" customHeight="1" x14ac:dyDescent="0.25">
      <c r="B6" s="10"/>
      <c r="C6" s="126" t="s">
        <v>13</v>
      </c>
      <c r="D6" s="116" t="s">
        <v>131</v>
      </c>
      <c r="E6" s="11"/>
      <c r="F6" s="10" t="s">
        <v>15</v>
      </c>
      <c r="G6" s="11" t="str">
        <f>IFERROR(CONCATENATE(VLOOKUP(D6,TableMajorsMTeach[],2,FALSE)," ",VLOOKUP(D6,TableMajorsMTeach[],3,FALSE)),"")</f>
        <v>OUMP-TCHSE v.3</v>
      </c>
      <c r="H6" s="11"/>
      <c r="I6" s="11"/>
      <c r="J6" s="11"/>
      <c r="K6" s="11"/>
      <c r="L6" s="211" t="e">
        <f>CONCATENATE(VLOOKUP(D6,TableMajorsMTeach[],2,FALSE),VLOOKUP(D9,TableStudyPeriods[],2,FALSE))</f>
        <v>#N/A</v>
      </c>
    </row>
    <row r="7" spans="1:16" ht="20.100000000000001" customHeight="1" x14ac:dyDescent="0.25">
      <c r="B7" s="10"/>
      <c r="C7" s="126" t="s">
        <v>265</v>
      </c>
      <c r="D7" s="225" t="s">
        <v>285</v>
      </c>
      <c r="E7" s="11"/>
      <c r="F7" s="10"/>
      <c r="G7" s="11"/>
      <c r="H7" s="11"/>
      <c r="I7" s="11"/>
      <c r="J7" s="11"/>
      <c r="K7" s="11"/>
      <c r="L7" s="211" t="e">
        <f>VLOOKUP(D7,TableFirstTeachingArea[],2,FALSE)</f>
        <v>#N/A</v>
      </c>
    </row>
    <row r="8" spans="1:16" ht="20.100000000000001" customHeight="1" x14ac:dyDescent="0.25">
      <c r="B8" s="10"/>
      <c r="C8" s="126" t="s">
        <v>267</v>
      </c>
      <c r="D8" s="289" t="s">
        <v>301</v>
      </c>
      <c r="E8" s="11"/>
      <c r="F8" s="10"/>
      <c r="G8" s="11"/>
      <c r="H8" s="11"/>
      <c r="I8" s="11"/>
      <c r="J8" s="11"/>
      <c r="K8" s="11"/>
      <c r="L8" s="211" t="e">
        <f>VLOOKUP(D8,TableSecondTeachingArea[],2,FALSE)</f>
        <v>#N/A</v>
      </c>
    </row>
    <row r="9" spans="1:16" ht="20.100000000000001" customHeight="1" x14ac:dyDescent="0.25">
      <c r="A9" s="13"/>
      <c r="B9" s="14"/>
      <c r="C9" s="126" t="s">
        <v>16</v>
      </c>
      <c r="D9" s="290" t="s">
        <v>17</v>
      </c>
      <c r="E9" s="15"/>
      <c r="F9" s="10" t="s">
        <v>18</v>
      </c>
      <c r="G9" s="11" t="str">
        <f>IFERROR(VLOOKUP($D$5,TableCourses[],7,FALSE),"")</f>
        <v>400 credit points required</v>
      </c>
      <c r="H9" s="214"/>
      <c r="I9" s="214"/>
      <c r="J9" s="214"/>
      <c r="K9" s="214"/>
      <c r="L9" s="214"/>
    </row>
    <row r="10" spans="1:16" s="19" customFormat="1" ht="14.1" customHeight="1" x14ac:dyDescent="0.25">
      <c r="A10" s="107"/>
      <c r="B10" s="107"/>
      <c r="C10" s="107"/>
      <c r="D10" s="108"/>
      <c r="E10" s="109"/>
      <c r="F10" s="107"/>
      <c r="G10" s="107"/>
      <c r="H10" s="110" t="s">
        <v>19</v>
      </c>
      <c r="I10" s="123"/>
      <c r="J10" s="123"/>
      <c r="K10" s="111"/>
      <c r="L10" s="109"/>
      <c r="M10" s="215"/>
      <c r="N10" s="215"/>
      <c r="O10" s="215"/>
    </row>
    <row r="11" spans="1:16" s="19" customFormat="1" ht="21" x14ac:dyDescent="0.25">
      <c r="A11" s="107" t="s">
        <v>20</v>
      </c>
      <c r="B11" s="107"/>
      <c r="C11" s="125" t="s">
        <v>21</v>
      </c>
      <c r="D11" s="108" t="s">
        <v>3</v>
      </c>
      <c r="E11" s="125" t="s">
        <v>22</v>
      </c>
      <c r="F11" s="107" t="s">
        <v>23</v>
      </c>
      <c r="G11" s="107" t="s">
        <v>24</v>
      </c>
      <c r="H11" s="255" t="s">
        <v>25</v>
      </c>
      <c r="I11" s="256" t="s">
        <v>26</v>
      </c>
      <c r="J11" s="256" t="s">
        <v>27</v>
      </c>
      <c r="K11" s="261" t="s">
        <v>28</v>
      </c>
      <c r="L11" s="107" t="s">
        <v>29</v>
      </c>
      <c r="M11" s="215"/>
      <c r="N11" s="215"/>
      <c r="O11" s="215"/>
    </row>
    <row r="12" spans="1:16" s="22" customFormat="1" ht="21" customHeight="1" x14ac:dyDescent="0.15">
      <c r="A12" s="56" t="str">
        <f>IFERROR(IF(HLOOKUP($L$6,RangeUnitsetsSec,M12,FALSE)=0,"",HLOOKUP($L$6,RangeUnitsetsSec,M12,FALSE)),"")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IF(OR(A12="",A12="--"),"",VLOOKUP($D$9,TableStudyPeriods[],2,FALSE))</f>
        <v/>
      </c>
      <c r="F12" s="49" t="str">
        <f>IFERROR(IF(VLOOKUP($A12,TableHandbook[],6,FALSE)=0,"",VLOOKUP($A12,TableHandbook[],6,FALSE)),"")</f>
        <v/>
      </c>
      <c r="G12" s="50" t="str">
        <f>IFERROR(IF(VLOOKUP($A12,TableHandbook[],5,FALSE)=0,"",VLOOKUP($A12,TableHandbook[],5,FALSE)),"")</f>
        <v/>
      </c>
      <c r="H12" s="257" t="str">
        <f>IFERROR(VLOOKUP($A12,TableHandbook[],H$2,FALSE),"")</f>
        <v/>
      </c>
      <c r="I12" s="258" t="str">
        <f>IFERROR(VLOOKUP($A12,TableHandbook[],I$2,FALSE),"")</f>
        <v/>
      </c>
      <c r="J12" s="258" t="str">
        <f>IFERROR(VLOOKUP($A12,TableHandbook[],J$2,FALSE),"")</f>
        <v/>
      </c>
      <c r="K12" s="265" t="str">
        <f>IFERROR(VLOOKUP($A12,TableHandbook[],K$2,FALSE),"")</f>
        <v/>
      </c>
      <c r="L12" s="58"/>
      <c r="M12" s="218">
        <v>2</v>
      </c>
      <c r="N12" s="219"/>
      <c r="O12" s="219"/>
    </row>
    <row r="13" spans="1:16" s="22" customFormat="1" ht="21" customHeight="1" x14ac:dyDescent="0.15">
      <c r="A13" s="56" t="str">
        <f>IFERROR(IF(HLOOKUP($L$6,RangeUnitsetsSec,M13,FALSE)=0,"",HLOOKUP($L$6,RangeUnitsetsSec,M13,FALSE)),"")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57" t="str">
        <f>IFERROR(VLOOKUP($A13,TableHandbook[],H$2,FALSE),"")</f>
        <v/>
      </c>
      <c r="I13" s="258" t="str">
        <f>IFERROR(VLOOKUP($A13,TableHandbook[],I$2,FALSE),"")</f>
        <v/>
      </c>
      <c r="J13" s="258" t="str">
        <f>IFERROR(VLOOKUP($A13,TableHandbook[],J$2,FALSE),"")</f>
        <v/>
      </c>
      <c r="K13" s="265" t="str">
        <f>IFERROR(VLOOKUP($A13,TableHandbook[],K$2,FALSE),"")</f>
        <v/>
      </c>
      <c r="L13" s="58"/>
      <c r="M13" s="218">
        <v>3</v>
      </c>
      <c r="N13" s="219"/>
      <c r="O13" s="219"/>
    </row>
    <row r="14" spans="1:16" s="22" customFormat="1" ht="6" customHeight="1" x14ac:dyDescent="0.15">
      <c r="A14" s="191"/>
      <c r="B14" s="192"/>
      <c r="C14" s="192"/>
      <c r="D14" s="193"/>
      <c r="E14" s="192"/>
      <c r="F14" s="194"/>
      <c r="G14" s="192"/>
      <c r="H14" s="259"/>
      <c r="I14" s="260"/>
      <c r="J14" s="260"/>
      <c r="K14" s="268"/>
      <c r="L14" s="197"/>
      <c r="M14" s="218"/>
      <c r="N14" s="219"/>
      <c r="O14" s="219"/>
      <c r="P14" s="219"/>
    </row>
    <row r="15" spans="1:16" s="22" customFormat="1" ht="21" customHeight="1" x14ac:dyDescent="0.15">
      <c r="A15" s="56" t="str">
        <f>IFERROR(IF(HLOOKUP($L$6,RangeUnitsetsSec,M15,FALSE)=0,"",HLOOKUP($L$6,RangeUnitsetsSec,M15,FALSE)),"")</f>
        <v/>
      </c>
      <c r="B15" s="50" t="str">
        <f>IFERROR(IF(VLOOKUP($A15,TableHandbook[],2,FALSE)=0,"",VLOOKUP($A15,TableHandbook[],2,FALSE)),"")</f>
        <v/>
      </c>
      <c r="C15" s="50" t="str">
        <f>IFERROR(IF(VLOOKUP($A15,TableHandbook[],3,FALSE)=0,"",VLOOKUP($A15,TableHandbook[],3,FALSE)),"")</f>
        <v/>
      </c>
      <c r="D15" s="57" t="str">
        <f>IFERROR(IF(VLOOKUP($A15,TableHandbook[],4,FALSE)=0,"",VLOOKUP($A15,TableHandbook[],4,FALSE)),"")</f>
        <v/>
      </c>
      <c r="E15" s="50" t="str">
        <f>IF(OR(A15="",A15="--"),"",VLOOKUP($D$9,TableStudyPeriods[],3,FALSE))</f>
        <v/>
      </c>
      <c r="F15" s="49" t="str">
        <f>IFERROR(IF(VLOOKUP($A15,TableHandbook[],6,FALSE)=0,"",VLOOKUP($A15,TableHandbook[],6,FALSE)),"")</f>
        <v/>
      </c>
      <c r="G15" s="50" t="str">
        <f>IFERROR(IF(VLOOKUP($A15,TableHandbook[],5,FALSE)=0,"",VLOOKUP($A15,TableHandbook[],5,FALSE)),"")</f>
        <v/>
      </c>
      <c r="H15" s="257" t="str">
        <f>IFERROR(VLOOKUP($A15,TableHandbook[],H$2,FALSE),"")</f>
        <v/>
      </c>
      <c r="I15" s="258" t="str">
        <f>IFERROR(VLOOKUP($A15,TableHandbook[],I$2,FALSE),"")</f>
        <v/>
      </c>
      <c r="J15" s="258" t="str">
        <f>IFERROR(VLOOKUP($A15,TableHandbook[],J$2,FALSE),"")</f>
        <v/>
      </c>
      <c r="K15" s="265" t="str">
        <f>IFERROR(VLOOKUP($A15,TableHandbook[],K$2,FALSE),"")</f>
        <v/>
      </c>
      <c r="L15" s="59"/>
      <c r="M15" s="218">
        <v>4</v>
      </c>
      <c r="N15" s="219"/>
      <c r="O15" s="219"/>
    </row>
    <row r="16" spans="1:16" s="22" customFormat="1" ht="21" customHeight="1" x14ac:dyDescent="0.15">
      <c r="A16" s="56" t="str">
        <f>IFERROR(IF(HLOOKUP($L$6,RangeUnitsetsSec,M16,FALSE)=0,"",HLOOKUP($L$6,RangeUnitsetsSec,M16,FALSE)),"")</f>
        <v/>
      </c>
      <c r="B16" s="50" t="str">
        <f>IFERROR(IF(VLOOKUP($A16,TableHandbook[],2,FALSE)=0,"",VLOOKUP($A16,TableHandbook[],2,FALSE)),"")</f>
        <v/>
      </c>
      <c r="C16" s="50" t="str">
        <f>IFERROR(IF(VLOOKUP($A16,TableHandbook[],3,FALSE)=0,"",VLOOKUP($A16,TableHandbook[],3,FALSE)),"")</f>
        <v/>
      </c>
      <c r="D16" s="57" t="str">
        <f>IFERROR(IF(VLOOKUP($A16,TableHandbook[],4,FALSE)=0,"",VLOOKUP($A16,TableHandbook[],4,FALSE)),"")</f>
        <v/>
      </c>
      <c r="E16" s="50" t="str">
        <f>IF(A16="","",E15)</f>
        <v/>
      </c>
      <c r="F16" s="49" t="str">
        <f>IFERROR(IF(VLOOKUP($A16,TableHandbook[],6,FALSE)=0,"",VLOOKUP($A16,TableHandbook[],6,FALSE)),"")</f>
        <v/>
      </c>
      <c r="G16" s="50" t="str">
        <f>IFERROR(IF(VLOOKUP($A16,TableHandbook[],5,FALSE)=0,"",VLOOKUP($A16,TableHandbook[],5,FALSE)),"")</f>
        <v/>
      </c>
      <c r="H16" s="257" t="str">
        <f>IFERROR(VLOOKUP($A16,TableHandbook[],H$2,FALSE),"")</f>
        <v/>
      </c>
      <c r="I16" s="258" t="str">
        <f>IFERROR(VLOOKUP($A16,TableHandbook[],I$2,FALSE),"")</f>
        <v/>
      </c>
      <c r="J16" s="258" t="str">
        <f>IFERROR(VLOOKUP($A16,TableHandbook[],J$2,FALSE),"")</f>
        <v/>
      </c>
      <c r="K16" s="265" t="str">
        <f>IFERROR(VLOOKUP($A16,TableHandbook[],K$2,FALSE),"")</f>
        <v/>
      </c>
      <c r="L16" s="58"/>
      <c r="M16" s="218">
        <v>5</v>
      </c>
      <c r="N16" s="219"/>
      <c r="O16" s="219"/>
    </row>
    <row r="17" spans="1:16" s="22" customFormat="1" ht="6" customHeight="1" x14ac:dyDescent="0.15">
      <c r="A17" s="191"/>
      <c r="B17" s="192"/>
      <c r="C17" s="192"/>
      <c r="D17" s="193"/>
      <c r="E17" s="192"/>
      <c r="F17" s="194"/>
      <c r="G17" s="192"/>
      <c r="H17" s="259"/>
      <c r="I17" s="260"/>
      <c r="J17" s="260"/>
      <c r="K17" s="268"/>
      <c r="L17" s="197"/>
      <c r="M17" s="218"/>
      <c r="N17" s="219"/>
      <c r="O17" s="219"/>
      <c r="P17" s="219"/>
    </row>
    <row r="18" spans="1:16" s="22" customFormat="1" ht="21" customHeight="1" x14ac:dyDescent="0.15">
      <c r="A18" s="56" t="str">
        <f>IFERROR(IF(HLOOKUP($L$6,RangeUnitsetsSec,M18,FALSE)=0,"",HLOOKUP($L$6,RangeUnitsetsSec,M18,FALSE)),"")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IF(OR(A18="",A18="--"),"",VLOOKUP($D$9,TableStudyPeriods[],4,FALSE))</f>
        <v/>
      </c>
      <c r="F18" s="49" t="str">
        <f>IFERROR(IF(VLOOKUP($A18,TableHandbook[],6,FALSE)=0,"",VLOOKUP($A18,TableHandbook[],6,FALSE)),"")</f>
        <v/>
      </c>
      <c r="G18" s="52" t="str">
        <f>IFERROR(IF(VLOOKUP($A18,TableHandbook[],5,FALSE)=0,"",VLOOKUP($A18,TableHandbook[],5,FALSE)),"")</f>
        <v/>
      </c>
      <c r="H18" s="262" t="str">
        <f>IFERROR(VLOOKUP($A18,TableHandbook[],H$2,FALSE),"")</f>
        <v/>
      </c>
      <c r="I18" s="263" t="str">
        <f>IFERROR(VLOOKUP($A18,TableHandbook[],I$2,FALSE),"")</f>
        <v/>
      </c>
      <c r="J18" s="263" t="str">
        <f>IFERROR(VLOOKUP($A18,TableHandbook[],J$2,FALSE),"")</f>
        <v/>
      </c>
      <c r="K18" s="264" t="str">
        <f>IFERROR(VLOOKUP($A18,TableHandbook[],K$2,FALSE),"")</f>
        <v/>
      </c>
      <c r="L18" s="59"/>
      <c r="M18" s="218">
        <v>6</v>
      </c>
      <c r="N18" s="219"/>
      <c r="O18" s="219"/>
    </row>
    <row r="19" spans="1:16" s="31" customFormat="1" ht="21" customHeight="1" x14ac:dyDescent="0.15">
      <c r="A19" s="56" t="str">
        <f>IFERROR(IF(HLOOKUP($L$6,RangeUnitsetsSec,M19,FALSE)=0,"",HLOOKUP($L$6,RangeUnitsetsSec,M19,FALSE)),"")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IF(A19="","",E18)</f>
        <v/>
      </c>
      <c r="F19" s="49" t="str">
        <f>IFERROR(IF(VLOOKUP($A19,TableHandbook[],6,FALSE)=0,"",VLOOKUP($A19,TableHandbook[],6,FALSE)),"")</f>
        <v/>
      </c>
      <c r="G19" s="52" t="str">
        <f>IFERROR(IF(VLOOKUP($A19,TableHandbook[],5,FALSE)=0,"",VLOOKUP($A19,TableHandbook[],5,FALSE)),"")</f>
        <v/>
      </c>
      <c r="H19" s="262" t="str">
        <f>IFERROR(VLOOKUP($A19,TableHandbook[],H$2,FALSE),"")</f>
        <v/>
      </c>
      <c r="I19" s="263" t="str">
        <f>IFERROR(VLOOKUP($A19,TableHandbook[],I$2,FALSE),"")</f>
        <v/>
      </c>
      <c r="J19" s="263" t="str">
        <f>IFERROR(VLOOKUP($A19,TableHandbook[],J$2,FALSE),"")</f>
        <v/>
      </c>
      <c r="K19" s="264" t="str">
        <f>IFERROR(VLOOKUP($A19,TableHandbook[],K$2,FALSE),"")</f>
        <v/>
      </c>
      <c r="L19" s="59"/>
      <c r="M19" s="218">
        <v>7</v>
      </c>
      <c r="N19" s="221"/>
      <c r="O19" s="221"/>
    </row>
    <row r="20" spans="1:16" s="22" customFormat="1" ht="6" customHeight="1" x14ac:dyDescent="0.15">
      <c r="A20" s="191"/>
      <c r="B20" s="192"/>
      <c r="C20" s="192"/>
      <c r="D20" s="193"/>
      <c r="E20" s="192"/>
      <c r="F20" s="194"/>
      <c r="G20" s="192"/>
      <c r="H20" s="259"/>
      <c r="I20" s="260"/>
      <c r="J20" s="260"/>
      <c r="K20" s="268"/>
      <c r="L20" s="197"/>
      <c r="M20" s="218"/>
      <c r="N20" s="219"/>
      <c r="O20" s="219"/>
      <c r="P20" s="219"/>
    </row>
    <row r="21" spans="1:16" s="31" customFormat="1" ht="21" customHeight="1" x14ac:dyDescent="0.15">
      <c r="A21" s="56" t="str">
        <f>IFERROR(IF(HLOOKUP($L$6,RangeUnitsetsSec,M21,FALSE)=0,"",HLOOKUP($L$6,RangeUnitsetsSec,M21,FALSE)),"")</f>
        <v/>
      </c>
      <c r="B21" s="52" t="str">
        <f>IFERROR(IF(VLOOKUP($A21,TableHandbook[],2,FALSE)=0,"",VLOOKUP($A21,TableHandbook[],2,FALSE)),"")</f>
        <v/>
      </c>
      <c r="C21" s="52" t="str">
        <f>IFERROR(IF(VLOOKUP($A21,TableHandbook[],3,FALSE)=0,"",VLOOKUP($A21,TableHandbook[],3,FALSE)),"")</f>
        <v/>
      </c>
      <c r="D21" s="57" t="str">
        <f>IFERROR(IF(VLOOKUP($A21,TableHandbook[],4,FALSE)=0,"",VLOOKUP($A21,TableHandbook[],4,FALSE)),"")</f>
        <v/>
      </c>
      <c r="E21" s="50" t="str">
        <f>IF(OR(A21="",A21="--"),"",VLOOKUP($D$9,TableStudyPeriods[],5,FALSE))</f>
        <v/>
      </c>
      <c r="F21" s="49" t="str">
        <f>IFERROR(IF(VLOOKUP($A21,TableHandbook[],6,FALSE)=0,"",VLOOKUP($A21,TableHandbook[],6,FALSE)),"")</f>
        <v/>
      </c>
      <c r="G21" s="52" t="str">
        <f>IFERROR(IF(VLOOKUP($A21,TableHandbook[],5,FALSE)=0,"",VLOOKUP($A21,TableHandbook[],5,FALSE)),"")</f>
        <v/>
      </c>
      <c r="H21" s="262" t="str">
        <f>IFERROR(VLOOKUP($A21,TableHandbook[],H$2,FALSE),"")</f>
        <v/>
      </c>
      <c r="I21" s="263" t="str">
        <f>IFERROR(VLOOKUP($A21,TableHandbook[],I$2,FALSE),"")</f>
        <v/>
      </c>
      <c r="J21" s="263" t="str">
        <f>IFERROR(VLOOKUP($A21,TableHandbook[],J$2,FALSE),"")</f>
        <v/>
      </c>
      <c r="K21" s="264" t="str">
        <f>IFERROR(VLOOKUP($A21,TableHandbook[],K$2,FALSE),"")</f>
        <v/>
      </c>
      <c r="L21" s="59"/>
      <c r="M21" s="218">
        <v>8</v>
      </c>
      <c r="N21" s="221"/>
      <c r="O21" s="221"/>
    </row>
    <row r="22" spans="1:16" s="31" customFormat="1" ht="21" customHeight="1" x14ac:dyDescent="0.15">
      <c r="A22" s="56" t="str">
        <f>IFERROR(IF(HLOOKUP($L$6,RangeUnitsetsSec,M22,FALSE)=0,"",HLOOKUP($L$6,RangeUnitsetsSec,M22,FALSE)),"")</f>
        <v/>
      </c>
      <c r="B22" s="52" t="str">
        <f>IFERROR(IF(VLOOKUP($A22,TableHandbook[],2,FALSE)=0,"",VLOOKUP($A22,TableHandbook[],2,FALSE)),"")</f>
        <v/>
      </c>
      <c r="C22" s="52" t="str">
        <f>IFERROR(IF(VLOOKUP($A22,TableHandbook[],3,FALSE)=0,"",VLOOKUP($A22,TableHandbook[],3,FALSE)),"")</f>
        <v/>
      </c>
      <c r="D22" s="55" t="str">
        <f>IFERROR(IF(VLOOKUP($A22,TableHandbook[],4,FALSE)=0,"",VLOOKUP($A22,TableHandbook[],4,FALSE)),"")</f>
        <v/>
      </c>
      <c r="E22" s="52" t="str">
        <f>IF(A22="","",E21)</f>
        <v/>
      </c>
      <c r="F22" s="49" t="str">
        <f>IFERROR(IF(VLOOKUP($A22,TableHandbook[],6,FALSE)=0,"",VLOOKUP($A22,TableHandbook[],6,FALSE)),"")</f>
        <v/>
      </c>
      <c r="G22" s="52" t="str">
        <f>IFERROR(IF(VLOOKUP($A22,TableHandbook[],5,FALSE)=0,"",VLOOKUP($A22,TableHandbook[],5,FALSE)),"")</f>
        <v/>
      </c>
      <c r="H22" s="262" t="str">
        <f>IFERROR(VLOOKUP($A22,TableHandbook[],H$2,FALSE),"")</f>
        <v/>
      </c>
      <c r="I22" s="263" t="str">
        <f>IFERROR(VLOOKUP($A22,TableHandbook[],I$2,FALSE),"")</f>
        <v/>
      </c>
      <c r="J22" s="263" t="str">
        <f>IFERROR(VLOOKUP($A22,TableHandbook[],J$2,FALSE),"")</f>
        <v/>
      </c>
      <c r="K22" s="264" t="str">
        <f>IFERROR(VLOOKUP($A22,TableHandbook[],K$2,FALSE),"")</f>
        <v/>
      </c>
      <c r="L22" s="59"/>
      <c r="M22" s="218">
        <v>9</v>
      </c>
      <c r="N22" s="221"/>
      <c r="O22" s="221"/>
    </row>
    <row r="23" spans="1:16" s="19" customFormat="1" ht="21" x14ac:dyDescent="0.25">
      <c r="A23" s="107" t="s">
        <v>30</v>
      </c>
      <c r="B23" s="107"/>
      <c r="C23" s="125" t="s">
        <v>21</v>
      </c>
      <c r="D23" s="108" t="s">
        <v>3</v>
      </c>
      <c r="E23" s="125" t="s">
        <v>22</v>
      </c>
      <c r="F23" s="107" t="s">
        <v>23</v>
      </c>
      <c r="G23" s="107" t="s">
        <v>24</v>
      </c>
      <c r="H23" s="255" t="str">
        <f>H$11</f>
        <v>SP1</v>
      </c>
      <c r="I23" s="256" t="str">
        <f t="shared" ref="I23:L23" si="0">I$11</f>
        <v>SP2</v>
      </c>
      <c r="J23" s="256" t="str">
        <f t="shared" si="0"/>
        <v>SP3</v>
      </c>
      <c r="K23" s="261" t="str">
        <f t="shared" si="0"/>
        <v>SP4</v>
      </c>
      <c r="L23" s="107" t="str">
        <f t="shared" si="0"/>
        <v>Notes / Progress</v>
      </c>
      <c r="M23" s="278"/>
      <c r="N23" s="215"/>
      <c r="O23" s="215"/>
    </row>
    <row r="24" spans="1:16" s="22" customFormat="1" ht="21" customHeight="1" x14ac:dyDescent="0.15">
      <c r="A24" s="56" t="str">
        <f>IFERROR(IF(HLOOKUP($L$6,RangeUnitsetsSec,M24,FALSE)=0,"",HLOOKUP($L$6,RangeUnitsetsSec,M24,FALSE)),"")</f>
        <v/>
      </c>
      <c r="B24" s="52" t="str">
        <f>IFERROR(IF(VLOOKUP($A24,TableHandbook[],2,FALSE)=0,"",VLOOKUP($A24,TableHandbook[],2,FALSE)),"")</f>
        <v/>
      </c>
      <c r="C24" s="52" t="str">
        <f>IFERROR(IF(VLOOKUP($A24,TableHandbook[],3,FALSE)=0,"",VLOOKUP($A24,TableHandbook[],3,FALSE)),"")</f>
        <v/>
      </c>
      <c r="D24" s="53" t="str">
        <f>IFERROR(IF(VLOOKUP($A24,TableHandbook[],4,FALSE)=0,"",VLOOKUP($A24,TableHandbook[],4,FALSE)),"")</f>
        <v/>
      </c>
      <c r="E24" s="52" t="str">
        <f>IF(OR(A24="",A24="--"),"",VLOOKUP($D$9,TableStudyPeriods[],2,FALSE))</f>
        <v/>
      </c>
      <c r="F24" s="49" t="str">
        <f>IFERROR(IF(VLOOKUP($A24,TableHandbook[],6,FALSE)=0,"",VLOOKUP($A24,TableHandbook[],6,FALSE)),"")</f>
        <v/>
      </c>
      <c r="G24" s="50" t="str">
        <f>IFERROR(IF(VLOOKUP($A24,TableHandbook[],5,FALSE)=0,"",VLOOKUP($A24,TableHandbook[],5,FALSE)),"")</f>
        <v/>
      </c>
      <c r="H24" s="257" t="str">
        <f>IFERROR(VLOOKUP($A24,TableHandbook[],H$2,FALSE),"")</f>
        <v/>
      </c>
      <c r="I24" s="258" t="str">
        <f>IFERROR(VLOOKUP($A24,TableHandbook[],I$2,FALSE),"")</f>
        <v/>
      </c>
      <c r="J24" s="258" t="str">
        <f>IFERROR(VLOOKUP($A24,TableHandbook[],J$2,FALSE),"")</f>
        <v/>
      </c>
      <c r="K24" s="265" t="str">
        <f>IFERROR(VLOOKUP($A24,TableHandbook[],K$2,FALSE),"")</f>
        <v/>
      </c>
      <c r="L24" s="58"/>
      <c r="M24" s="218">
        <v>10</v>
      </c>
      <c r="N24" s="219"/>
      <c r="O24" s="219"/>
    </row>
    <row r="25" spans="1:16" s="22" customFormat="1" ht="21" customHeight="1" x14ac:dyDescent="0.15">
      <c r="A25" s="56" t="str">
        <f>IFERROR(IF(HLOOKUP($L$6,RangeUnitsetsSec,M25,FALSE)=0,"",HLOOKUP($L$6,RangeUnitsetsSec,M25,FALSE)),"")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IF(A25="","",E24)</f>
        <v/>
      </c>
      <c r="F25" s="49" t="str">
        <f>IFERROR(IF(VLOOKUP($A25,TableHandbook[],6,FALSE)=0,"",VLOOKUP($A25,TableHandbook[],6,FALSE)),"")</f>
        <v/>
      </c>
      <c r="G25" s="50" t="str">
        <f>IFERROR(IF(VLOOKUP($A25,TableHandbook[],5,FALSE)=0,"",VLOOKUP($A25,TableHandbook[],5,FALSE)),"")</f>
        <v/>
      </c>
      <c r="H25" s="257" t="str">
        <f>IFERROR(VLOOKUP($A25,TableHandbook[],H$2,FALSE),"")</f>
        <v/>
      </c>
      <c r="I25" s="258" t="str">
        <f>IFERROR(VLOOKUP($A25,TableHandbook[],I$2,FALSE),"")</f>
        <v/>
      </c>
      <c r="J25" s="258" t="str">
        <f>IFERROR(VLOOKUP($A25,TableHandbook[],J$2,FALSE),"")</f>
        <v/>
      </c>
      <c r="K25" s="265" t="str">
        <f>IFERROR(VLOOKUP($A25,TableHandbook[],K$2,FALSE),"")</f>
        <v/>
      </c>
      <c r="L25" s="58"/>
      <c r="M25" s="218">
        <v>11</v>
      </c>
      <c r="N25" s="219"/>
      <c r="O25" s="219"/>
    </row>
    <row r="26" spans="1:16" s="22" customFormat="1" ht="6" customHeight="1" x14ac:dyDescent="0.15">
      <c r="A26" s="191"/>
      <c r="B26" s="192"/>
      <c r="C26" s="192"/>
      <c r="D26" s="193"/>
      <c r="E26" s="192"/>
      <c r="F26" s="194"/>
      <c r="G26" s="192"/>
      <c r="H26" s="259"/>
      <c r="I26" s="260"/>
      <c r="J26" s="260"/>
      <c r="K26" s="268"/>
      <c r="L26" s="197"/>
      <c r="M26" s="218"/>
      <c r="N26" s="219"/>
      <c r="O26" s="219"/>
      <c r="P26" s="219"/>
    </row>
    <row r="27" spans="1:16" s="22" customFormat="1" ht="21" customHeight="1" x14ac:dyDescent="0.15">
      <c r="A27" s="56" t="str">
        <f>IFERROR(IF(HLOOKUP($L$6,RangeUnitsetsSec,M27,FALSE)=0,"",HLOOKUP($L$6,RangeUnitsetsSec,M27,FALSE)),"")</f>
        <v/>
      </c>
      <c r="B27" s="52" t="str">
        <f>IFERROR(IF(VLOOKUP($A27,TableHandbook[],2,FALSE)=0,"",VLOOKUP($A27,TableHandbook[],2,FALSE)),"")</f>
        <v/>
      </c>
      <c r="C27" s="52" t="str">
        <f>IFERROR(IF(VLOOKUP($A27,TableHandbook[],3,FALSE)=0,"",VLOOKUP($A27,TableHandbook[],3,FALSE)),"")</f>
        <v/>
      </c>
      <c r="D27" s="55" t="str">
        <f>IFERROR(IF(VLOOKUP($A27,TableHandbook[],4,FALSE)=0,"",VLOOKUP($A27,TableHandbook[],4,FALSE)),"")</f>
        <v/>
      </c>
      <c r="E27" s="52" t="str">
        <f>IF(OR(A27="",A27="--"),"",VLOOKUP($D$9,TableStudyPeriods[],3,FALSE))</f>
        <v/>
      </c>
      <c r="F27" s="49" t="str">
        <f>IFERROR(IF(VLOOKUP($A27,TableHandbook[],6,FALSE)=0,"",VLOOKUP($A27,TableHandbook[],6,FALSE)),"")</f>
        <v/>
      </c>
      <c r="G27" s="50" t="str">
        <f>IFERROR(IF(VLOOKUP($A27,TableHandbook[],5,FALSE)=0,"",VLOOKUP($A27,TableHandbook[],5,FALSE)),"")</f>
        <v/>
      </c>
      <c r="H27" s="257" t="str">
        <f>IFERROR(VLOOKUP($A27,TableHandbook[],H$2,FALSE),"")</f>
        <v/>
      </c>
      <c r="I27" s="258" t="str">
        <f>IFERROR(VLOOKUP($A27,TableHandbook[],I$2,FALSE),"")</f>
        <v/>
      </c>
      <c r="J27" s="258" t="str">
        <f>IFERROR(VLOOKUP($A27,TableHandbook[],J$2,FALSE),"")</f>
        <v/>
      </c>
      <c r="K27" s="265" t="str">
        <f>IFERROR(VLOOKUP($A27,TableHandbook[],K$2,FALSE),"")</f>
        <v/>
      </c>
      <c r="L27" s="58"/>
      <c r="M27" s="218">
        <v>12</v>
      </c>
      <c r="N27" s="219"/>
      <c r="O27" s="219"/>
    </row>
    <row r="28" spans="1:16" s="22" customFormat="1" ht="21" customHeight="1" x14ac:dyDescent="0.15">
      <c r="A28" s="56" t="str">
        <f>IFERROR(IF(HLOOKUP($L$6,RangeUnitsetsSec,M28,FALSE)=0,"",HLOOKUP($L$6,RangeUnitsetsSec,M28,FALSE)),"")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IF(A28="","",E27)</f>
        <v/>
      </c>
      <c r="F28" s="49" t="str">
        <f>IFERROR(IF(VLOOKUP($A28,TableHandbook[],6,FALSE)=0,"",VLOOKUP($A28,TableHandbook[],6,FALSE)),"")</f>
        <v/>
      </c>
      <c r="G28" s="50" t="str">
        <f>IFERROR(IF(VLOOKUP($A28,TableHandbook[],5,FALSE)=0,"",VLOOKUP($A28,TableHandbook[],5,FALSE)),"")</f>
        <v/>
      </c>
      <c r="H28" s="257" t="str">
        <f>IFERROR(VLOOKUP($A28,TableHandbook[],H$2,FALSE),"")</f>
        <v/>
      </c>
      <c r="I28" s="258" t="str">
        <f>IFERROR(VLOOKUP($A28,TableHandbook[],I$2,FALSE),"")</f>
        <v/>
      </c>
      <c r="J28" s="258" t="str">
        <f>IFERROR(VLOOKUP($A28,TableHandbook[],J$2,FALSE),"")</f>
        <v/>
      </c>
      <c r="K28" s="265" t="str">
        <f>IFERROR(VLOOKUP($A28,TableHandbook[],K$2,FALSE),"")</f>
        <v/>
      </c>
      <c r="L28" s="58"/>
      <c r="M28" s="218">
        <v>13</v>
      </c>
      <c r="N28" s="219"/>
      <c r="O28" s="219"/>
    </row>
    <row r="29" spans="1:16" s="22" customFormat="1" ht="6" customHeight="1" x14ac:dyDescent="0.15">
      <c r="A29" s="191"/>
      <c r="B29" s="192"/>
      <c r="C29" s="192"/>
      <c r="D29" s="193"/>
      <c r="E29" s="192"/>
      <c r="F29" s="194"/>
      <c r="G29" s="192"/>
      <c r="H29" s="259"/>
      <c r="I29" s="260"/>
      <c r="J29" s="260"/>
      <c r="K29" s="268"/>
      <c r="L29" s="197"/>
      <c r="M29" s="218"/>
      <c r="N29" s="219"/>
      <c r="O29" s="219"/>
      <c r="P29" s="219"/>
    </row>
    <row r="30" spans="1:16" s="22" customFormat="1" ht="21" customHeight="1" x14ac:dyDescent="0.15">
      <c r="A30" s="56" t="str">
        <f>IFERROR(IF(HLOOKUP($L$6,RangeUnitsetsSec,M30,FALSE)=0,"",HLOOKUP($L$6,RangeUnitsetsSec,M30,FALSE)),"")</f>
        <v/>
      </c>
      <c r="B30" s="52" t="str">
        <f>IFERROR(IF(VLOOKUP($A30,TableHandbook[],2,FALSE)=0,"",VLOOKUP($A30,TableHandbook[],2,FALSE)),"")</f>
        <v/>
      </c>
      <c r="C30" s="52" t="str">
        <f>IFERROR(IF(VLOOKUP($A30,TableHandbook[],3,FALSE)=0,"",VLOOKUP($A30,TableHandbook[],3,FALSE)),"")</f>
        <v/>
      </c>
      <c r="D30" s="55" t="str">
        <f>IFERROR(IF(VLOOKUP($A30,TableHandbook[],4,FALSE)=0,"",VLOOKUP($A30,TableHandbook[],4,FALSE)),"")</f>
        <v/>
      </c>
      <c r="E30" s="52" t="str">
        <f>IF(OR(A30="",A30="--"),"",VLOOKUP($D$9,TableStudyPeriods[],4,FALSE))</f>
        <v/>
      </c>
      <c r="F30" s="49" t="str">
        <f>IFERROR(IF(VLOOKUP($A30,TableHandbook[],6,FALSE)=0,"",VLOOKUP($A30,TableHandbook[],6,FALSE)),"")</f>
        <v/>
      </c>
      <c r="G30" s="50" t="str">
        <f>IFERROR(IF(VLOOKUP($A30,TableHandbook[],5,FALSE)=0,"",VLOOKUP($A30,TableHandbook[],5,FALSE)),"")</f>
        <v/>
      </c>
      <c r="H30" s="262" t="str">
        <f>IFERROR(VLOOKUP($A30,TableHandbook[],H$2,FALSE),"")</f>
        <v/>
      </c>
      <c r="I30" s="263" t="str">
        <f>IFERROR(VLOOKUP($A30,TableHandbook[],I$2,FALSE),"")</f>
        <v/>
      </c>
      <c r="J30" s="263" t="str">
        <f>IFERROR(VLOOKUP($A30,TableHandbook[],J$2,FALSE),"")</f>
        <v/>
      </c>
      <c r="K30" s="264" t="str">
        <f>IFERROR(VLOOKUP($A30,TableHandbook[],K$2,FALSE),"")</f>
        <v/>
      </c>
      <c r="L30" s="58"/>
      <c r="M30" s="218">
        <v>14</v>
      </c>
      <c r="N30" s="219"/>
      <c r="O30" s="219"/>
    </row>
    <row r="31" spans="1:16" s="22" customFormat="1" ht="21" customHeight="1" x14ac:dyDescent="0.15">
      <c r="A31" s="56" t="str">
        <f>IFERROR(IF(HLOOKUP($L$6,RangeUnitsetsSec,M31,FALSE)=0,"",HLOOKUP($L$6,RangeUnitsetsSec,M31,FALSE)),"")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IF(A31="","",E30)</f>
        <v/>
      </c>
      <c r="F31" s="49" t="str">
        <f>IFERROR(IF(VLOOKUP($A31,TableHandbook[],6,FALSE)=0,"",VLOOKUP($A31,TableHandbook[],6,FALSE)),"")</f>
        <v/>
      </c>
      <c r="G31" s="50" t="str">
        <f>IFERROR(IF(VLOOKUP($A31,TableHandbook[],5,FALSE)=0,"",VLOOKUP($A31,TableHandbook[],5,FALSE)),"")</f>
        <v/>
      </c>
      <c r="H31" s="262" t="str">
        <f>IFERROR(VLOOKUP($A31,TableHandbook[],H$2,FALSE),"")</f>
        <v/>
      </c>
      <c r="I31" s="263" t="str">
        <f>IFERROR(VLOOKUP($A31,TableHandbook[],I$2,FALSE),"")</f>
        <v/>
      </c>
      <c r="J31" s="263" t="str">
        <f>IFERROR(VLOOKUP($A31,TableHandbook[],J$2,FALSE),"")</f>
        <v/>
      </c>
      <c r="K31" s="264" t="str">
        <f>IFERROR(VLOOKUP($A31,TableHandbook[],K$2,FALSE),"")</f>
        <v/>
      </c>
      <c r="L31" s="58"/>
      <c r="M31" s="218">
        <v>15</v>
      </c>
      <c r="N31" s="219"/>
      <c r="O31" s="219"/>
    </row>
    <row r="32" spans="1:16" s="31" customFormat="1" ht="6" customHeight="1" x14ac:dyDescent="0.15">
      <c r="A32" s="191"/>
      <c r="B32" s="192"/>
      <c r="C32" s="192"/>
      <c r="D32" s="193"/>
      <c r="E32" s="192"/>
      <c r="F32" s="194"/>
      <c r="G32" s="192"/>
      <c r="H32" s="259"/>
      <c r="I32" s="260"/>
      <c r="J32" s="260"/>
      <c r="K32" s="268"/>
      <c r="L32" s="197"/>
      <c r="M32" s="218"/>
      <c r="N32" s="221"/>
      <c r="O32" s="221"/>
    </row>
    <row r="33" spans="1:15" s="31" customFormat="1" ht="21" customHeight="1" x14ac:dyDescent="0.15">
      <c r="A33" s="56" t="str">
        <f>IFERROR(IF(HLOOKUP($L$6,RangeUnitsetsSec,M33,FALSE)=0,"",HLOOKUP($L$6,RangeUnitsetsSec,M33,FALSE)),"")</f>
        <v/>
      </c>
      <c r="B33" s="52" t="str">
        <f>IFERROR(IF(VLOOKUP($A33,TableHandbook[],2,FALSE)=0,"",VLOOKUP($A33,TableHandbook[],2,FALSE)),"")</f>
        <v/>
      </c>
      <c r="C33" s="52" t="str">
        <f>IFERROR(IF(VLOOKUP($A33,TableHandbook[],3,FALSE)=0,"",VLOOKUP($A33,TableHandbook[],3,FALSE)),"")</f>
        <v/>
      </c>
      <c r="D33" s="55" t="str">
        <f>IFERROR(IF(VLOOKUP($A33,TableHandbook[],4,FALSE)=0,"",VLOOKUP($A33,TableHandbook[],4,FALSE)),"")</f>
        <v/>
      </c>
      <c r="E33" s="52" t="str">
        <f>IF(OR(A33="",A33="--"),"",VLOOKUP($D$9,TableStudyPeriods[],5,FALSE))</f>
        <v/>
      </c>
      <c r="F33" s="49" t="str">
        <f>IFERROR(IF(VLOOKUP($A33,TableHandbook[],6,FALSE)=0,"",VLOOKUP($A33,TableHandbook[],6,FALSE)),"")</f>
        <v/>
      </c>
      <c r="G33" s="50" t="str">
        <f>IFERROR(IF(VLOOKUP($A33,TableHandbook[],5,FALSE)=0,"",VLOOKUP($A33,TableHandbook[],5,FALSE)),"")</f>
        <v/>
      </c>
      <c r="H33" s="262" t="str">
        <f>IFERROR(VLOOKUP($A33,TableHandbook[],H$2,FALSE),"")</f>
        <v/>
      </c>
      <c r="I33" s="263" t="str">
        <f>IFERROR(VLOOKUP($A33,TableHandbook[],I$2,FALSE),"")</f>
        <v/>
      </c>
      <c r="J33" s="263" t="str">
        <f>IFERROR(VLOOKUP($A33,TableHandbook[],J$2,FALSE),"")</f>
        <v/>
      </c>
      <c r="K33" s="264" t="str">
        <f>IFERROR(VLOOKUP($A33,TableHandbook[],K$2,FALSE),"")</f>
        <v/>
      </c>
      <c r="L33" s="58"/>
      <c r="M33" s="218">
        <v>16</v>
      </c>
      <c r="N33" s="221"/>
      <c r="O33" s="221"/>
    </row>
    <row r="34" spans="1:15" s="31" customFormat="1" ht="21" customHeight="1" x14ac:dyDescent="0.15">
      <c r="A34" s="56" t="str">
        <f>IFERROR(IF(HLOOKUP($L$6,RangeUnitsetsSec,M34,FALSE)=0,"",HLOOKUP($L$6,RangeUnitsetsSec,M34,FALSE)),"")</f>
        <v/>
      </c>
      <c r="B34" s="52" t="str">
        <f>IFERROR(IF(VLOOKUP($A34,TableHandbook[],2,FALSE)=0,"",VLOOKUP($A34,TableHandbook[],2,FALSE)),"")</f>
        <v/>
      </c>
      <c r="C34" s="52" t="str">
        <f>IFERROR(IF(VLOOKUP($A34,TableHandbook[],3,FALSE)=0,"",VLOOKUP($A34,TableHandbook[],3,FALSE)),"")</f>
        <v/>
      </c>
      <c r="D34" s="55" t="str">
        <f>IFERROR(IF(VLOOKUP($A34,TableHandbook[],4,FALSE)=0,"",VLOOKUP($A34,TableHandbook[],4,FALSE)),"")</f>
        <v/>
      </c>
      <c r="E34" s="50" t="str">
        <f>IF(A34="","",E33)</f>
        <v/>
      </c>
      <c r="F34" s="49" t="str">
        <f>IFERROR(IF(VLOOKUP($A34,TableHandbook[],6,FALSE)=0,"",VLOOKUP($A34,TableHandbook[],6,FALSE)),"")</f>
        <v/>
      </c>
      <c r="G34" s="50" t="str">
        <f>IFERROR(IF(VLOOKUP($A34,TableHandbook[],5,FALSE)=0,"",VLOOKUP($A34,TableHandbook[],5,FALSE)),"")</f>
        <v/>
      </c>
      <c r="H34" s="262" t="str">
        <f>IFERROR(VLOOKUP($A34,TableHandbook[],H$2,FALSE),"")</f>
        <v/>
      </c>
      <c r="I34" s="263" t="str">
        <f>IFERROR(VLOOKUP($A34,TableHandbook[],I$2,FALSE),"")</f>
        <v/>
      </c>
      <c r="J34" s="263" t="str">
        <f>IFERROR(VLOOKUP($A34,TableHandbook[],J$2,FALSE),"")</f>
        <v/>
      </c>
      <c r="K34" s="264" t="str">
        <f>IFERROR(VLOOKUP($A34,TableHandbook[],K$2,FALSE),"")</f>
        <v/>
      </c>
      <c r="L34" s="58"/>
      <c r="M34" s="218">
        <v>17</v>
      </c>
      <c r="N34" s="221"/>
      <c r="O34" s="221"/>
    </row>
    <row r="35" spans="1:15" ht="16.5" customHeight="1" x14ac:dyDescent="0.25">
      <c r="A35" s="39"/>
      <c r="B35" s="39"/>
      <c r="C35" s="39"/>
      <c r="D35" s="40"/>
      <c r="E35" s="40"/>
      <c r="F35" s="35"/>
      <c r="G35" s="35"/>
      <c r="H35" s="35"/>
      <c r="I35" s="35"/>
      <c r="J35" s="35"/>
      <c r="K35" s="35"/>
      <c r="L35" s="35"/>
    </row>
    <row r="36" spans="1:15" s="42" customFormat="1" ht="25.5" x14ac:dyDescent="0.25">
      <c r="A36" s="150" t="s">
        <v>269</v>
      </c>
      <c r="B36" s="97"/>
      <c r="C36" s="97"/>
      <c r="D36" s="98"/>
      <c r="E36" s="99"/>
      <c r="F36" s="99"/>
      <c r="G36" s="99"/>
      <c r="H36" s="100" t="str">
        <f>H10</f>
        <v>2025 Availabilities</v>
      </c>
      <c r="I36" s="101"/>
      <c r="J36" s="102"/>
      <c r="K36" s="103"/>
      <c r="L36" s="104"/>
    </row>
    <row r="37" spans="1:15" ht="21" customHeight="1" x14ac:dyDescent="0.25">
      <c r="A37" s="107"/>
      <c r="B37" s="107"/>
      <c r="C37" s="125" t="s">
        <v>21</v>
      </c>
      <c r="D37" s="108" t="s">
        <v>3</v>
      </c>
      <c r="E37" s="125"/>
      <c r="F37" s="107" t="s">
        <v>23</v>
      </c>
      <c r="G37" s="107" t="s">
        <v>24</v>
      </c>
      <c r="H37" s="255" t="str">
        <f>H$11</f>
        <v>SP1</v>
      </c>
      <c r="I37" s="256" t="str">
        <f t="shared" ref="I37:L37" si="1">I$11</f>
        <v>SP2</v>
      </c>
      <c r="J37" s="256" t="str">
        <f t="shared" si="1"/>
        <v>SP3</v>
      </c>
      <c r="K37" s="261" t="str">
        <f t="shared" si="1"/>
        <v>SP4</v>
      </c>
      <c r="L37" s="107" t="str">
        <f t="shared" si="1"/>
        <v>Notes / Progress</v>
      </c>
      <c r="M37" s="222"/>
    </row>
    <row r="38" spans="1:15" x14ac:dyDescent="0.25">
      <c r="A38" s="157" t="str">
        <f>IFERROR(IF(HLOOKUP($L$7,RangeTeachingAreas,M38,FALSE)=0,"",HLOOKUP($L$7,RangeTeachingAreas,M38,FALSE)),"")</f>
        <v/>
      </c>
      <c r="B38" s="141" t="str">
        <f>IFERROR(IF(VLOOKUP($A38,TableHandbook[],2,FALSE)=0,"",VLOOKUP($A38,TableHandbook[],2,FALSE)),"")</f>
        <v/>
      </c>
      <c r="C38" s="209" t="str">
        <f>IFERROR(IF(VLOOKUP($A38,TableHandbook[],3,FALSE)=0,"",VLOOKUP($A38,TableHandbook[],3,FALSE)),"")</f>
        <v/>
      </c>
      <c r="D38" s="142" t="str">
        <f>IFERROR(IF(VLOOKUP($A38,TableHandbook[],4,FALSE)=0,"",VLOOKUP($A38,TableHandbook[],4,FALSE)),"")</f>
        <v/>
      </c>
      <c r="E38" s="143"/>
      <c r="F38" s="144" t="str">
        <f>IFERROR(IF(VLOOKUP($A38,TableHandbook[],6,FALSE)=0,"",VLOOKUP($A38,TableHandbook[],6,FALSE)),"")</f>
        <v/>
      </c>
      <c r="G38" s="144" t="str">
        <f>IFERROR(IF(VLOOKUP($A38,TableHandbook[],5,FALSE)=0,"",VLOOKUP($A38,TableHandbook[],5,FALSE)),"")</f>
        <v/>
      </c>
      <c r="H38" s="269" t="str">
        <f>IFERROR(VLOOKUP($A38,TableHandbook[],H$2,FALSE),"")</f>
        <v/>
      </c>
      <c r="I38" s="270" t="str">
        <f>IFERROR(VLOOKUP($A38,TableHandbook[],I$2,FALSE),"")</f>
        <v/>
      </c>
      <c r="J38" s="270" t="str">
        <f>IFERROR(VLOOKUP($A38,TableHandbook[],J$2,FALSE),"")</f>
        <v/>
      </c>
      <c r="K38" s="271" t="str">
        <f>IFERROR(VLOOKUP($A38,TableHandbook[],K$2,FALSE),"")</f>
        <v/>
      </c>
      <c r="L38" s="206"/>
      <c r="M38" s="223">
        <v>2</v>
      </c>
    </row>
    <row r="39" spans="1:15" x14ac:dyDescent="0.25">
      <c r="A39" s="158" t="str">
        <f>IFERROR(IF(HLOOKUP($L$7,RangeTeachingAreas,M39,FALSE)=0,"",HLOOKUP($L$7,RangeTeachingAreas,M39,FALSE)),"")</f>
        <v/>
      </c>
      <c r="B39" s="43" t="str">
        <f>IFERROR(IF(VLOOKUP($A39,TableHandbook[],2,FALSE)=0,"",VLOOKUP($A39,TableHandbook[],2,FALSE)),"")</f>
        <v/>
      </c>
      <c r="C39" s="200" t="str">
        <f>IFERROR(IF(VLOOKUP($A39,TableHandbook[],3,FALSE)=0,"",VLOOKUP($A39,TableHandbook[],3,FALSE)),"")</f>
        <v/>
      </c>
      <c r="D39" s="44" t="str">
        <f>IFERROR(IF(VLOOKUP($A39,TableHandbook[],4,FALSE)=0,"",VLOOKUP($A39,TableHandbook[],4,FALSE)),"")</f>
        <v/>
      </c>
      <c r="E39" s="45"/>
      <c r="F39" s="46" t="str">
        <f>IFERROR(IF(VLOOKUP($A39,TableHandbook[],6,FALSE)=0,"",VLOOKUP($A39,TableHandbook[],6,FALSE)),"")</f>
        <v/>
      </c>
      <c r="G39" s="46" t="str">
        <f>IFERROR(IF(VLOOKUP($A39,TableHandbook[],5,FALSE)=0,"",VLOOKUP($A39,TableHandbook[],5,FALSE)),"")</f>
        <v/>
      </c>
      <c r="H39" s="257" t="str">
        <f>IFERROR(VLOOKUP($A39,TableHandbook[],H$2,FALSE),"")</f>
        <v/>
      </c>
      <c r="I39" s="258" t="str">
        <f>IFERROR(VLOOKUP($A39,TableHandbook[],I$2,FALSE),"")</f>
        <v/>
      </c>
      <c r="J39" s="258" t="str">
        <f>IFERROR(VLOOKUP($A39,TableHandbook[],J$2,FALSE),"")</f>
        <v/>
      </c>
      <c r="K39" s="265" t="str">
        <f>IFERROR(VLOOKUP($A39,TableHandbook[],K$2,FALSE),"")</f>
        <v/>
      </c>
      <c r="L39" s="59"/>
      <c r="M39" s="222">
        <v>3</v>
      </c>
    </row>
    <row r="40" spans="1:15" x14ac:dyDescent="0.25">
      <c r="A40" s="158" t="str">
        <f>IFERROR(IF(HLOOKUP($L$7,RangeTeachingAreas,M40,FALSE)=0,"",HLOOKUP($L$7,RangeTeachingAreas,M40,FALSE)),"")</f>
        <v/>
      </c>
      <c r="B40" s="43" t="str">
        <f>IFERROR(IF(VLOOKUP($A40,TableHandbook[],2,FALSE)=0,"",VLOOKUP($A40,TableHandbook[],2,FALSE)),"")</f>
        <v/>
      </c>
      <c r="C40" s="200" t="str">
        <f>IFERROR(IF(VLOOKUP($A40,TableHandbook[],3,FALSE)=0,"",VLOOKUP($A40,TableHandbook[],3,FALSE)),"")</f>
        <v/>
      </c>
      <c r="D40" s="44" t="str">
        <f>IFERROR(IF(VLOOKUP($A40,TableHandbook[],4,FALSE)=0,"",VLOOKUP($A40,TableHandbook[],4,FALSE)),"")</f>
        <v/>
      </c>
      <c r="E40" s="45"/>
      <c r="F40" s="46" t="str">
        <f>IFERROR(IF(VLOOKUP($A40,TableHandbook[],6,FALSE)=0,"",VLOOKUP($A40,TableHandbook[],6,FALSE)),"")</f>
        <v/>
      </c>
      <c r="G40" s="46" t="str">
        <f>IFERROR(IF(VLOOKUP($A40,TableHandbook[],5,FALSE)=0,"",VLOOKUP($A40,TableHandbook[],5,FALSE)),"")</f>
        <v/>
      </c>
      <c r="H40" s="257" t="str">
        <f>IFERROR(VLOOKUP($A40,TableHandbook[],H$2,FALSE),"")</f>
        <v/>
      </c>
      <c r="I40" s="258" t="str">
        <f>IFERROR(VLOOKUP($A40,TableHandbook[],I$2,FALSE),"")</f>
        <v/>
      </c>
      <c r="J40" s="258" t="str">
        <f>IFERROR(VLOOKUP($A40,TableHandbook[],J$2,FALSE),"")</f>
        <v/>
      </c>
      <c r="K40" s="265" t="str">
        <f>IFERROR(VLOOKUP($A40,TableHandbook[],K$2,FALSE),"")</f>
        <v/>
      </c>
      <c r="L40" s="59"/>
      <c r="M40" s="222">
        <v>4</v>
      </c>
    </row>
    <row r="41" spans="1:15" x14ac:dyDescent="0.25">
      <c r="A41" s="158"/>
      <c r="B41" s="43"/>
      <c r="C41" s="200"/>
      <c r="D41" s="44"/>
      <c r="E41" s="45"/>
      <c r="F41" s="46"/>
      <c r="G41" s="46"/>
      <c r="H41" s="257"/>
      <c r="I41" s="258"/>
      <c r="J41" s="258"/>
      <c r="K41" s="265"/>
      <c r="L41" s="59"/>
      <c r="M41" s="222"/>
    </row>
    <row r="42" spans="1:15" x14ac:dyDescent="0.25">
      <c r="A42" s="279" t="str">
        <f>IFERROR(IF(HLOOKUP($L$7,RangeTeachingAreas,M42,FALSE)=0,"",HLOOKUP($L$7,RangeTeachingAreas,M42,FALSE)),"")</f>
        <v/>
      </c>
      <c r="B42" s="280" t="str">
        <f>IFERROR(IF(VLOOKUP($A42,TableHandbook[],2,FALSE)=0,"",VLOOKUP($A42,TableHandbook[],2,FALSE)),"")</f>
        <v/>
      </c>
      <c r="C42" s="281" t="str">
        <f>IFERROR(IF(VLOOKUP($A42,TableHandbook[],3,FALSE)=0,"",VLOOKUP($A42,TableHandbook[],3,FALSE)),"")</f>
        <v/>
      </c>
      <c r="D42" s="282" t="str">
        <f>IFERROR(IF(VLOOKUP($A42,TableHandbook[],4,FALSE)=0,"",VLOOKUP($A42,TableHandbook[],4,FALSE)),"")</f>
        <v/>
      </c>
      <c r="E42" s="283"/>
      <c r="F42" s="284" t="str">
        <f>IFERROR(IF(VLOOKUP($A42,TableHandbook[],6,FALSE)=0,"",VLOOKUP($A42,TableHandbook[],6,FALSE)),"")</f>
        <v/>
      </c>
      <c r="G42" s="284" t="str">
        <f>IFERROR(IF(VLOOKUP($A42,TableHandbook[],5,FALSE)=0,"",VLOOKUP($A42,TableHandbook[],5,FALSE)),"")</f>
        <v/>
      </c>
      <c r="H42" s="285" t="str">
        <f>IFERROR(VLOOKUP($A42,TableHandbook[],H$2,FALSE),"")</f>
        <v/>
      </c>
      <c r="I42" s="286" t="str">
        <f>IFERROR(VLOOKUP($A42,TableHandbook[],I$2,FALSE),"")</f>
        <v/>
      </c>
      <c r="J42" s="286" t="str">
        <f>IFERROR(VLOOKUP($A42,TableHandbook[],J$2,FALSE),"")</f>
        <v/>
      </c>
      <c r="K42" s="287" t="str">
        <f>IFERROR(VLOOKUP($A42,TableHandbook[],K$2,FALSE),"")</f>
        <v/>
      </c>
      <c r="L42" s="291"/>
      <c r="M42" s="288">
        <v>5</v>
      </c>
    </row>
    <row r="43" spans="1:15" x14ac:dyDescent="0.25">
      <c r="A43" s="158" t="str">
        <f>IFERROR(IF(HLOOKUP($L$8,RangeTeachingAreas,M43,FALSE)=0,"",HLOOKUP($L$8,RangeTeachingAreas,M43,FALSE)),"")</f>
        <v/>
      </c>
      <c r="B43" s="43" t="str">
        <f>IFERROR(IF(VLOOKUP($A43,TableHandbook[],2,FALSE)=0,"",VLOOKUP($A43,TableHandbook[],2,FALSE)),"")</f>
        <v/>
      </c>
      <c r="C43" s="200" t="str">
        <f>IFERROR(IF(VLOOKUP($A43,TableHandbook[],3,FALSE)=0,"",VLOOKUP($A43,TableHandbook[],3,FALSE)),"")</f>
        <v/>
      </c>
      <c r="D43" s="44" t="str">
        <f>IFERROR(IF(VLOOKUP($A43,TableHandbook[],4,FALSE)=0,"",VLOOKUP($A43,TableHandbook[],4,FALSE)),"")</f>
        <v/>
      </c>
      <c r="E43" s="45"/>
      <c r="F43" s="46" t="str">
        <f>IFERROR(IF(VLOOKUP($A43,TableHandbook[],6,FALSE)=0,"",VLOOKUP($A43,TableHandbook[],6,FALSE)),"")</f>
        <v/>
      </c>
      <c r="G43" s="46" t="str">
        <f>IFERROR(IF(VLOOKUP($A43,TableHandbook[],5,FALSE)=0,"",VLOOKUP($A43,TableHandbook[],5,FALSE)),"")</f>
        <v/>
      </c>
      <c r="H43" s="257" t="str">
        <f>IFERROR(VLOOKUP($A43,TableHandbook[],H$2,FALSE),"")</f>
        <v/>
      </c>
      <c r="I43" s="258" t="str">
        <f>IFERROR(VLOOKUP($A43,TableHandbook[],I$2,FALSE),"")</f>
        <v/>
      </c>
      <c r="J43" s="258" t="str">
        <f>IFERROR(VLOOKUP($A43,TableHandbook[],J$2,FALSE),"")</f>
        <v/>
      </c>
      <c r="K43" s="265" t="str">
        <f>IFERROR(VLOOKUP($A43,TableHandbook[],K$2,FALSE),"")</f>
        <v/>
      </c>
      <c r="L43" s="59"/>
      <c r="M43" s="222">
        <v>6</v>
      </c>
    </row>
    <row r="44" spans="1:15" x14ac:dyDescent="0.25">
      <c r="A44" s="158" t="str">
        <f>IFERROR(IF(HLOOKUP($L$8,RangeTeachingAreas,M44,FALSE)=0,"",HLOOKUP($L$8,RangeTeachingAreas,M44,FALSE)),"")</f>
        <v/>
      </c>
      <c r="B44" s="43" t="str">
        <f>IFERROR(IF(VLOOKUP($A44,TableHandbook[],2,FALSE)=0,"",VLOOKUP($A44,TableHandbook[],2,FALSE)),"")</f>
        <v/>
      </c>
      <c r="C44" s="200" t="str">
        <f>IFERROR(IF(VLOOKUP($A44,TableHandbook[],3,FALSE)=0,"",VLOOKUP($A44,TableHandbook[],3,FALSE)),"")</f>
        <v/>
      </c>
      <c r="D44" s="44" t="str">
        <f>IFERROR(IF(VLOOKUP($A44,TableHandbook[],4,FALSE)=0,"",VLOOKUP($A44,TableHandbook[],4,FALSE)),"")</f>
        <v/>
      </c>
      <c r="E44" s="45"/>
      <c r="F44" s="46" t="str">
        <f>IFERROR(IF(VLOOKUP($A44,TableHandbook[],6,FALSE)=0,"",VLOOKUP($A44,TableHandbook[],6,FALSE)),"")</f>
        <v/>
      </c>
      <c r="G44" s="46" t="str">
        <f>IFERROR(IF(VLOOKUP($A44,TableHandbook[],5,FALSE)=0,"",VLOOKUP($A44,TableHandbook[],5,FALSE)),"")</f>
        <v/>
      </c>
      <c r="H44" s="257" t="str">
        <f>IFERROR(VLOOKUP($A44,TableHandbook[],H$2,FALSE),"")</f>
        <v/>
      </c>
      <c r="I44" s="258" t="str">
        <f>IFERROR(VLOOKUP($A44,TableHandbook[],I$2,FALSE),"")</f>
        <v/>
      </c>
      <c r="J44" s="258" t="str">
        <f>IFERROR(VLOOKUP($A44,TableHandbook[],J$2,FALSE),"")</f>
        <v/>
      </c>
      <c r="K44" s="265" t="str">
        <f>IFERROR(VLOOKUP($A44,TableHandbook[],K$2,FALSE),"")</f>
        <v/>
      </c>
      <c r="L44" s="59"/>
      <c r="M44" s="222">
        <v>7</v>
      </c>
    </row>
    <row r="45" spans="1:15" ht="21" customHeight="1" x14ac:dyDescent="0.25">
      <c r="A45" s="175"/>
      <c r="B45" s="176"/>
      <c r="C45" s="177"/>
      <c r="D45" s="177"/>
      <c r="E45" s="178"/>
      <c r="F45" s="179"/>
      <c r="G45" s="179"/>
      <c r="H45" s="159"/>
      <c r="I45" s="159"/>
      <c r="J45" s="159"/>
      <c r="K45" s="159"/>
      <c r="L45" s="160"/>
      <c r="M45" s="222"/>
    </row>
    <row r="46" spans="1:15" ht="18" x14ac:dyDescent="0.25">
      <c r="A46" s="65" t="s">
        <v>32</v>
      </c>
      <c r="B46" s="65"/>
      <c r="C46" s="65"/>
      <c r="D46" s="65"/>
      <c r="E46" s="65"/>
      <c r="F46" s="65"/>
      <c r="G46" s="65"/>
      <c r="H46" s="65"/>
      <c r="I46" s="65"/>
      <c r="J46" s="65"/>
      <c r="K46" s="65"/>
      <c r="L46" s="65"/>
    </row>
    <row r="47" spans="1:15" s="38" customFormat="1" ht="17.25" x14ac:dyDescent="0.2">
      <c r="A47" s="32" t="s">
        <v>33</v>
      </c>
      <c r="B47" s="32"/>
      <c r="C47" s="32"/>
      <c r="D47" s="33"/>
      <c r="E47" s="33"/>
      <c r="F47" s="33"/>
      <c r="G47" s="33"/>
      <c r="H47" s="33"/>
      <c r="I47" s="33"/>
      <c r="J47" s="33"/>
      <c r="K47" s="33"/>
      <c r="L47" s="33"/>
      <c r="M47" s="224"/>
      <c r="N47" s="224"/>
      <c r="O47" s="224"/>
    </row>
    <row r="48" spans="1:15" x14ac:dyDescent="0.25">
      <c r="A48" s="34" t="s">
        <v>34</v>
      </c>
      <c r="B48" s="34"/>
      <c r="C48" s="34"/>
      <c r="D48" s="34"/>
      <c r="E48" s="47"/>
      <c r="F48" s="35"/>
      <c r="G48" s="48"/>
      <c r="H48" s="48"/>
      <c r="I48" s="48"/>
      <c r="J48" s="48"/>
      <c r="K48" s="48"/>
      <c r="L48" s="48" t="s">
        <v>35</v>
      </c>
    </row>
  </sheetData>
  <sheetProtection algorithmName="SHA-512" hashValue="aV7VS75yZTlHoE1JLse5vPTiQGZsx23b9USjAgnx8k37tPb+CngjLXOARJUgimqQSmUFsY5+lPPBR0fNIHiqJg==" saltValue="DcH0BuKthc1zaKY5++QStQ==" spinCount="100000" sheet="1" objects="1" scenarios="1" formatCells="0" formatColumns="0" formatRow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4"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Unitsets!$A$44:$A$48</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http://schemas.microsoft.com/office/2006/documentManagement/types"/>
    <ds:schemaRef ds:uri="http://purl.org/dc/elements/1.1/"/>
    <ds:schemaRef ds:uri="http://schemas.openxmlformats.org/package/2006/metadata/core-properties"/>
    <ds:schemaRef ds:uri="http://purl.org/dc/terms/"/>
    <ds:schemaRef ds:uri="ba69df13-0c3c-4942-8695-6ca01564010c"/>
    <ds:schemaRef ds:uri="cc9cb892-206f-4052-b06f-5783104e029f"/>
    <ds:schemaRef ds:uri="http://purl.org/dc/dcmitype/"/>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Planner OM-Teach (ECE)</vt:lpstr>
      <vt:lpstr>Planner OM-Teach (Prim)</vt:lpstr>
      <vt:lpstr>Planner OM-EDUC</vt:lpstr>
      <vt:lpstr>Planner OM-APLING</vt:lpstr>
      <vt:lpstr>Planner OC-TESOL</vt:lpstr>
      <vt:lpstr>Planner OC-EDUC</vt:lpstr>
      <vt:lpstr>Planner OC-EDHE</vt:lpstr>
      <vt:lpstr>Unitsets</vt:lpstr>
      <vt:lpstr>Planner M-Teach (Sec)</vt:lpstr>
      <vt:lpstr>Planner OG-EDUC (Prim)</vt:lpstr>
      <vt:lpstr>Planner OG-EDUC (Prim Accel)</vt:lpstr>
      <vt:lpstr>Planner OG-EDUC (Sec)</vt:lpstr>
      <vt:lpstr>Planner OG-EDUC (Sec Accel)</vt:lpstr>
      <vt:lpstr>Unitsets Secondary &amp; GD</vt:lpstr>
      <vt:lpstr>Handbook</vt:lpstr>
      <vt:lpstr>Structures</vt:lpstr>
      <vt:lpstr>Availabilities</vt:lpstr>
      <vt:lpstr>FTAArts</vt:lpstr>
      <vt:lpstr>FTAEnglish</vt:lpstr>
      <vt:lpstr>FTAHASS</vt:lpstr>
      <vt:lpstr>FTAHPE</vt:lpstr>
      <vt:lpstr>FTAMaths</vt:lpstr>
      <vt:lpstr>FTAScience</vt:lpstr>
      <vt:lpstr>'Planner M-Teach (Sec)'!Print_Area</vt:lpstr>
      <vt:lpstr>'Planner OC-EDHE'!Print_Area</vt:lpstr>
      <vt:lpstr>'Planner OC-EDUC'!Print_Area</vt:lpstr>
      <vt:lpstr>'Planner OC-TESOL'!Print_Area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(ECE)'!Print_Area</vt:lpstr>
      <vt:lpstr>'Planner OM-Teach (Prim)'!Print_Area</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2024-11-26T08:05:56Z</cp:lastPrinted>
  <dcterms:created xsi:type="dcterms:W3CDTF">2022-02-28T04:48:12Z</dcterms:created>
  <dcterms:modified xsi:type="dcterms:W3CDTF">2024-12-10T05:43:29Z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