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C7FC7CEF-60E7-4819-8B4E-BDC62E167B5B}" xr6:coauthVersionLast="47" xr6:coauthVersionMax="47" xr10:uidLastSave="{00000000-0000-0000-0000-000000000000}"/>
  <workbookProtection workbookAlgorithmName="SHA-512" workbookHashValue="6S4BJpE1o3UcOxNX3GJLCt8FbhQ3eDEakI+euRsP9viVTi0y3lOj9GqtG/z75Jw7kbfrt4mB9jqPwha7la6E4w==" workbookSaltValue="EFeXsRdFdgN3j3j7whaI0g==" workbookSpinCount="100000" lockStructure="1"/>
  <bookViews>
    <workbookView xWindow="-120" yWindow="-120" windowWidth="29040" windowHeight="17520" xr2:uid="{00000000-000D-0000-FFFF-FFFF00000000}"/>
  </bookViews>
  <sheets>
    <sheet name="Master of Architecture Planner"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'Master of Architecture Planner'!$A$1:$L$53</definedName>
    <definedName name="RangeUnitsets">Unitsets!$L$3:$S$19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3" l="1"/>
  <c r="G18" i="3"/>
  <c r="G19" i="3"/>
  <c r="H20" i="3"/>
  <c r="H18" i="3"/>
  <c r="H19" i="3"/>
  <c r="I20" i="3"/>
  <c r="I18" i="3"/>
  <c r="I19" i="3"/>
  <c r="J20" i="3"/>
  <c r="J18" i="3"/>
  <c r="J19" i="3"/>
  <c r="G17" i="3"/>
  <c r="H17" i="3"/>
  <c r="I17" i="3"/>
  <c r="J17" i="3"/>
  <c r="M1" i="3" l="1"/>
  <c r="L1" i="3"/>
  <c r="G6" i="5" l="1"/>
  <c r="D35" i="8" l="1"/>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C36" i="8"/>
  <c r="C37" i="8"/>
  <c r="C38" i="8"/>
  <c r="C39" i="8"/>
  <c r="C40" i="8"/>
  <c r="C41" i="8"/>
  <c r="C42" i="8"/>
  <c r="C43" i="8"/>
  <c r="C44" i="8"/>
  <c r="C45" i="8"/>
  <c r="C47" i="8"/>
  <c r="C48" i="8"/>
  <c r="C49" i="8"/>
  <c r="C50" i="8"/>
  <c r="C51" i="8"/>
  <c r="C52" i="8"/>
  <c r="C53" i="8"/>
  <c r="C54" i="8"/>
  <c r="C55" i="8"/>
  <c r="C56" i="8"/>
  <c r="C57" i="8"/>
  <c r="C58" i="8"/>
  <c r="C59" i="8"/>
  <c r="C60" i="8"/>
  <c r="C61" i="8"/>
  <c r="C62" i="8"/>
  <c r="C63" i="8"/>
  <c r="L34" i="5" l="1"/>
  <c r="K34" i="5"/>
  <c r="J34" i="5"/>
  <c r="I34" i="5"/>
  <c r="H34" i="5"/>
  <c r="L20" i="5"/>
  <c r="K20" i="5"/>
  <c r="J20" i="5"/>
  <c r="I20" i="5"/>
  <c r="H20" i="5"/>
  <c r="H33" i="5"/>
  <c r="E63" i="8"/>
  <c r="B63" i="8"/>
  <c r="A63" i="8"/>
  <c r="E62" i="8"/>
  <c r="B62" i="8"/>
  <c r="A62" i="8"/>
  <c r="E61" i="8"/>
  <c r="B61" i="8"/>
  <c r="A61" i="8"/>
  <c r="E60" i="8"/>
  <c r="B60" i="8"/>
  <c r="A60" i="8"/>
  <c r="E59" i="8"/>
  <c r="B59" i="8"/>
  <c r="A59" i="8"/>
  <c r="E58" i="8"/>
  <c r="B58" i="8"/>
  <c r="A58" i="8"/>
  <c r="E57" i="8"/>
  <c r="B57" i="8"/>
  <c r="A57" i="8"/>
  <c r="E56" i="8"/>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E45" i="8"/>
  <c r="B45" i="8"/>
  <c r="A45" i="8"/>
  <c r="E44" i="8"/>
  <c r="B44" i="8"/>
  <c r="A44" i="8"/>
  <c r="E43" i="8"/>
  <c r="B43" i="8"/>
  <c r="A43" i="8"/>
  <c r="E42" i="8"/>
  <c r="B42" i="8"/>
  <c r="A42" i="8"/>
  <c r="E41" i="8"/>
  <c r="B41" i="8"/>
  <c r="A41" i="8"/>
  <c r="E40" i="8"/>
  <c r="B40" i="8"/>
  <c r="A40" i="8"/>
  <c r="E39" i="8"/>
  <c r="B39" i="8"/>
  <c r="A39" i="8"/>
  <c r="E38" i="8"/>
  <c r="B38" i="8"/>
  <c r="A38" i="8"/>
  <c r="E37" i="8"/>
  <c r="B37" i="8"/>
  <c r="A37" i="8"/>
  <c r="E36" i="8"/>
  <c r="B36" i="8"/>
  <c r="A36" i="8"/>
  <c r="E35" i="8"/>
  <c r="C35" i="8"/>
  <c r="B35" i="8"/>
  <c r="A35" i="8"/>
  <c r="K1" i="3"/>
  <c r="J1" i="3"/>
  <c r="I1" i="3"/>
  <c r="H1" i="3"/>
  <c r="G1" i="3"/>
  <c r="F1" i="3"/>
  <c r="E1" i="3"/>
  <c r="D1" i="3"/>
  <c r="C1" i="3"/>
  <c r="B1" i="3"/>
  <c r="A1" i="3"/>
  <c r="M20" i="3" l="1"/>
  <c r="M18" i="3"/>
  <c r="M19" i="3"/>
  <c r="M17" i="3"/>
  <c r="M3" i="3"/>
  <c r="M4" i="3"/>
  <c r="M5" i="3"/>
  <c r="M6" i="3"/>
  <c r="M7" i="3"/>
  <c r="M8" i="3"/>
  <c r="M9" i="3"/>
  <c r="M10" i="3"/>
  <c r="M11" i="3"/>
  <c r="M12" i="3"/>
  <c r="M13" i="3"/>
  <c r="M14" i="3"/>
  <c r="M15" i="3"/>
  <c r="M16" i="3"/>
  <c r="M21" i="3"/>
  <c r="M22" i="3"/>
  <c r="M23" i="3"/>
  <c r="M24" i="3"/>
  <c r="M25" i="3"/>
  <c r="M26" i="3"/>
  <c r="M27" i="3"/>
  <c r="M28" i="3"/>
  <c r="M29" i="3"/>
  <c r="M30" i="3"/>
  <c r="M31" i="3"/>
  <c r="M32" i="3"/>
  <c r="M33" i="3"/>
  <c r="M34" i="3"/>
  <c r="M35" i="3"/>
  <c r="M36" i="3"/>
  <c r="G14" i="3"/>
  <c r="H14" i="3"/>
  <c r="I14" i="3"/>
  <c r="J14" i="3"/>
  <c r="J3" i="3"/>
  <c r="J4" i="3"/>
  <c r="J5" i="3"/>
  <c r="J6" i="3"/>
  <c r="J7" i="3"/>
  <c r="J8" i="3"/>
  <c r="J9" i="3"/>
  <c r="J10" i="3"/>
  <c r="J11" i="3"/>
  <c r="J12" i="3"/>
  <c r="J13" i="3"/>
  <c r="J15" i="3"/>
  <c r="J16" i="3"/>
  <c r="J21" i="3"/>
  <c r="J22" i="3"/>
  <c r="J23" i="3"/>
  <c r="J24" i="3"/>
  <c r="J25" i="3"/>
  <c r="J26" i="3"/>
  <c r="J27" i="3"/>
  <c r="J28" i="3"/>
  <c r="J29" i="3"/>
  <c r="J30" i="3"/>
  <c r="J31" i="3"/>
  <c r="J32" i="3"/>
  <c r="J33" i="3"/>
  <c r="J34" i="3"/>
  <c r="J35" i="3"/>
  <c r="J36" i="3"/>
  <c r="I3" i="3"/>
  <c r="I4" i="3"/>
  <c r="I5" i="3"/>
  <c r="I6" i="3"/>
  <c r="I7" i="3"/>
  <c r="I8" i="3"/>
  <c r="I9" i="3"/>
  <c r="I10" i="3"/>
  <c r="I11" i="3"/>
  <c r="I12" i="3"/>
  <c r="I13" i="3"/>
  <c r="I15" i="3"/>
  <c r="I16" i="3"/>
  <c r="I21" i="3"/>
  <c r="I22" i="3"/>
  <c r="I23" i="3"/>
  <c r="I24" i="3"/>
  <c r="I25" i="3"/>
  <c r="I26" i="3"/>
  <c r="I27" i="3"/>
  <c r="I28" i="3"/>
  <c r="I29" i="3"/>
  <c r="I30" i="3"/>
  <c r="I31" i="3"/>
  <c r="I32" i="3"/>
  <c r="I33" i="3"/>
  <c r="I34" i="3"/>
  <c r="I35" i="3"/>
  <c r="I36" i="3"/>
  <c r="H3" i="3"/>
  <c r="H4" i="3"/>
  <c r="H5" i="3"/>
  <c r="H6" i="3"/>
  <c r="H7" i="3"/>
  <c r="H8" i="3"/>
  <c r="H9" i="3"/>
  <c r="H10" i="3"/>
  <c r="H11" i="3"/>
  <c r="H12" i="3"/>
  <c r="H13" i="3"/>
  <c r="H15" i="3"/>
  <c r="H16" i="3"/>
  <c r="H21" i="3"/>
  <c r="H22" i="3"/>
  <c r="H23" i="3"/>
  <c r="H24" i="3"/>
  <c r="H25" i="3"/>
  <c r="H26" i="3"/>
  <c r="H27" i="3"/>
  <c r="H28" i="3"/>
  <c r="H29" i="3"/>
  <c r="H30" i="3"/>
  <c r="H31" i="3"/>
  <c r="H32" i="3"/>
  <c r="H33" i="3"/>
  <c r="H34" i="3"/>
  <c r="H35" i="3"/>
  <c r="H36" i="3"/>
  <c r="G3" i="3"/>
  <c r="G4" i="3"/>
  <c r="G5" i="3"/>
  <c r="G6" i="3"/>
  <c r="G7" i="3"/>
  <c r="G8" i="3"/>
  <c r="G9" i="3"/>
  <c r="G10" i="3"/>
  <c r="G11" i="3"/>
  <c r="G12" i="3"/>
  <c r="G13" i="3"/>
  <c r="G15" i="3"/>
  <c r="G16" i="3"/>
  <c r="G21" i="3"/>
  <c r="G22" i="3"/>
  <c r="G23" i="3"/>
  <c r="G24" i="3"/>
  <c r="G25" i="3"/>
  <c r="G26" i="3"/>
  <c r="G27" i="3"/>
  <c r="G28" i="3"/>
  <c r="G29" i="3"/>
  <c r="G30" i="3"/>
  <c r="G31" i="3"/>
  <c r="G32" i="3"/>
  <c r="G33" i="3"/>
  <c r="G34" i="3"/>
  <c r="G35" i="3"/>
  <c r="G36" i="3"/>
  <c r="C15" i="8"/>
  <c r="C16" i="8"/>
  <c r="C17" i="8"/>
  <c r="C18" i="8"/>
  <c r="C19" i="8"/>
  <c r="C20" i="8"/>
  <c r="C21" i="8"/>
  <c r="C22" i="8"/>
  <c r="C23" i="8"/>
  <c r="C24" i="8"/>
  <c r="C25" i="8"/>
  <c r="C26" i="8"/>
  <c r="C27" i="8"/>
  <c r="C28" i="8"/>
  <c r="C29" i="8"/>
  <c r="C30" i="8"/>
  <c r="C31" i="8"/>
  <c r="C14" i="8"/>
  <c r="C10" i="8"/>
  <c r="C11" i="8"/>
  <c r="C12" i="8"/>
  <c r="C1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C4" i="8" l="1"/>
  <c r="C5" i="8"/>
  <c r="C6" i="8"/>
  <c r="C7" i="8"/>
  <c r="C9" i="8"/>
  <c r="C3" i="8"/>
  <c r="G49" i="5" l="1"/>
  <c r="F49" i="5"/>
  <c r="D49" i="5"/>
  <c r="C49" i="5"/>
  <c r="B49" i="5"/>
  <c r="G48" i="5"/>
  <c r="F48" i="5"/>
  <c r="D48" i="5"/>
  <c r="C48" i="5"/>
  <c r="B48" i="5"/>
  <c r="G47" i="5"/>
  <c r="F47" i="5"/>
  <c r="D47" i="5"/>
  <c r="C47" i="5"/>
  <c r="B47" i="5"/>
  <c r="G46" i="5"/>
  <c r="F46" i="5"/>
  <c r="D46" i="5"/>
  <c r="C46" i="5"/>
  <c r="B46" i="5"/>
  <c r="G45" i="5"/>
  <c r="F45" i="5"/>
  <c r="D45" i="5"/>
  <c r="C45" i="5"/>
  <c r="B45" i="5"/>
  <c r="G44" i="5"/>
  <c r="F44" i="5"/>
  <c r="D44" i="5"/>
  <c r="C44" i="5"/>
  <c r="B44" i="5"/>
  <c r="G43" i="5"/>
  <c r="F43" i="5"/>
  <c r="D43" i="5"/>
  <c r="C43" i="5"/>
  <c r="B43" i="5"/>
  <c r="G42" i="5"/>
  <c r="F42" i="5"/>
  <c r="D42" i="5"/>
  <c r="C42" i="5"/>
  <c r="B42" i="5"/>
  <c r="G41" i="5"/>
  <c r="F41" i="5"/>
  <c r="D41" i="5"/>
  <c r="C41" i="5"/>
  <c r="B41" i="5"/>
  <c r="G40" i="5"/>
  <c r="F40" i="5"/>
  <c r="D40" i="5"/>
  <c r="C40" i="5"/>
  <c r="B40" i="5"/>
  <c r="G39" i="5"/>
  <c r="F39" i="5"/>
  <c r="D39" i="5"/>
  <c r="C39" i="5"/>
  <c r="B39" i="5"/>
  <c r="G38" i="5"/>
  <c r="F38" i="5"/>
  <c r="D38" i="5"/>
  <c r="C38" i="5"/>
  <c r="B38" i="5"/>
  <c r="G37" i="5"/>
  <c r="F37" i="5"/>
  <c r="D37" i="5"/>
  <c r="C37" i="5"/>
  <c r="B37" i="5"/>
  <c r="G36" i="5"/>
  <c r="F36" i="5"/>
  <c r="D36" i="5"/>
  <c r="C36" i="5"/>
  <c r="B36" i="5"/>
  <c r="G35" i="5"/>
  <c r="F35" i="5"/>
  <c r="D35" i="5"/>
  <c r="C35" i="5"/>
  <c r="B35" i="5"/>
  <c r="K49" i="5" l="1"/>
  <c r="J49" i="5"/>
  <c r="I49" i="5"/>
  <c r="H49" i="5"/>
  <c r="K48" i="5"/>
  <c r="J48" i="5"/>
  <c r="I48" i="5"/>
  <c r="H48" i="5"/>
  <c r="K47" i="5"/>
  <c r="J47" i="5"/>
  <c r="I47" i="5"/>
  <c r="H47" i="5"/>
  <c r="K46" i="5"/>
  <c r="J46" i="5"/>
  <c r="I46" i="5"/>
  <c r="H46" i="5"/>
  <c r="K45" i="5"/>
  <c r="J45" i="5"/>
  <c r="I45" i="5"/>
  <c r="H45" i="5"/>
  <c r="K44" i="5"/>
  <c r="J44" i="5"/>
  <c r="I44" i="5"/>
  <c r="H44" i="5"/>
  <c r="K43" i="5"/>
  <c r="J43" i="5"/>
  <c r="I43" i="5"/>
  <c r="H43" i="5"/>
  <c r="K42" i="5"/>
  <c r="J42" i="5"/>
  <c r="I42" i="5"/>
  <c r="H42" i="5"/>
  <c r="K41" i="5"/>
  <c r="J41" i="5"/>
  <c r="I41" i="5"/>
  <c r="H41" i="5"/>
  <c r="K40" i="5"/>
  <c r="J40" i="5"/>
  <c r="I40" i="5"/>
  <c r="H40" i="5"/>
  <c r="K39" i="5"/>
  <c r="J39" i="5"/>
  <c r="I39" i="5"/>
  <c r="H39" i="5"/>
  <c r="K38" i="5"/>
  <c r="J38" i="5"/>
  <c r="I38" i="5"/>
  <c r="H38" i="5"/>
  <c r="K37" i="5"/>
  <c r="J37" i="5"/>
  <c r="I37" i="5"/>
  <c r="H37" i="5"/>
  <c r="K36" i="5"/>
  <c r="J36" i="5"/>
  <c r="I36" i="5"/>
  <c r="H36" i="5"/>
  <c r="K35" i="5"/>
  <c r="J35" i="5"/>
  <c r="I35" i="5"/>
  <c r="H35" i="5"/>
  <c r="G5" i="5"/>
  <c r="E3" i="8" l="1"/>
  <c r="E4" i="8"/>
  <c r="E5" i="8"/>
  <c r="E6" i="8"/>
  <c r="E7" i="8"/>
  <c r="E8" i="8"/>
  <c r="E9" i="8"/>
  <c r="E10" i="8"/>
  <c r="E11" i="8"/>
  <c r="E12" i="8"/>
  <c r="E13" i="8"/>
  <c r="E14" i="8"/>
  <c r="E15" i="8"/>
  <c r="E16" i="8"/>
  <c r="E17" i="8"/>
  <c r="E18" i="8"/>
  <c r="E19" i="8"/>
  <c r="E20" i="8"/>
  <c r="E21" i="8"/>
  <c r="E22" i="8"/>
  <c r="E23" i="8"/>
  <c r="E24" i="8"/>
  <c r="E25" i="8"/>
  <c r="E26" i="8"/>
  <c r="E27" i="8"/>
  <c r="E28" i="8"/>
  <c r="E29" i="8"/>
  <c r="E30" i="8"/>
  <c r="E31" i="8"/>
  <c r="B3" i="8"/>
  <c r="A3" i="8" l="1"/>
  <c r="L20" i="3" l="1"/>
  <c r="L18" i="3"/>
  <c r="L19" i="3"/>
  <c r="L17" i="3"/>
  <c r="L36" i="3"/>
  <c r="L35" i="3"/>
  <c r="L34" i="3"/>
  <c r="L33" i="3"/>
  <c r="L32" i="3"/>
  <c r="L31" i="3"/>
  <c r="L30" i="3"/>
  <c r="L29" i="3"/>
  <c r="L28" i="3"/>
  <c r="L27" i="3"/>
  <c r="L26" i="3"/>
  <c r="L25" i="3"/>
  <c r="L24" i="3"/>
  <c r="L23" i="3"/>
  <c r="L22" i="3"/>
  <c r="L21" i="3"/>
  <c r="L16" i="3"/>
  <c r="L15" i="3"/>
  <c r="L14" i="3"/>
  <c r="L13" i="3"/>
  <c r="L12" i="3"/>
  <c r="L11" i="3"/>
  <c r="L10" i="3"/>
  <c r="L9" i="3"/>
  <c r="L8" i="3"/>
  <c r="L7" i="3"/>
  <c r="L6" i="3"/>
  <c r="L5" i="3"/>
  <c r="L4" i="3"/>
  <c r="L3" i="3"/>
  <c r="L5" i="5"/>
  <c r="A22" i="5" l="1"/>
  <c r="A12" i="5"/>
  <c r="E12" i="5" s="1"/>
  <c r="A25" i="5"/>
  <c r="A16" i="5"/>
  <c r="A31" i="5"/>
  <c r="A10" i="5"/>
  <c r="A30" i="5"/>
  <c r="E30" i="5" s="1"/>
  <c r="A21" i="5"/>
  <c r="E21" i="5" s="1"/>
  <c r="A19" i="5"/>
  <c r="A27" i="5"/>
  <c r="E27" i="5" s="1"/>
  <c r="A28" i="5"/>
  <c r="A18" i="5"/>
  <c r="E18" i="5" s="1"/>
  <c r="A24" i="5"/>
  <c r="E24" i="5" s="1"/>
  <c r="A15" i="5"/>
  <c r="E15" i="5" s="1"/>
  <c r="A13" i="5"/>
  <c r="A9" i="5"/>
  <c r="E9" i="5" s="1"/>
  <c r="E25" i="5" l="1"/>
  <c r="E31" i="5"/>
  <c r="E13" i="5"/>
  <c r="E16" i="5"/>
  <c r="E28" i="5"/>
  <c r="E22" i="5"/>
  <c r="E10" i="5"/>
  <c r="E19" i="5"/>
  <c r="K21" i="5"/>
  <c r="J21" i="5"/>
  <c r="I21" i="5"/>
  <c r="H21" i="5"/>
  <c r="K13" i="5"/>
  <c r="I13" i="5"/>
  <c r="H13" i="5"/>
  <c r="J13" i="5"/>
  <c r="K30" i="5"/>
  <c r="J30" i="5"/>
  <c r="I30" i="5"/>
  <c r="H30" i="5"/>
  <c r="K15" i="5"/>
  <c r="J15" i="5"/>
  <c r="I15" i="5"/>
  <c r="H15" i="5"/>
  <c r="K31" i="5"/>
  <c r="J31" i="5"/>
  <c r="I31" i="5"/>
  <c r="H31" i="5"/>
  <c r="K18" i="5"/>
  <c r="J18" i="5"/>
  <c r="I18" i="5"/>
  <c r="H18" i="5"/>
  <c r="K16" i="5"/>
  <c r="I16" i="5"/>
  <c r="H16" i="5"/>
  <c r="J16" i="5"/>
  <c r="K24" i="5"/>
  <c r="J24" i="5"/>
  <c r="I24" i="5"/>
  <c r="H24" i="5"/>
  <c r="K28" i="5"/>
  <c r="J28" i="5"/>
  <c r="I28" i="5"/>
  <c r="H28" i="5"/>
  <c r="K25" i="5"/>
  <c r="J25" i="5"/>
  <c r="I25" i="5"/>
  <c r="H25" i="5"/>
  <c r="K27" i="5"/>
  <c r="J27" i="5"/>
  <c r="I27" i="5"/>
  <c r="H27" i="5"/>
  <c r="K12" i="5"/>
  <c r="J12" i="5"/>
  <c r="I12" i="5"/>
  <c r="H12" i="5"/>
  <c r="K19" i="5"/>
  <c r="J19" i="5"/>
  <c r="I19" i="5"/>
  <c r="H19" i="5"/>
  <c r="K22" i="5"/>
  <c r="I22" i="5"/>
  <c r="H22" i="5"/>
  <c r="J22" i="5"/>
  <c r="J10" i="5"/>
  <c r="I10" i="5"/>
  <c r="H10" i="5"/>
  <c r="K10" i="5"/>
  <c r="H9" i="5"/>
  <c r="I9" i="5"/>
  <c r="K9" i="5"/>
  <c r="J9" i="5"/>
  <c r="C9" i="5"/>
  <c r="G9" i="5"/>
  <c r="D9" i="5"/>
  <c r="F9" i="5"/>
  <c r="B9" i="5"/>
  <c r="C21" i="5"/>
  <c r="F21" i="5"/>
  <c r="B21" i="5"/>
  <c r="G21" i="5"/>
  <c r="D21" i="5"/>
  <c r="D15" i="5"/>
  <c r="G15" i="5"/>
  <c r="B15" i="5"/>
  <c r="C15" i="5"/>
  <c r="F15" i="5"/>
  <c r="G10" i="5"/>
  <c r="D10" i="5"/>
  <c r="F10" i="5"/>
  <c r="B10" i="5"/>
  <c r="C10" i="5"/>
  <c r="D24" i="5"/>
  <c r="G24" i="5"/>
  <c r="B24" i="5"/>
  <c r="F24" i="5"/>
  <c r="C24" i="5"/>
  <c r="G31" i="5"/>
  <c r="F31" i="5"/>
  <c r="C31" i="5"/>
  <c r="B31" i="5"/>
  <c r="D31" i="5"/>
  <c r="F18" i="5"/>
  <c r="G18" i="5"/>
  <c r="B18" i="5"/>
  <c r="C18" i="5"/>
  <c r="D18" i="5"/>
  <c r="F16" i="5"/>
  <c r="G16" i="5"/>
  <c r="B16" i="5"/>
  <c r="C16" i="5"/>
  <c r="D16" i="5"/>
  <c r="F30" i="5"/>
  <c r="D30" i="5"/>
  <c r="G30" i="5"/>
  <c r="B30" i="5"/>
  <c r="C30" i="5"/>
  <c r="F28" i="5"/>
  <c r="C28" i="5"/>
  <c r="G28" i="5"/>
  <c r="B28" i="5"/>
  <c r="D28" i="5"/>
  <c r="F25" i="5"/>
  <c r="B25" i="5"/>
  <c r="C25" i="5"/>
  <c r="G25" i="5"/>
  <c r="D25" i="5"/>
  <c r="F13" i="5"/>
  <c r="C13" i="5"/>
  <c r="G13" i="5"/>
  <c r="D13" i="5"/>
  <c r="B13" i="5"/>
  <c r="D27" i="5"/>
  <c r="B27" i="5"/>
  <c r="F27" i="5"/>
  <c r="G27" i="5"/>
  <c r="C27" i="5"/>
  <c r="G12" i="5"/>
  <c r="D12" i="5"/>
  <c r="C12" i="5"/>
  <c r="F12" i="5"/>
  <c r="B12" i="5"/>
  <c r="G19" i="5"/>
  <c r="F19" i="5"/>
  <c r="C19" i="5"/>
  <c r="B19" i="5"/>
  <c r="D19" i="5"/>
  <c r="D22" i="5"/>
  <c r="G22" i="5"/>
  <c r="F22" i="5"/>
  <c r="C22" i="5"/>
  <c r="B22" i="5"/>
</calcChain>
</file>

<file path=xl/sharedStrings.xml><?xml version="1.0" encoding="utf-8"?>
<sst xmlns="http://schemas.openxmlformats.org/spreadsheetml/2006/main" count="822" uniqueCount="247">
  <si>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</si>
  <si>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</si>
  <si>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</si>
  <si>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</si>
  <si>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</si>
  <si>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</si>
  <si>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</si>
  <si>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</si>
  <si>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</si>
  <si>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</si>
  <si>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</si>
  <si>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Master of Architecture (OpenUnis)</t>
  </si>
  <si>
    <t>Course version:</t>
  </si>
  <si>
    <t>Commencing:</t>
  </si>
  <si>
    <t>Study Period 1 (February - May)</t>
  </si>
  <si>
    <t>Credits to Complete:</t>
  </si>
  <si>
    <t>2025 Availabilities</t>
  </si>
  <si>
    <t>Year 1</t>
  </si>
  <si>
    <t>OUA Code</t>
  </si>
  <si>
    <t>Study Period</t>
  </si>
  <si>
    <t>Pre-Requisite(s)</t>
  </si>
  <si>
    <t>CP</t>
  </si>
  <si>
    <t>SP1</t>
  </si>
  <si>
    <t>SP2</t>
  </si>
  <si>
    <t>SP3</t>
  </si>
  <si>
    <t>SP4</t>
  </si>
  <si>
    <t>Notes / Progress</t>
  </si>
  <si>
    <t>Year 2</t>
  </si>
  <si>
    <t>Option List</t>
  </si>
  <si>
    <t>PRJM6000</t>
  </si>
  <si>
    <t>S</t>
  </si>
  <si>
    <t>PRJM6001</t>
  </si>
  <si>
    <t>T</t>
  </si>
  <si>
    <t>PRJM6002</t>
  </si>
  <si>
    <t>A</t>
  </si>
  <si>
    <t>PRJM6010</t>
  </si>
  <si>
    <t>SUST5010</t>
  </si>
  <si>
    <t>I</t>
  </si>
  <si>
    <t>SUST5013</t>
  </si>
  <si>
    <t>C</t>
  </si>
  <si>
    <t>SUST5016</t>
  </si>
  <si>
    <t>SUST5019</t>
  </si>
  <si>
    <t>L</t>
  </si>
  <si>
    <t>URDE5015</t>
  </si>
  <si>
    <t>URDE5016</t>
  </si>
  <si>
    <t>URDE5031</t>
  </si>
  <si>
    <t>URDE6003</t>
  </si>
  <si>
    <t>URDE6004</t>
  </si>
  <si>
    <t>WORK5001</t>
  </si>
  <si>
    <t>XINO5020</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</si>
  <si>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</si>
  <si>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</si>
  <si>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</si>
  <si>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</si>
  <si>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Master of Architecture</t>
  </si>
  <si>
    <t>RangeUnitsets</t>
  </si>
  <si>
    <t>OM-ARCHSP1</t>
  </si>
  <si>
    <t>OM-ARCHSP2</t>
  </si>
  <si>
    <t>OM-ARCHSP3</t>
  </si>
  <si>
    <t>OM-ARCHSP4</t>
  </si>
  <si>
    <t>Y1SP1</t>
  </si>
  <si>
    <t>ARCH5017</t>
  </si>
  <si>
    <t>Y1SP2</t>
  </si>
  <si>
    <t>ARCH5034</t>
  </si>
  <si>
    <t>Y1SP3</t>
  </si>
  <si>
    <t>ARCH6018</t>
  </si>
  <si>
    <t>Y1SP4</t>
  </si>
  <si>
    <t>TableCourses</t>
  </si>
  <si>
    <t>URDE6007</t>
  </si>
  <si>
    <t>-</t>
  </si>
  <si>
    <t>Option</t>
  </si>
  <si>
    <t>Choose your Architecture Course</t>
  </si>
  <si>
    <t>SM Version</t>
  </si>
  <si>
    <t>SM Effective Date</t>
  </si>
  <si>
    <t>Akari Iteration</t>
  </si>
  <si>
    <t>Akari Effective Date</t>
  </si>
  <si>
    <t>Credit Points</t>
  </si>
  <si>
    <t>SM Availabilities</t>
  </si>
  <si>
    <t>OM-ARCH</t>
  </si>
  <si>
    <t>v.3</t>
  </si>
  <si>
    <t xml:space="preserve">400 credit points required </t>
  </si>
  <si>
    <t>SP1; SP2; SP3; SP4</t>
  </si>
  <si>
    <t>ARCH5018</t>
  </si>
  <si>
    <t>Master of Architecture (OpenUnis CSP)</t>
  </si>
  <si>
    <t>OW-ARCH</t>
  </si>
  <si>
    <t>v.1</t>
  </si>
  <si>
    <t>ARCH5032</t>
  </si>
  <si>
    <t>TableStudyPeriods</t>
  </si>
  <si>
    <t>Choose your commencing study period (drop-down list)</t>
  </si>
  <si>
    <t>Start</t>
  </si>
  <si>
    <t>Next</t>
  </si>
  <si>
    <t>Next2</t>
  </si>
  <si>
    <t>Next3</t>
  </si>
  <si>
    <t>ARCH6024</t>
  </si>
  <si>
    <t>Y2SP1</t>
  </si>
  <si>
    <t>Y2SP2</t>
  </si>
  <si>
    <t>ARCH6025</t>
  </si>
  <si>
    <t>Y2SP3</t>
  </si>
  <si>
    <t>Y2SP4</t>
  </si>
  <si>
    <t>Study Period 2 (May - August)</t>
  </si>
  <si>
    <t>ARCH6023</t>
  </si>
  <si>
    <t>ARCH6022</t>
  </si>
  <si>
    <t>Study Period 3 (August - November)</t>
  </si>
  <si>
    <t>Study Period 4 (November - February)</t>
  </si>
  <si>
    <t>ARCH6020</t>
  </si>
  <si>
    <t>1)      Update high level course / component &amp; study period details (Unitsets Tab)</t>
  </si>
  <si>
    <t>2)      Update Planner page(s) to reference year of planner e.g. “2025” (Planner Tab)</t>
  </si>
  <si>
    <t>3)      Update structures (Structures Tab)</t>
  </si>
  <si>
    <t>50CP Unit</t>
  </si>
  <si>
    <t>4)      Update Handbook unit list from updated structures (Handbook Tab)</t>
  </si>
  <si>
    <t>DLT Supplied</t>
  </si>
  <si>
    <t>5)      Update Availabilities using updated Handbook unit list (Availabilities Tab)</t>
  </si>
  <si>
    <t>6)      Update Pre Requisites (Handbook Tab)</t>
  </si>
  <si>
    <t>7)      Update sequences for courses / components (Unitsets Tab)</t>
  </si>
  <si>
    <t>8)      Review Handbook Tab for obvious issues / errors and enter notes (Handbook Tab)</t>
  </si>
  <si>
    <t>9)      Review Planner Tab(s) for obvious issues / errors (Planner Tab)</t>
  </si>
  <si>
    <t>Title</t>
  </si>
  <si>
    <t>Pre-reqs (7/10/2024)</t>
  </si>
  <si>
    <t>Notes</t>
  </si>
  <si>
    <t>Please note this is a double subject</t>
  </si>
  <si>
    <t>MAA401</t>
  </si>
  <si>
    <t>Architecture and Culture Research Topics and Methods</t>
  </si>
  <si>
    <t>Nil</t>
  </si>
  <si>
    <t>MAA402</t>
  </si>
  <si>
    <t>Architectural Systems and Research Methods</t>
  </si>
  <si>
    <t>ARCH5019</t>
  </si>
  <si>
    <t>MAA404</t>
  </si>
  <si>
    <t>Advanced Architectural Systems Research Applications</t>
  </si>
  <si>
    <t>SP4 only - To be Removed, not represented in Options.</t>
  </si>
  <si>
    <t>ARCH5020</t>
  </si>
  <si>
    <t>MAA405</t>
  </si>
  <si>
    <t>Architecture and Culture Research Applications</t>
  </si>
  <si>
    <t>MAA520</t>
  </si>
  <si>
    <t>Urban Design Studio</t>
  </si>
  <si>
    <t>SP1 only</t>
  </si>
  <si>
    <t>MAA530</t>
  </si>
  <si>
    <t>Complex Buildings Studio</t>
  </si>
  <si>
    <t>SP2 only</t>
  </si>
  <si>
    <t>MAA600</t>
  </si>
  <si>
    <t>Praxis Studio</t>
  </si>
  <si>
    <t>SP3 only</t>
  </si>
  <si>
    <t>MAA610</t>
  </si>
  <si>
    <t>Architectural Thesis Project 2</t>
  </si>
  <si>
    <t>MAA640 + MAA520 + MAA530 + MAA600</t>
  </si>
  <si>
    <t>MAA620</t>
  </si>
  <si>
    <t>Architectural Practical Experience (* see Practicum Placement note)</t>
  </si>
  <si>
    <t>MAA630</t>
  </si>
  <si>
    <t>Architectural Professional Project Delivery</t>
  </si>
  <si>
    <t>MAA640</t>
  </si>
  <si>
    <t>Architectural Thesis Project 1</t>
  </si>
  <si>
    <t>DBE600 + (MAA520 or MAA530 or MAA600)</t>
  </si>
  <si>
    <t>MAA650</t>
  </si>
  <si>
    <t>Architectural Practice Management</t>
  </si>
  <si>
    <t>Study ONE Option Subject from the list below</t>
  </si>
  <si>
    <t>See below</t>
  </si>
  <si>
    <t>Project Management Overview</t>
  </si>
  <si>
    <t>Manually added to Handbook as SM not yet updated</t>
  </si>
  <si>
    <t>Project Cost Management</t>
  </si>
  <si>
    <t>Project Planning and Schedule Management</t>
  </si>
  <si>
    <t>Project and People</t>
  </si>
  <si>
    <t>PRJM6013</t>
  </si>
  <si>
    <t>PRM500</t>
  </si>
  <si>
    <t>PRJM6015</t>
  </si>
  <si>
    <t>PRM510</t>
  </si>
  <si>
    <t>PRJM6016</t>
  </si>
  <si>
    <t>PRM520</t>
  </si>
  <si>
    <t>PRJM6021</t>
  </si>
  <si>
    <t>PRM530</t>
  </si>
  <si>
    <t>SCP522</t>
  </si>
  <si>
    <t>Pathways to a Climate Resilient Society</t>
  </si>
  <si>
    <t>SCP543</t>
  </si>
  <si>
    <t>Future Cities</t>
  </si>
  <si>
    <t>SCP547</t>
  </si>
  <si>
    <t>Climate Policy</t>
  </si>
  <si>
    <t>SCP548</t>
  </si>
  <si>
    <t>People and Planet</t>
  </si>
  <si>
    <t>URP530</t>
  </si>
  <si>
    <t>Planning Theory and Context</t>
  </si>
  <si>
    <t>URP500</t>
  </si>
  <si>
    <t>Planning Law</t>
  </si>
  <si>
    <t>URP515</t>
  </si>
  <si>
    <t>Development Outcomes</t>
  </si>
  <si>
    <t>URP600</t>
  </si>
  <si>
    <t>Urban Transport Systems</t>
  </si>
  <si>
    <t>URP640</t>
  </si>
  <si>
    <t>Participatory Planning</t>
  </si>
  <si>
    <t>DBE600</t>
  </si>
  <si>
    <t>Design and Built Environment Research Methods</t>
  </si>
  <si>
    <t>WBP500</t>
  </si>
  <si>
    <t>Work Based Project (with approval)</t>
  </si>
  <si>
    <t>Contact Course Coordinator</t>
  </si>
  <si>
    <t>SBE500</t>
  </si>
  <si>
    <t>International Study Tour (with approval)</t>
  </si>
  <si>
    <t>Effective:</t>
  </si>
  <si>
    <t>Downloaded:</t>
  </si>
  <si>
    <t>Version</t>
  </si>
  <si>
    <t>CPs</t>
  </si>
  <si>
    <t>No.</t>
  </si>
  <si>
    <t>Component Type</t>
  </si>
  <si>
    <t>Year Level</t>
  </si>
  <si>
    <t>Study Package Code</t>
  </si>
  <si>
    <t>Structure Line</t>
  </si>
  <si>
    <t>Effective</t>
  </si>
  <si>
    <t>Discont.</t>
  </si>
  <si>
    <t>Column1</t>
  </si>
  <si>
    <t>Column2</t>
  </si>
  <si>
    <t>Core</t>
  </si>
  <si>
    <t>NA</t>
  </si>
  <si>
    <t>MAA401 Architecture and Culture Research Topics and Methods</t>
  </si>
  <si>
    <t>DBE600 Design and Built Environment Research Methods</t>
  </si>
  <si>
    <t>MAA530 Complex Buildings Studio</t>
  </si>
  <si>
    <t>MAA520 Urban Design Studio</t>
  </si>
  <si>
    <t>MAA402 Architectural Systems and Research Methods</t>
  </si>
  <si>
    <t>Choose an Option</t>
  </si>
  <si>
    <t/>
  </si>
  <si>
    <t>MAA620 Architectural Practical Experience</t>
  </si>
  <si>
    <t>MAA600 Praxis Studio</t>
  </si>
  <si>
    <t>MAA650 Architectural Practice Management</t>
  </si>
  <si>
    <t>MAA640 Architectural Thesis Project 1</t>
  </si>
  <si>
    <t>MAA610 Architectural Thesis Project 2</t>
  </si>
  <si>
    <t>MAA630 Architectural Professional Project Delivery</t>
  </si>
  <si>
    <t>MAA404 Advanced Architectural Systems Research Applications</t>
  </si>
  <si>
    <t>MAA405 Architecture and Culture Research Applications</t>
  </si>
  <si>
    <t>PRM500 Project Management Overview</t>
  </si>
  <si>
    <t>PRM510 Project and People</t>
  </si>
  <si>
    <t>PRM520 Project Cost Management</t>
  </si>
  <si>
    <t>PRM530 Project Planning and Schedule Management</t>
  </si>
  <si>
    <t>SCP522 Pathways to a Climate Resilient Society</t>
  </si>
  <si>
    <t>SCP543 Future Cities</t>
  </si>
  <si>
    <t>SCP547 Climate Policy</t>
  </si>
  <si>
    <t>SCP548 People and Planet</t>
  </si>
  <si>
    <t>URP530 Planning Theory and Context</t>
  </si>
  <si>
    <t>URP500 Planning Law</t>
  </si>
  <si>
    <t>URP515 Development Outcomes</t>
  </si>
  <si>
    <t>URP600 Urban Transport Systems</t>
  </si>
  <si>
    <t>URP640 Participatory Planning</t>
  </si>
  <si>
    <t>WBP500 Work Based Project</t>
  </si>
  <si>
    <t>SBE500 International Study Tour</t>
  </si>
  <si>
    <t>Row Labels</t>
  </si>
  <si>
    <t>OpenUnis SP 1</t>
  </si>
  <si>
    <t>OpenUnis SP 2</t>
  </si>
  <si>
    <t>OpenUnis SP 3</t>
  </si>
  <si>
    <t>OpenUnis SP 4</t>
  </si>
  <si>
    <t>Pending OUA One-Code confirmation, READY TO PUBLISH</t>
  </si>
  <si>
    <t>OUA One-Code now on hold, planner updated and v2 published</t>
  </si>
  <si>
    <t>OUA One Code removed</t>
  </si>
  <si>
    <t>2025 Availabilities added back in to 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</si>
</sst>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i/>
      <sz val="8"/>
      <color rgb="FF000000"/>
      <name val="Arial"/>
      <family val="2"/>
    </font>
    <font>
      <b/>
      <sz val="11"/>
      <color theme="0"/>
      <name val="Arial"/>
      <family val="2"/>
    </font>
    <font>
      <sz val="11"/>
      <color theme="0"/>
      <name val="Arial"/>
      <family val="2"/>
    </font>
    <font>
      <b/>
      <sz val="11"/>
      <color rgb="FFFF0000"/>
      <name val="Segoe UI"/>
      <family val="2"/>
    </font>
    <font>
      <sz val="11"/>
      <color rgb="FF444444"/>
      <name val="Calibri"/>
      <family val="2"/>
      <charset val="1"/>
    </font>
    <font>
      <sz val="9"/>
      <color rgb="FFFF0000"/>
      <name val="Segoe UI"/>
      <family val="2"/>
    </font>
    <font>
      <b/>
      <sz val="11"/>
      <color rgb="FFFFFFFF"/>
      <name val="Segoe UI"/>
      <family val="2"/>
    </font>
    <font>
      <b/>
      <sz val="9"/>
      <color rgb="FFFFFFFF"/>
      <name val="Segoe UI"/>
      <family val="2"/>
    </font>
    <font>
      <b/>
      <sz val="8"/>
      <color rgb="FFFFFFFF"/>
      <name val="Segoe UI"/>
      <family val="2"/>
    </font>
    <font>
      <sz val="11"/>
      <color rgb="FFFFFFFF"/>
      <name val="Calibri"/>
      <family val="2"/>
      <scheme val="minor"/>
    </font>
    <font>
      <sz val="9"/>
      <color rgb="FF000000"/>
      <name val="Segoe UI"/>
      <family val="2"/>
    </font>
    <font>
      <b/>
      <sz val="11"/>
      <name val="Segoe UI"/>
      <family val="2"/>
    </font>
    <font>
      <b/>
      <i/>
      <sz val="10"/>
      <color theme="0" tint="-0.34998626667073579"/>
      <name val="Arial"/>
      <family val="2"/>
    </font>
    <font>
      <b/>
      <i/>
      <sz val="14"/>
      <color rgb="FFC00000"/>
      <name val="Calibri"/>
      <family val="2"/>
      <scheme val="minor"/>
    </font>
    <font>
      <b/>
      <sz val="10"/>
      <color theme="1"/>
      <name val="Segoe UI"/>
      <family val="2"/>
    </font>
    <font>
      <sz val="8"/>
      <color rgb="FF00B050"/>
      <name val="Arial"/>
      <family val="2"/>
    </font>
    <font>
      <sz val="12"/>
      <color rgb="FFFF0000"/>
      <name val="Calibri"/>
      <family val="2"/>
      <scheme val="minor"/>
    </font>
    <font>
      <b/>
      <sz val="18"/>
      <color theme="1"/>
      <name val="Segoe UI"/>
      <family val="2"/>
    </font>
    <font>
      <b/>
      <i/>
      <sz val="12"/>
      <color rgb="FFC00000"/>
      <name val="Calibri"/>
      <family val="2"/>
      <scheme val="minor"/>
    </font>
    <font>
      <sz val="12"/>
      <name val="Calibri"/>
      <family val="2"/>
      <scheme val="minor"/>
    </font>
    <font>
      <sz val="10"/>
      <color rgb="FF00B050"/>
      <name val="Arial"/>
      <family val="2"/>
    </font>
    <font>
      <sz val="11"/>
      <color rgb="FF006100"/>
      <name val="Calibri"/>
      <family val="2"/>
      <scheme val="minor"/>
    </font>
    <font>
      <b/>
      <i/>
      <sz val="12"/>
      <color rgb="FF00B050"/>
      <name val="Calibri"/>
      <family val="2"/>
      <scheme val="minor"/>
    </font>
    <font>
      <sz val="12"/>
      <color rgb="FF00B050"/>
      <name val="Calibri"/>
      <family val="2"/>
      <scheme val="minor"/>
    </font>
    <font>
      <b/>
      <sz val="9"/>
      <color theme="0"/>
      <name val="Segoe UI"/>
      <family val="2"/>
    </font>
    <font>
      <sz val="10"/>
      <name val="Arial"/>
      <family val="2"/>
    </font>
  </fonts>
  <fills count="17">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bgColor indexed="64"/>
      </patternFill>
    </fill>
    <fill>
      <patternFill patternType="solid">
        <fgColor rgb="FFFFFFFF"/>
        <bgColor rgb="FF000000"/>
      </patternFill>
    </fill>
    <fill>
      <patternFill patternType="solid">
        <fgColor theme="7" tint="0.59999389629810485"/>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8"/>
        <bgColor indexed="64"/>
      </patternFill>
    </fill>
    <fill>
      <patternFill patternType="solid">
        <fgColor theme="8"/>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0691854609822"/>
      </left>
      <right/>
      <top/>
      <bottom/>
      <diagonal/>
    </border>
    <border>
      <left style="thin">
        <color rgb="FFD9D9D9"/>
      </left>
      <right/>
      <top/>
      <bottom/>
      <diagonal/>
    </border>
    <border>
      <left/>
      <right style="thin">
        <color rgb="FFD9D9D9"/>
      </right>
      <top/>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right style="double">
        <color auto="1"/>
      </right>
      <top/>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diagonal/>
    </border>
    <border>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style="thin">
        <color theme="0" tint="-0.14990691854609822"/>
      </left>
      <right/>
      <top style="thin">
        <color theme="0" tint="-0.14993743705557422"/>
      </top>
      <bottom style="thin">
        <color theme="0" tint="-0.14996795556505021"/>
      </bottom>
      <diagonal/>
    </border>
    <border>
      <left/>
      <right style="thin">
        <color theme="0" tint="-0.14990691854609822"/>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rgb="FFD9D9D9"/>
      </left>
      <right/>
      <top/>
      <bottom style="thin">
        <color rgb="FFD9D9D9"/>
      </bottom>
      <diagonal/>
    </border>
  </borders>
  <cellStyleXfs count="4">
    <xf numFmtId="0" fontId="0" fillId="0" borderId="0"/>
    <xf numFmtId="0" fontId="1" fillId="0" borderId="0"/>
    <xf numFmtId="0" fontId="25" fillId="0" borderId="0" applyNumberFormat="0" applyFill="0" applyBorder="0" applyAlignment="0" applyProtection="0"/>
    <xf numFmtId="0" fontId="56" fillId="16" borderId="0" applyNumberFormat="0" applyBorder="0" applyAlignment="0" applyProtection="0"/>
  </cellStyleXfs>
  <cellXfs count="199">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9" fillId="0" borderId="0" xfId="0" applyFont="1"/>
    <xf numFmtId="0" fontId="9" fillId="0" borderId="0" xfId="0" applyFont="1" applyAlignment="1">
      <alignment horizontal="center"/>
    </xf>
    <xf numFmtId="0" fontId="6" fillId="0" borderId="0" xfId="0" applyFont="1" applyAlignment="1">
      <alignment horizontal="right"/>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1" fillId="0" borderId="0" xfId="0" applyFont="1"/>
    <xf numFmtId="0" fontId="14" fillId="0" borderId="0" xfId="0" applyFont="1"/>
    <xf numFmtId="0" fontId="10" fillId="0" borderId="0" xfId="0" applyFont="1" applyAlignment="1">
      <alignment horizontal="center" vertical="center"/>
    </xf>
    <xf numFmtId="0" fontId="7" fillId="0" borderId="0" xfId="0" applyFont="1" applyAlignment="1">
      <alignment horizontal="center"/>
    </xf>
    <xf numFmtId="0" fontId="15" fillId="0" borderId="0" xfId="0" applyFont="1"/>
    <xf numFmtId="0" fontId="16" fillId="0" borderId="0" xfId="0" applyFont="1" applyAlignment="1">
      <alignment horizontal="center"/>
    </xf>
    <xf numFmtId="0" fontId="2" fillId="0" borderId="0" xfId="0" applyFont="1"/>
    <xf numFmtId="0" fontId="8" fillId="0" borderId="0" xfId="0" applyFont="1" applyAlignment="1">
      <alignment horizontal="left" vertical="center"/>
    </xf>
    <xf numFmtId="0" fontId="35"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2" fillId="3" borderId="1" xfId="0" applyFont="1" applyFill="1" applyBorder="1"/>
    <xf numFmtId="0" fontId="2" fillId="3" borderId="2" xfId="0" applyFont="1" applyFill="1" applyBorder="1" applyAlignment="1">
      <alignment horizontal="right" vertical="center"/>
    </xf>
    <xf numFmtId="0" fontId="4" fillId="7" borderId="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2" fillId="4" borderId="2" xfId="0" applyFont="1" applyFill="1" applyBorder="1" applyAlignment="1">
      <alignment horizontal="right" vertical="center"/>
    </xf>
    <xf numFmtId="0" fontId="2" fillId="3" borderId="1" xfId="0" applyFont="1" applyFill="1" applyBorder="1" applyAlignment="1">
      <alignment horizontal="right" vertical="center"/>
    </xf>
    <xf numFmtId="0" fontId="4" fillId="7" borderId="2" xfId="0" applyFont="1" applyFill="1" applyBorder="1" applyAlignment="1">
      <alignment horizontal="center" vertical="center"/>
    </xf>
    <xf numFmtId="0" fontId="10" fillId="7" borderId="0" xfId="0" applyFont="1" applyFill="1" applyAlignment="1">
      <alignment horizontal="center" vertical="center"/>
    </xf>
    <xf numFmtId="0" fontId="4" fillId="7" borderId="5" xfId="0" applyFont="1" applyFill="1" applyBorder="1" applyAlignment="1">
      <alignment horizontal="center" vertical="center"/>
    </xf>
    <xf numFmtId="0" fontId="4" fillId="9" borderId="5" xfId="0" applyFont="1" applyFill="1" applyBorder="1" applyAlignment="1">
      <alignment horizontal="center" vertical="center"/>
    </xf>
    <xf numFmtId="0" fontId="5" fillId="0" borderId="0" xfId="0" applyFont="1" applyAlignment="1">
      <alignment horizontal="centerContinuous"/>
    </xf>
    <xf numFmtId="0" fontId="6" fillId="0" borderId="0" xfId="0" applyFont="1" applyAlignment="1">
      <alignment horizontal="centerContinuous"/>
    </xf>
    <xf numFmtId="0" fontId="47" fillId="0" borderId="0" xfId="0" applyFont="1"/>
    <xf numFmtId="0" fontId="0" fillId="0" borderId="0" xfId="0" applyAlignment="1">
      <alignment horizontal="left"/>
    </xf>
    <xf numFmtId="0" fontId="0" fillId="6" borderId="0" xfId="0" applyFill="1"/>
    <xf numFmtId="0" fontId="0" fillId="0" borderId="20" xfId="0" applyBorder="1"/>
    <xf numFmtId="0" fontId="0" fillId="0" borderId="20" xfId="0" applyBorder="1" applyAlignment="1">
      <alignment horizontal="center"/>
    </xf>
    <xf numFmtId="0" fontId="48" fillId="0" borderId="0" xfId="0" applyFont="1"/>
    <xf numFmtId="0" fontId="26" fillId="10" borderId="0" xfId="2" applyFont="1" applyFill="1" applyAlignment="1" applyProtection="1">
      <alignment vertical="center"/>
    </xf>
    <xf numFmtId="0" fontId="25" fillId="10" borderId="0" xfId="2" applyFill="1" applyAlignment="1" applyProtection="1">
      <alignment vertical="center"/>
    </xf>
    <xf numFmtId="0" fontId="50" fillId="0" borderId="0" xfId="0" applyFont="1" applyAlignment="1">
      <alignment horizontal="center"/>
    </xf>
    <xf numFmtId="0" fontId="3" fillId="9" borderId="4" xfId="0" applyFont="1" applyFill="1" applyBorder="1" applyAlignment="1">
      <alignment horizontal="center" vertical="center"/>
    </xf>
    <xf numFmtId="0" fontId="3" fillId="9" borderId="5" xfId="0" applyFont="1" applyFill="1" applyBorder="1" applyAlignment="1">
      <alignment horizontal="center" vertical="center"/>
    </xf>
    <xf numFmtId="0" fontId="3" fillId="0" borderId="5" xfId="0" applyFont="1" applyBorder="1" applyAlignment="1">
      <alignment horizontal="center" vertical="center"/>
    </xf>
    <xf numFmtId="0" fontId="47" fillId="0" borderId="0" xfId="0" applyFont="1" applyAlignment="1">
      <alignment horizontal="right"/>
    </xf>
    <xf numFmtId="0" fontId="49" fillId="2" borderId="0" xfId="1" applyFont="1" applyFill="1" applyAlignment="1" applyProtection="1">
      <alignment vertical="center"/>
      <protection locked="0"/>
    </xf>
    <xf numFmtId="14" fontId="0" fillId="0" borderId="0" xfId="0" applyNumberFormat="1"/>
    <xf numFmtId="0" fontId="53" fillId="0" borderId="0" xfId="0" applyFont="1" applyAlignment="1">
      <alignment horizontal="right"/>
    </xf>
    <xf numFmtId="0" fontId="53" fillId="0" borderId="0" xfId="0" applyFont="1" applyAlignment="1">
      <alignment horizontal="left"/>
    </xf>
    <xf numFmtId="14" fontId="54" fillId="0" borderId="0" xfId="0" applyNumberFormat="1" applyFont="1" applyAlignment="1">
      <alignment horizontal="right"/>
    </xf>
    <xf numFmtId="14" fontId="54" fillId="0" borderId="0" xfId="0" applyNumberFormat="1" applyFont="1"/>
    <xf numFmtId="14" fontId="0" fillId="6" borderId="0" xfId="0" applyNumberFormat="1" applyFill="1"/>
    <xf numFmtId="0" fontId="0" fillId="11" borderId="0" xfId="0" applyFill="1"/>
    <xf numFmtId="0" fontId="0" fillId="0" borderId="0" xfId="0" applyAlignment="1">
      <alignment horizontal="left" textRotation="90"/>
    </xf>
    <xf numFmtId="0" fontId="0" fillId="5" borderId="0" xfId="0" applyFill="1" applyAlignment="1">
      <alignment horizontal="center"/>
    </xf>
    <xf numFmtId="0" fontId="0" fillId="15" borderId="0" xfId="0" applyFill="1" applyAlignment="1">
      <alignment horizontal="center"/>
    </xf>
    <xf numFmtId="0" fontId="55" fillId="0" borderId="0" xfId="0" applyFont="1" applyAlignment="1">
      <alignment horizontal="center" vertical="center"/>
    </xf>
    <xf numFmtId="14" fontId="55" fillId="0" borderId="0" xfId="0" applyNumberFormat="1" applyFont="1" applyAlignment="1">
      <alignment horizontal="center" vertical="center"/>
    </xf>
    <xf numFmtId="14" fontId="57" fillId="0" borderId="0" xfId="0" applyNumberFormat="1" applyFont="1"/>
    <xf numFmtId="0" fontId="57" fillId="0" borderId="0" xfId="0" applyFont="1" applyAlignment="1">
      <alignment horizontal="left"/>
    </xf>
    <xf numFmtId="0" fontId="57" fillId="0" borderId="0" xfId="0" applyFont="1" applyAlignment="1">
      <alignment horizontal="center"/>
    </xf>
    <xf numFmtId="14" fontId="56" fillId="16" borderId="0" xfId="3" applyNumberFormat="1" applyAlignment="1">
      <alignment horizontal="center"/>
    </xf>
    <xf numFmtId="14" fontId="9" fillId="0" borderId="0" xfId="0" applyNumberFormat="1" applyFont="1"/>
    <xf numFmtId="0" fontId="58" fillId="11" borderId="0" xfId="0" applyFont="1" applyFill="1"/>
    <xf numFmtId="0" fontId="51" fillId="6" borderId="0" xfId="0" applyFont="1" applyFill="1" applyAlignment="1">
      <alignment horizontal="left"/>
    </xf>
    <xf numFmtId="0" fontId="60" fillId="0" borderId="0" xfId="0" applyFont="1" applyAlignment="1">
      <alignment horizontal="left"/>
    </xf>
    <xf numFmtId="0" fontId="19" fillId="2" borderId="26" xfId="1" applyFont="1" applyFill="1" applyBorder="1" applyAlignment="1" applyProtection="1">
      <alignment horizontal="center" vertical="center" wrapText="1"/>
      <protection locked="0"/>
    </xf>
    <xf numFmtId="0" fontId="19" fillId="2" borderId="31" xfId="1" applyFont="1" applyFill="1" applyBorder="1" applyAlignment="1" applyProtection="1">
      <alignment horizontal="center" vertical="center" wrapText="1"/>
      <protection locked="0"/>
    </xf>
    <xf numFmtId="0" fontId="19" fillId="0" borderId="26" xfId="1" applyFont="1" applyBorder="1" applyAlignment="1" applyProtection="1">
      <alignment horizontal="center" vertical="center" wrapText="1"/>
      <protection locked="0"/>
    </xf>
    <xf numFmtId="0" fontId="19" fillId="0" borderId="31" xfId="1" applyFont="1" applyBorder="1" applyAlignment="1" applyProtection="1">
      <alignment horizontal="center" vertical="center" wrapText="1"/>
      <protection locked="0"/>
    </xf>
    <xf numFmtId="0" fontId="45" fillId="0" borderId="19" xfId="0" applyFont="1" applyBorder="1" applyAlignment="1" applyProtection="1">
      <alignment horizontal="center" vertical="center" wrapText="1"/>
      <protection locked="0"/>
    </xf>
    <xf numFmtId="0" fontId="9" fillId="6" borderId="0" xfId="0" applyFont="1" applyFill="1" applyAlignment="1">
      <alignment horizontal="left"/>
    </xf>
    <xf numFmtId="0" fontId="16" fillId="0" borderId="7" xfId="1" applyFont="1" applyBorder="1" applyAlignment="1" applyProtection="1">
      <alignment horizontal="center"/>
    </xf>
    <xf numFmtId="0" fontId="16" fillId="0" borderId="8" xfId="1" applyFont="1" applyBorder="1" applyAlignment="1" applyProtection="1">
      <alignment horizontal="center"/>
    </xf>
    <xf numFmtId="0" fontId="16" fillId="0" borderId="8" xfId="1" applyFont="1" applyBorder="1" applyProtection="1"/>
    <xf numFmtId="0" fontId="16" fillId="0" borderId="9" xfId="1" applyFont="1" applyBorder="1" applyProtection="1"/>
    <xf numFmtId="0" fontId="1" fillId="0" borderId="0" xfId="1" applyProtection="1"/>
    <xf numFmtId="0" fontId="16" fillId="0" borderId="0" xfId="1" applyFont="1" applyAlignment="1" applyProtection="1">
      <alignment horizontal="center"/>
    </xf>
    <xf numFmtId="0" fontId="8" fillId="0" borderId="0" xfId="1" applyFont="1" applyAlignment="1" applyProtection="1">
      <alignment horizontal="center" vertical="center"/>
    </xf>
    <xf numFmtId="0" fontId="16" fillId="0" borderId="0" xfId="1" applyFont="1" applyProtection="1"/>
    <xf numFmtId="0" fontId="36" fillId="12" borderId="10" xfId="1" applyFont="1" applyFill="1" applyBorder="1" applyAlignment="1" applyProtection="1">
      <alignment horizontal="left" vertical="center" wrapText="1"/>
    </xf>
    <xf numFmtId="0" fontId="36" fillId="12" borderId="0" xfId="1" applyFont="1" applyFill="1" applyAlignment="1" applyProtection="1">
      <alignment vertical="center" wrapText="1"/>
    </xf>
    <xf numFmtId="0" fontId="52" fillId="14" borderId="11" xfId="1" applyFont="1" applyFill="1" applyBorder="1" applyAlignment="1" applyProtection="1">
      <alignment horizontal="centerContinuous" vertical="center"/>
    </xf>
    <xf numFmtId="0" fontId="17" fillId="14" borderId="12" xfId="1" applyFont="1" applyFill="1" applyBorder="1" applyAlignment="1" applyProtection="1">
      <alignment horizontal="centerContinuous" vertical="center"/>
    </xf>
    <xf numFmtId="0" fontId="52" fillId="14" borderId="12" xfId="1" applyFont="1" applyFill="1" applyBorder="1" applyAlignment="1" applyProtection="1">
      <alignment horizontal="centerContinuous" vertical="center"/>
    </xf>
    <xf numFmtId="0" fontId="38" fillId="14" borderId="12" xfId="1" applyFont="1" applyFill="1" applyBorder="1" applyAlignment="1" applyProtection="1">
      <alignment horizontal="centerContinuous" vertical="center"/>
    </xf>
    <xf numFmtId="0" fontId="1" fillId="0" borderId="0" xfId="1" applyAlignment="1" applyProtection="1">
      <alignment horizontal="center"/>
    </xf>
    <xf numFmtId="0" fontId="18" fillId="2" borderId="0" xfId="1" applyFont="1" applyFill="1" applyAlignment="1" applyProtection="1">
      <alignment horizontal="right" vertical="center" indent="1"/>
    </xf>
    <xf numFmtId="0" fontId="19" fillId="2" borderId="0" xfId="1" applyFont="1" applyFill="1" applyAlignment="1" applyProtection="1">
      <alignment horizontal="right" vertical="center" indent="1"/>
    </xf>
    <xf numFmtId="0" fontId="46" fillId="2" borderId="0" xfId="1" applyFont="1" applyFill="1" applyAlignment="1" applyProtection="1">
      <alignment vertical="center"/>
    </xf>
    <xf numFmtId="0" fontId="18" fillId="2" borderId="0" xfId="1" applyFont="1" applyFill="1" applyAlignment="1" applyProtection="1">
      <alignment vertical="center"/>
    </xf>
    <xf numFmtId="0" fontId="59" fillId="0" borderId="0" xfId="1" applyFont="1" applyAlignment="1" applyProtection="1">
      <alignment horizontal="right" vertical="center" wrapText="1"/>
    </xf>
    <xf numFmtId="0" fontId="18" fillId="2" borderId="0" xfId="1" applyFont="1" applyFill="1" applyAlignment="1" applyProtection="1">
      <alignment horizontal="left" vertical="center"/>
    </xf>
    <xf numFmtId="0" fontId="18" fillId="2" borderId="0" xfId="1" applyFont="1" applyFill="1" applyAlignment="1" applyProtection="1">
      <alignment horizontal="left" vertical="center" indent="1"/>
    </xf>
    <xf numFmtId="0" fontId="19" fillId="2" borderId="0" xfId="1" applyFont="1" applyFill="1" applyAlignment="1" applyProtection="1">
      <alignment horizontal="left" vertical="center" wrapText="1"/>
    </xf>
    <xf numFmtId="0" fontId="19" fillId="0" borderId="0" xfId="1" applyFont="1" applyAlignment="1" applyProtection="1">
      <alignment vertical="top" wrapText="1"/>
    </xf>
    <xf numFmtId="0" fontId="40" fillId="0" borderId="0" xfId="1" applyFont="1" applyAlignment="1" applyProtection="1">
      <alignment vertical="top" wrapText="1"/>
    </xf>
    <xf numFmtId="0" fontId="20" fillId="12" borderId="0" xfId="1" applyFont="1" applyFill="1" applyAlignment="1" applyProtection="1">
      <alignment horizontal="center" vertical="center"/>
    </xf>
    <xf numFmtId="0" fontId="20" fillId="12" borderId="0" xfId="1" applyFont="1" applyFill="1" applyAlignment="1" applyProtection="1">
      <alignment horizontal="left" vertical="center" indent="1"/>
    </xf>
    <xf numFmtId="0" fontId="20" fillId="12" borderId="0" xfId="1" applyFont="1" applyFill="1" applyAlignment="1" applyProtection="1">
      <alignment vertical="center"/>
    </xf>
    <xf numFmtId="0" fontId="20" fillId="12" borderId="14" xfId="1" applyFont="1" applyFill="1" applyBorder="1" applyAlignment="1" applyProtection="1">
      <alignment horizontal="left" vertical="center"/>
    </xf>
    <xf numFmtId="0" fontId="20" fillId="12" borderId="0" xfId="1" applyFont="1" applyFill="1" applyAlignment="1" applyProtection="1">
      <alignment horizontal="left" vertical="center"/>
    </xf>
    <xf numFmtId="0" fontId="20" fillId="12" borderId="13" xfId="1" applyFont="1" applyFill="1" applyBorder="1" applyAlignment="1" applyProtection="1">
      <alignment horizontal="left" vertical="center"/>
    </xf>
    <xf numFmtId="0" fontId="21" fillId="2" borderId="0" xfId="1" applyFont="1" applyFill="1" applyAlignment="1" applyProtection="1">
      <alignment vertical="center"/>
    </xf>
    <xf numFmtId="0" fontId="22" fillId="2" borderId="0" xfId="1" applyFont="1" applyFill="1" applyAlignment="1" applyProtection="1">
      <alignment vertical="center"/>
    </xf>
    <xf numFmtId="0" fontId="43" fillId="13" borderId="0" xfId="0" applyFont="1" applyFill="1" applyAlignment="1" applyProtection="1">
      <alignment horizontal="center" vertical="center"/>
    </xf>
    <xf numFmtId="0" fontId="20" fillId="12" borderId="0" xfId="1" applyFont="1" applyFill="1" applyAlignment="1" applyProtection="1">
      <alignment horizontal="center" vertical="center" wrapText="1"/>
    </xf>
    <xf numFmtId="0" fontId="20" fillId="12" borderId="14" xfId="1" applyFont="1" applyFill="1" applyBorder="1" applyAlignment="1" applyProtection="1">
      <alignment horizontal="center" vertical="center" wrapText="1"/>
    </xf>
    <xf numFmtId="0" fontId="20" fillId="12" borderId="13" xfId="1" applyFont="1" applyFill="1" applyBorder="1" applyAlignment="1" applyProtection="1">
      <alignment horizontal="center" vertical="center" wrapText="1"/>
    </xf>
    <xf numFmtId="0" fontId="19" fillId="2" borderId="21" xfId="1" applyFont="1" applyFill="1" applyBorder="1" applyAlignment="1" applyProtection="1">
      <alignment horizontal="center" vertical="center" wrapText="1"/>
    </xf>
    <xf numFmtId="0" fontId="19" fillId="0" borderId="22" xfId="1" applyFont="1" applyBorder="1" applyAlignment="1" applyProtection="1">
      <alignment horizontal="center" vertical="center" wrapText="1"/>
    </xf>
    <xf numFmtId="0" fontId="19" fillId="2" borderId="23" xfId="1" applyFont="1" applyFill="1" applyBorder="1" applyAlignment="1" applyProtection="1">
      <alignment horizontal="center" vertical="center" wrapText="1"/>
    </xf>
    <xf numFmtId="0" fontId="19" fillId="2" borderId="23" xfId="1" applyFont="1" applyFill="1" applyBorder="1" applyAlignment="1" applyProtection="1">
      <alignment vertical="center" wrapText="1"/>
    </xf>
    <xf numFmtId="0" fontId="34" fillId="2" borderId="23"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19" fillId="2" borderId="24" xfId="1" applyFont="1" applyFill="1" applyBorder="1" applyAlignment="1" applyProtection="1">
      <alignment horizontal="center" vertical="center" wrapText="1"/>
    </xf>
    <xf numFmtId="0" fontId="19" fillId="2" borderId="25" xfId="1" applyFont="1" applyFill="1" applyBorder="1" applyAlignment="1" applyProtection="1">
      <alignment horizontal="center" vertical="center" wrapText="1"/>
    </xf>
    <xf numFmtId="0" fontId="23" fillId="0" borderId="0" xfId="1" applyFont="1" applyAlignment="1" applyProtection="1">
      <alignment horizontal="center" vertical="center" wrapText="1"/>
    </xf>
    <xf numFmtId="0" fontId="21" fillId="2" borderId="0" xfId="1" applyFont="1" applyFill="1" applyAlignment="1" applyProtection="1">
      <alignment wrapText="1"/>
    </xf>
    <xf numFmtId="0" fontId="22" fillId="2" borderId="0" xfId="1" applyFont="1" applyFill="1" applyAlignment="1" applyProtection="1">
      <alignment wrapText="1"/>
    </xf>
    <xf numFmtId="0" fontId="19" fillId="2" borderId="27" xfId="1" applyFont="1" applyFill="1" applyBorder="1" applyAlignment="1" applyProtection="1">
      <alignment horizontal="center" vertical="center" wrapText="1"/>
    </xf>
    <xf numFmtId="0" fontId="19" fillId="2" borderId="28" xfId="1" applyFont="1" applyFill="1" applyBorder="1" applyAlignment="1" applyProtection="1">
      <alignment horizontal="center" vertical="center" wrapText="1"/>
    </xf>
    <xf numFmtId="0" fontId="19" fillId="2" borderId="28" xfId="1" applyFont="1" applyFill="1" applyBorder="1" applyAlignment="1" applyProtection="1">
      <alignment vertical="center" wrapText="1"/>
    </xf>
    <xf numFmtId="0" fontId="34" fillId="2" borderId="28" xfId="1" applyFont="1" applyFill="1" applyBorder="1" applyAlignment="1" applyProtection="1">
      <alignment horizontal="center" vertical="center" wrapText="1"/>
    </xf>
    <xf numFmtId="0" fontId="22" fillId="2" borderId="28" xfId="1" applyFont="1" applyFill="1" applyBorder="1" applyAlignment="1" applyProtection="1">
      <alignment horizontal="center" vertical="center" wrapText="1"/>
    </xf>
    <xf numFmtId="0" fontId="19" fillId="2" borderId="29" xfId="1" applyFont="1" applyFill="1" applyBorder="1" applyAlignment="1" applyProtection="1">
      <alignment horizontal="center" vertical="center" wrapText="1"/>
    </xf>
    <xf numFmtId="0" fontId="19" fillId="2" borderId="30" xfId="1" applyFont="1" applyFill="1" applyBorder="1" applyAlignment="1" applyProtection="1">
      <alignment horizontal="center" vertical="center" wrapText="1"/>
    </xf>
    <xf numFmtId="0" fontId="19" fillId="14" borderId="9" xfId="1" applyFont="1" applyFill="1" applyBorder="1" applyAlignment="1" applyProtection="1">
      <alignment horizontal="center" vertical="center" wrapText="1"/>
    </xf>
    <xf numFmtId="0" fontId="19" fillId="14" borderId="0" xfId="1" applyFont="1" applyFill="1" applyAlignment="1" applyProtection="1">
      <alignment horizontal="center" vertical="center" wrapText="1"/>
    </xf>
    <xf numFmtId="0" fontId="19" fillId="14" borderId="0" xfId="1" applyFont="1" applyFill="1" applyAlignment="1" applyProtection="1">
      <alignment vertical="center" wrapText="1"/>
    </xf>
    <xf numFmtId="0" fontId="34" fillId="14" borderId="0" xfId="1" applyFont="1" applyFill="1" applyAlignment="1" applyProtection="1">
      <alignment horizontal="center" vertical="center" wrapText="1"/>
    </xf>
    <xf numFmtId="0" fontId="22" fillId="14" borderId="0" xfId="1" applyFont="1" applyFill="1" applyAlignment="1" applyProtection="1">
      <alignment horizontal="left" vertical="center" wrapText="1"/>
    </xf>
    <xf numFmtId="0" fontId="19" fillId="14" borderId="14" xfId="1" applyFont="1" applyFill="1" applyBorder="1" applyAlignment="1" applyProtection="1">
      <alignment horizontal="center" vertical="center" wrapText="1"/>
    </xf>
    <xf numFmtId="0" fontId="19" fillId="14" borderId="13" xfId="1" applyFont="1" applyFill="1" applyBorder="1" applyAlignment="1" applyProtection="1">
      <alignment horizontal="center" vertical="center" wrapText="1"/>
    </xf>
    <xf numFmtId="0" fontId="40" fillId="14" borderId="9" xfId="1" applyFont="1" applyFill="1" applyBorder="1" applyAlignment="1" applyProtection="1">
      <alignment horizontal="center" vertical="center" wrapText="1"/>
    </xf>
    <xf numFmtId="0" fontId="40" fillId="14" borderId="0" xfId="1" applyFont="1" applyFill="1" applyAlignment="1" applyProtection="1">
      <alignment horizontal="center" vertical="center" wrapText="1"/>
    </xf>
    <xf numFmtId="0" fontId="23" fillId="14" borderId="0" xfId="1" applyFont="1" applyFill="1" applyAlignment="1" applyProtection="1">
      <alignment horizontal="center" vertical="center" wrapText="1"/>
    </xf>
    <xf numFmtId="0" fontId="40" fillId="14" borderId="14" xfId="1" applyFont="1" applyFill="1" applyBorder="1" applyAlignment="1" applyProtection="1">
      <alignment horizontal="center" vertical="center" wrapText="1"/>
    </xf>
    <xf numFmtId="0" fontId="40" fillId="14" borderId="13" xfId="1" applyFont="1" applyFill="1" applyBorder="1" applyAlignment="1" applyProtection="1">
      <alignment horizontal="center" vertical="center" wrapText="1"/>
    </xf>
    <xf numFmtId="0" fontId="19" fillId="0" borderId="23" xfId="1" applyFont="1" applyBorder="1" applyAlignment="1" applyProtection="1">
      <alignment horizontal="center" vertical="center" wrapText="1"/>
    </xf>
    <xf numFmtId="0" fontId="19" fillId="0" borderId="28" xfId="1" applyFont="1" applyBorder="1" applyAlignment="1" applyProtection="1">
      <alignment horizontal="center" vertical="center" wrapText="1"/>
    </xf>
    <xf numFmtId="0" fontId="21" fillId="2" borderId="0" xfId="1" applyFont="1" applyFill="1" applyProtection="1"/>
    <xf numFmtId="0" fontId="22" fillId="2" borderId="0" xfId="1" applyFont="1" applyFill="1" applyProtection="1"/>
    <xf numFmtId="0" fontId="19" fillId="0" borderId="28" xfId="1" applyFont="1" applyBorder="1" applyAlignment="1" applyProtection="1">
      <alignment horizontal="left" vertical="center"/>
    </xf>
    <xf numFmtId="0" fontId="34" fillId="0" borderId="28" xfId="1" applyFont="1" applyBorder="1" applyAlignment="1" applyProtection="1">
      <alignment horizontal="center" vertical="center" wrapText="1"/>
    </xf>
    <xf numFmtId="0" fontId="21" fillId="2" borderId="0" xfId="1" applyFont="1" applyFill="1" applyAlignment="1" applyProtection="1">
      <alignment horizontal="center" vertical="center"/>
    </xf>
    <xf numFmtId="0" fontId="19" fillId="0" borderId="23" xfId="1" applyFont="1" applyBorder="1" applyAlignment="1" applyProtection="1">
      <alignment vertical="center" wrapText="1"/>
    </xf>
    <xf numFmtId="0" fontId="34" fillId="0" borderId="23" xfId="1" applyFont="1" applyBorder="1" applyAlignment="1" applyProtection="1">
      <alignment horizontal="center" vertical="center" wrapText="1"/>
    </xf>
    <xf numFmtId="0" fontId="19" fillId="0" borderId="23" xfId="1" applyFont="1" applyBorder="1" applyAlignment="1" applyProtection="1">
      <alignment horizontal="left" vertical="center"/>
    </xf>
    <xf numFmtId="0" fontId="19" fillId="0" borderId="21"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19" fillId="0" borderId="27" xfId="1" applyFont="1" applyBorder="1" applyAlignment="1" applyProtection="1">
      <alignment horizontal="center" vertical="center" wrapText="1"/>
    </xf>
    <xf numFmtId="0" fontId="22" fillId="0" borderId="28" xfId="1" applyFont="1" applyBorder="1" applyAlignment="1" applyProtection="1">
      <alignment horizontal="center" vertical="center" wrapText="1"/>
    </xf>
    <xf numFmtId="0" fontId="39" fillId="0" borderId="0" xfId="0" applyFont="1" applyProtection="1"/>
    <xf numFmtId="0" fontId="30" fillId="2" borderId="0" xfId="1" applyFont="1" applyFill="1" applyAlignment="1" applyProtection="1">
      <alignment horizontal="lef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vertical="center"/>
    </xf>
    <xf numFmtId="0" fontId="33" fillId="2" borderId="0" xfId="1" applyFont="1" applyFill="1" applyAlignment="1" applyProtection="1">
      <alignment horizontal="center" vertical="center"/>
    </xf>
    <xf numFmtId="0" fontId="33" fillId="2" borderId="0" xfId="1" applyFont="1" applyFill="1" applyProtection="1"/>
    <xf numFmtId="0" fontId="11" fillId="2" borderId="0" xfId="1" applyFont="1" applyFill="1" applyProtection="1"/>
    <xf numFmtId="0" fontId="41" fillId="13" borderId="0" xfId="0" applyFont="1" applyFill="1" applyAlignment="1" applyProtection="1">
      <alignment vertical="center" readingOrder="1"/>
    </xf>
    <xf numFmtId="0" fontId="41" fillId="13" borderId="16" xfId="0" applyFont="1" applyFill="1" applyBorder="1" applyAlignment="1" applyProtection="1">
      <alignment vertical="center" readingOrder="1"/>
    </xf>
    <xf numFmtId="0" fontId="43" fillId="13" borderId="0" xfId="0" applyFont="1" applyFill="1" applyAlignment="1" applyProtection="1">
      <alignment vertical="center" readingOrder="1"/>
    </xf>
    <xf numFmtId="0" fontId="41" fillId="13" borderId="0" xfId="0" applyFont="1" applyFill="1" applyAlignment="1" applyProtection="1">
      <alignment vertical="center" readingOrder="1"/>
    </xf>
    <xf numFmtId="0" fontId="44" fillId="13" borderId="15" xfId="0" applyFont="1" applyFill="1" applyBorder="1" applyProtection="1"/>
    <xf numFmtId="0" fontId="1" fillId="0" borderId="0" xfId="1" applyAlignment="1" applyProtection="1">
      <alignment horizontal="center" vertical="center"/>
    </xf>
    <xf numFmtId="0" fontId="42" fillId="13" borderId="0" xfId="0" applyFont="1" applyFill="1" applyAlignment="1" applyProtection="1">
      <alignment horizontal="center" vertical="center"/>
    </xf>
    <xf numFmtId="0" fontId="42" fillId="13" borderId="0" xfId="0" applyFont="1" applyFill="1" applyAlignment="1" applyProtection="1">
      <alignment horizontal="left" vertical="center" readingOrder="1"/>
    </xf>
    <xf numFmtId="0" fontId="43" fillId="13" borderId="15" xfId="0" applyFont="1" applyFill="1" applyBorder="1" applyAlignment="1" applyProtection="1">
      <alignment horizontal="center" vertical="center" wrapText="1" readingOrder="1"/>
    </xf>
    <xf numFmtId="0" fontId="43" fillId="13" borderId="0" xfId="0" applyFont="1" applyFill="1" applyAlignment="1" applyProtection="1">
      <alignment horizontal="center" vertical="center" wrapText="1" readingOrder="1"/>
    </xf>
    <xf numFmtId="0" fontId="43" fillId="13" borderId="32" xfId="0" applyFont="1" applyFill="1" applyBorder="1" applyAlignment="1" applyProtection="1">
      <alignment horizontal="center" vertical="center"/>
    </xf>
    <xf numFmtId="0" fontId="1" fillId="0" borderId="0" xfId="1" applyAlignment="1" applyProtection="1">
      <alignment horizontal="center" vertical="top"/>
    </xf>
    <xf numFmtId="0" fontId="34" fillId="0" borderId="17" xfId="0" applyFont="1" applyBorder="1" applyAlignment="1" applyProtection="1">
      <alignment horizontal="center" vertical="center"/>
    </xf>
    <xf numFmtId="0" fontId="34" fillId="0" borderId="18" xfId="0" applyFont="1" applyBorder="1" applyAlignment="1" applyProtection="1">
      <alignment horizontal="center" vertical="center"/>
    </xf>
    <xf numFmtId="0" fontId="34" fillId="0" borderId="18" xfId="0" applyFont="1" applyBorder="1" applyAlignment="1" applyProtection="1">
      <alignment vertical="center"/>
    </xf>
    <xf numFmtId="0" fontId="34" fillId="0" borderId="18" xfId="0" applyFont="1" applyBorder="1" applyAlignment="1" applyProtection="1">
      <alignment horizontal="center" vertical="center" wrapText="1"/>
    </xf>
    <xf numFmtId="0" fontId="45" fillId="8" borderId="17" xfId="0" applyFont="1" applyFill="1" applyBorder="1" applyAlignment="1" applyProtection="1">
      <alignment horizontal="center" vertical="center" wrapText="1"/>
    </xf>
    <xf numFmtId="0" fontId="45" fillId="8" borderId="18" xfId="0" applyFont="1" applyFill="1" applyBorder="1" applyAlignment="1" applyProtection="1">
      <alignment horizontal="center" vertical="center" wrapText="1"/>
    </xf>
    <xf numFmtId="0" fontId="45" fillId="8" borderId="19" xfId="0" applyFont="1" applyFill="1" applyBorder="1" applyAlignment="1" applyProtection="1">
      <alignment horizontal="center" vertical="center" wrapText="1"/>
    </xf>
    <xf numFmtId="0" fontId="0" fillId="0" borderId="0" xfId="0" applyProtection="1"/>
    <xf numFmtId="0" fontId="24" fillId="2" borderId="0" xfId="1" applyFont="1" applyFill="1" applyAlignment="1" applyProtection="1">
      <alignment horizontal="center" vertical="center" wrapText="1"/>
    </xf>
    <xf numFmtId="0" fontId="28" fillId="2" borderId="0" xfId="1" applyFont="1" applyFill="1" applyProtection="1"/>
    <xf numFmtId="0" fontId="29" fillId="2" borderId="0" xfId="1" applyFont="1" applyFill="1" applyProtection="1"/>
    <xf numFmtId="0" fontId="30" fillId="2" borderId="0" xfId="1" applyFont="1" applyFill="1" applyAlignment="1" applyProtection="1">
      <alignment vertical="center"/>
    </xf>
    <xf numFmtId="0" fontId="11" fillId="2" borderId="0" xfId="1" applyFont="1" applyFill="1" applyAlignment="1" applyProtection="1">
      <alignment vertical="center"/>
    </xf>
    <xf numFmtId="0" fontId="32" fillId="2" borderId="0" xfId="1" applyFont="1" applyFill="1" applyAlignment="1" applyProtection="1">
      <alignment horizontal="right" vertical="center"/>
    </xf>
    <xf numFmtId="0" fontId="19" fillId="14" borderId="13" xfId="1" applyFont="1" applyFill="1" applyBorder="1" applyAlignment="1" applyProtection="1">
      <alignment horizontal="center" vertical="center" wrapText="1"/>
      <protection locked="0"/>
    </xf>
    <xf numFmtId="0" fontId="40" fillId="14" borderId="13" xfId="1" applyFont="1" applyFill="1" applyBorder="1" applyAlignment="1" applyProtection="1">
      <alignment horizontal="center" vertical="center" wrapText="1"/>
      <protection locked="0"/>
    </xf>
  </cellXfs>
  <cellStyles count="4">
    <cellStyle name="Good" xfId="3" builtinId="26"/>
    <cellStyle name="Hyperlink" xfId="2" builtinId="8"/>
    <cellStyle name="Normal" xfId="0" builtinId="0"/>
    <cellStyle name="Normal 2" xfId="1" xr:uid="{00000000-0005-0000-0000-000003000000}"/>
  </cellStyles>
  <dxfs count="60">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double">
          <color auto="1"/>
        </right>
        <top/>
        <bottom/>
        <vertical/>
        <horizontal/>
      </border>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double">
          <color auto="1"/>
        </right>
        <top/>
        <bottom/>
        <vertical/>
        <horizontal/>
      </border>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left" vertical="bottom" textRotation="0" wrapText="0" indent="0" justifyLastLine="0" shrinkToFit="0" readingOrder="0"/>
    </dxf>
    <dxf>
      <numFmt numFmtId="0" formatCode="General"/>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alignment horizontal="left"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alignment horizontal="center" vertical="center" textRotation="0" wrapText="0" indent="0" justifyLastLine="0" shrinkToFit="0" readingOrder="0"/>
    </dxf>
    <dxf>
      <font>
        <strike val="0"/>
        <outline val="0"/>
        <shadow val="0"/>
        <u val="none"/>
        <vertAlign val="baseline"/>
        <sz val="10"/>
        <color rgb="FFFF0000"/>
        <name val="Arial"/>
        <scheme val="none"/>
      </font>
      <fill>
        <patternFill patternType="solid">
          <fgColor indexed="64"/>
          <bgColor rgb="FFFFFF00"/>
        </patternFill>
      </fill>
      <alignment horizontal="center" vertical="center" textRotation="0" wrapText="0" indent="0" justifyLastLine="0" shrinkToFit="0" readingOrder="0"/>
    </dxf>
    <dxf>
      <font>
        <sz val="10"/>
        <name val="Arial"/>
        <scheme val="none"/>
      </font>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vertical="center"/>
    </dxf>
    <dxf>
      <alignment vertical="center"/>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0D4B6D"/>
      <color rgb="FFF49AC1"/>
      <color rgb="FFB4FFFF"/>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266700</xdr:colOff>
      <xdr:row>3</xdr:row>
      <xdr:rowOff>76199</xdr:rowOff>
    </xdr:from>
    <xdr:to>
      <xdr:col>21</xdr:col>
      <xdr:colOff>476250</xdr:colOff>
      <xdr:row>24</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077575" y="581024"/>
          <a:ext cx="5695950" cy="450532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Full-Time 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Master of Architecture (OpenUnis)</a:t>
          </a:r>
          <a:endParaRPr lang="en-AU" sz="1100" b="0" i="0" u="none" strike="noStrike">
            <a:solidFill>
              <a:schemeClr val="accent5"/>
            </a:solidFill>
            <a:effectLst/>
            <a:latin typeface="+mn-lt"/>
            <a:ea typeface="+mn-ea"/>
            <a:cs typeface="+mn-cs"/>
          </a:endParaRPr>
        </a:p>
        <a:p>
          <a:pPr rtl="0" fontAlgn="base"/>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ctr"/>
          <a:endParaRPr lang="en-AU" sz="1000">
            <a:effectLst/>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for </a:t>
          </a:r>
          <a:r>
            <a:rPr lang="en-AU" b="1"/>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 </a:t>
          </a:r>
        </a:p>
        <a:p>
          <a:pPr rtl="0" fontAlgn="base"/>
          <a:endParaRPr lang="en-AU">
            <a:effectLst/>
          </a:endParaRPr>
        </a:p>
        <a:p>
          <a:pPr rtl="0" fontAlgn="base"/>
          <a:r>
            <a:rPr lang="en-AU" sz="1100" b="0" i="0">
              <a:solidFill>
                <a:schemeClr val="dk1"/>
              </a:solidFill>
              <a:effectLst/>
              <a:latin typeface="+mn-lt"/>
              <a:ea typeface="+mn-ea"/>
              <a:cs typeface="+mn-cs"/>
            </a:rPr>
            <a:t>If you need a part-time study plan please contact your Course Coordinator (Email - MasterArchitecture@curtin.edu.au).</a:t>
          </a:r>
          <a:endParaRPr lang="en-AU">
            <a:effectLst/>
          </a:endParaRPr>
        </a:p>
        <a:p>
          <a:endParaRPr lang="en-AU" sz="1100">
            <a:solidFill>
              <a:schemeClr val="dk1"/>
            </a:solidFill>
            <a:effectLst/>
            <a:latin typeface="+mn-lt"/>
            <a:ea typeface="+mn-ea"/>
            <a:cs typeface="+mn-cs"/>
          </a:endParaRPr>
        </a:p>
        <a:p>
          <a:r>
            <a:rPr lang="en-AU" sz="1100" b="1" baseline="0">
              <a:solidFill>
                <a:schemeClr val="dk1"/>
              </a:solidFill>
              <a:effectLst/>
              <a:latin typeface="+mn-lt"/>
              <a:ea typeface="+mn-ea"/>
              <a:cs typeface="+mn-cs"/>
            </a:rPr>
            <a:t>Practicum Placement</a:t>
          </a:r>
          <a:endParaRPr lang="en-AU">
            <a:effectLst/>
          </a:endParaRPr>
        </a:p>
        <a:p>
          <a:r>
            <a:rPr lang="en-AU" sz="1100" baseline="0">
              <a:solidFill>
                <a:schemeClr val="dk1"/>
              </a:solidFill>
              <a:effectLst/>
              <a:latin typeface="+mn-lt"/>
              <a:ea typeface="+mn-ea"/>
              <a:cs typeface="+mn-cs"/>
            </a:rPr>
            <a:t>Students are required to complete core unit (</a:t>
          </a:r>
          <a:r>
            <a:rPr lang="en-AU" sz="1100" b="1" i="1">
              <a:solidFill>
                <a:schemeClr val="dk1"/>
              </a:solidFill>
              <a:effectLst/>
              <a:latin typeface="+mn-lt"/>
              <a:ea typeface="+mn-ea"/>
              <a:cs typeface="+mn-cs"/>
            </a:rPr>
            <a:t>ARCH6022) MAA620 Architectural Practical Experience </a:t>
          </a:r>
          <a:r>
            <a:rPr lang="en-AU" sz="1100" baseline="0">
              <a:solidFill>
                <a:schemeClr val="dk1"/>
              </a:solidFill>
              <a:effectLst/>
              <a:latin typeface="+mn-lt"/>
              <a:ea typeface="+mn-ea"/>
              <a:cs typeface="+mn-cs"/>
            </a:rPr>
            <a:t>which includes 100 hours of (unpaid) internship in a host organisation. </a:t>
          </a:r>
        </a:p>
        <a:p>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If you identify an</a:t>
          </a:r>
          <a:r>
            <a:rPr lang="en-AU" sz="1100" b="0" baseline="0">
              <a:solidFill>
                <a:schemeClr val="dk1"/>
              </a:solidFill>
              <a:effectLst/>
              <a:latin typeface="+mn-lt"/>
              <a:ea typeface="+mn-ea"/>
              <a:cs typeface="+mn-cs"/>
            </a:rPr>
            <a:t> </a:t>
          </a:r>
          <a:r>
            <a:rPr lang="en-AU" sz="1100">
              <a:solidFill>
                <a:schemeClr val="dk1"/>
              </a:solidFill>
              <a:effectLst/>
              <a:latin typeface="+mn-lt"/>
              <a:ea typeface="+mn-ea"/>
              <a:cs typeface="+mn-cs"/>
            </a:rPr>
            <a:t>opportunity </a:t>
          </a:r>
          <a:r>
            <a:rPr lang="en-AU" sz="1100" b="0" baseline="0">
              <a:solidFill>
                <a:schemeClr val="dk1"/>
              </a:solidFill>
              <a:effectLst/>
              <a:latin typeface="+mn-lt"/>
              <a:ea typeface="+mn-ea"/>
              <a:cs typeface="+mn-cs"/>
            </a:rPr>
            <a:t>for your internship early in your degree, speak to your Course Coordinator about the possibility of completing </a:t>
          </a:r>
          <a:r>
            <a:rPr lang="en-AU" sz="1100" baseline="0">
              <a:solidFill>
                <a:schemeClr val="dk1"/>
              </a:solidFill>
              <a:effectLst/>
              <a:latin typeface="+mn-lt"/>
              <a:ea typeface="+mn-ea"/>
              <a:cs typeface="+mn-cs"/>
            </a:rPr>
            <a:t>(</a:t>
          </a:r>
          <a:r>
            <a:rPr lang="en-AU" sz="1100" b="1" i="1">
              <a:solidFill>
                <a:schemeClr val="dk1"/>
              </a:solidFill>
              <a:effectLst/>
              <a:latin typeface="+mn-lt"/>
              <a:ea typeface="+mn-ea"/>
              <a:cs typeface="+mn-cs"/>
            </a:rPr>
            <a:t>ARCH6022) MAA620 Architectural Practical Experience </a:t>
          </a:r>
          <a:r>
            <a:rPr lang="en-AU" sz="1100" b="0" baseline="0">
              <a:solidFill>
                <a:schemeClr val="dk1"/>
              </a:solidFill>
              <a:effectLst/>
              <a:latin typeface="+mn-lt"/>
              <a:ea typeface="+mn-ea"/>
              <a:cs typeface="+mn-cs"/>
            </a:rPr>
            <a:t>in an earlier study period.</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endParaRPr lang="en-AU">
            <a:effectLst/>
          </a:endParaRPr>
        </a:p>
      </xdr:txBody>
    </xdr:sp>
    <xdr:clientData/>
  </xdr:two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114300</xdr:colOff>
      <xdr:row>2</xdr:row>
      <xdr:rowOff>277394</xdr:rowOff>
    </xdr:from>
    <xdr:to>
      <xdr:col>21</xdr:col>
      <xdr:colOff>476250</xdr:colOff>
      <xdr:row>3</xdr:row>
      <xdr:rowOff>76199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354175" y="277394"/>
          <a:ext cx="2419350" cy="30363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8" totalsRowShown="0" headerRowDxfId="59" dataDxfId="58">
  <autoFilter ref="A6:H8" xr:uid="{00000000-0009-0000-0100-000003000000}"/>
  <sortState xmlns:xlrd2="http://schemas.microsoft.com/office/spreadsheetml/2017/richdata2" ref="A7:E10">
    <sortCondition ref="A6:A10"/>
  </sortState>
  <tableColumns count="8">
    <tableColumn id="3" xr3:uid="{00000000-0010-0000-0000-000003000000}" name="Choose your Architecture Course" dataDxfId="57"/>
    <tableColumn id="1" xr3:uid="{00000000-0010-0000-0000-000001000000}" name="UDC" dataDxfId="56"/>
    <tableColumn id="2" xr3:uid="{00000000-0010-0000-0000-000002000000}" name="SM Version" dataDxfId="55"/>
    <tableColumn id="5" xr3:uid="{00000000-0010-0000-0000-000005000000}" name="SM Effective Date" dataDxfId="54"/>
    <tableColumn id="4" xr3:uid="{00000000-0010-0000-0000-000004000000}" name="Akari Iteration" dataDxfId="53"/>
    <tableColumn id="6" xr3:uid="{00000000-0010-0000-0000-000006000000}" name="Akari Effective Date" dataDxfId="52"/>
    <tableColumn id="7" xr3:uid="{00000000-0010-0000-0000-000007000000}" name="Credit Points" dataDxfId="51"/>
    <tableColumn id="8" xr3:uid="{00000000-0010-0000-0000-000008000000}" name="SM Availabilities" dataDxfId="5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1:E15" totalsRowShown="0" dataDxfId="49">
  <autoFilter ref="A11:E15" xr:uid="{00000000-0009-0000-0100-000004000000}"/>
  <tableColumns count="5">
    <tableColumn id="1" xr3:uid="{00000000-0010-0000-0100-000001000000}" name="Choose your commencing study period (drop-down list)" dataDxfId="48"/>
    <tableColumn id="2" xr3:uid="{00000000-0010-0000-0100-000002000000}" name="Start" dataDxfId="47"/>
    <tableColumn id="3" xr3:uid="{00000000-0010-0000-0100-000003000000}" name="Next" dataDxfId="46"/>
    <tableColumn id="4" xr3:uid="{00000000-0010-0000-0100-000004000000}" name="Next2" dataDxfId="45"/>
    <tableColumn id="5" xr3:uid="{00000000-0010-0000-0100-000005000000}" name="Next3" dataDxfId="44"/>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M36" totalsRowShown="0" headerRowDxfId="43">
  <autoFilter ref="A2:M36" xr:uid="{00000000-0009-0000-0100-000002000000}"/>
  <sortState xmlns:xlrd2="http://schemas.microsoft.com/office/spreadsheetml/2017/richdata2" ref="A3:M36">
    <sortCondition ref="A2:A36"/>
  </sortState>
  <tableColumns count="13">
    <tableColumn id="1" xr3:uid="{00000000-0010-0000-0200-000001000000}" name="UDC"/>
    <tableColumn id="2" xr3:uid="{00000000-0010-0000-0200-000002000000}" name="Ver" dataDxfId="42"/>
    <tableColumn id="3" xr3:uid="{00000000-0010-0000-0200-000003000000}" name="OUA Cd" dataDxfId="41"/>
    <tableColumn id="4" xr3:uid="{00000000-0010-0000-0200-000004000000}" name="Title"/>
    <tableColumn id="5" xr3:uid="{00000000-0010-0000-0200-000005000000}" name="Credits" dataDxfId="40"/>
    <tableColumn id="6" xr3:uid="{00000000-0010-0000-0200-000006000000}" name="Pre-reqs (7/10/2024)" dataDxfId="39"/>
    <tableColumn id="12" xr3:uid="{00000000-0010-0000-0200-00000C000000}" name="SP1" dataDxfId="38">
      <calculatedColumnFormula>IFERROR(IF(VLOOKUP(TableHandbook[[#This Row],[UDC]],TableAvailabilities[],2,FALSE)&gt;0,"Y",""),"")</calculatedColumnFormula>
    </tableColumn>
    <tableColumn id="13" xr3:uid="{00000000-0010-0000-0200-00000D000000}" name="SP2" dataDxfId="37">
      <calculatedColumnFormula>IFERROR(IF(VLOOKUP(TableHandbook[[#This Row],[UDC]],TableAvailabilities[],3,FALSE)&gt;0,"Y",""),"")</calculatedColumnFormula>
    </tableColumn>
    <tableColumn id="14" xr3:uid="{00000000-0010-0000-0200-00000E000000}" name="SP3" dataDxfId="36">
      <calculatedColumnFormula>IFERROR(IF(VLOOKUP(TableHandbook[[#This Row],[UDC]],TableAvailabilities[],4,FALSE)&gt;0,"Y",""),"")</calculatedColumnFormula>
    </tableColumn>
    <tableColumn id="15" xr3:uid="{00000000-0010-0000-0200-00000F000000}" name="SP4" dataDxfId="35">
      <calculatedColumnFormula>IFERROR(IF(VLOOKUP(TableHandbook[[#This Row],[UDC]],TableAvailabilities[],5,FALSE)&gt;0,"Y",""),"")</calculatedColumnFormula>
    </tableColumn>
    <tableColumn id="9" xr3:uid="{00000000-0010-0000-0200-000009000000}" name="Notes" dataDxfId="34"/>
    <tableColumn id="7" xr3:uid="{00000000-0010-0000-0200-000007000000}" name="OM-ARCH" dataDxfId="33">
      <calculatedColumnFormula>IFERROR(VLOOKUP(TableHandbook[[#This Row],[UDC]],TableOMARCH[],7,FALSE),"")</calculatedColumnFormula>
    </tableColumn>
    <tableColumn id="8" xr3:uid="{00000000-0010-0000-0200-000008000000}" name="OW-ARCH" dataDxfId="32">
      <calculatedColumnFormula>IFERROR(VLOOKUP(TableHandbook[[#This Row],[UDC]],TableOWARCH[],7,FALSE),"")</calculatedColumnFormula>
    </tableColumn>
  </tableColumns>
  <tableStyleInfo name="TableStyleLight1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OMARCH" displayName="TableOMARCH" ref="A2:O31" totalsRowShown="0">
  <autoFilter ref="A2:O31" xr:uid="{00000000-0009-0000-0100-000001000000}"/>
  <sortState xmlns:xlrd2="http://schemas.microsoft.com/office/spreadsheetml/2017/richdata2" ref="A3:P6">
    <sortCondition ref="J2:J6"/>
  </sortState>
  <tableColumns count="15">
    <tableColumn id="1" xr3:uid="{00000000-0010-0000-0300-000001000000}" name="UDC" dataDxfId="31">
      <calculatedColumnFormula>TableOMARCH[[#This Row],[Study Package Code]]</calculatedColumnFormula>
    </tableColumn>
    <tableColumn id="13" xr3:uid="{00000000-0010-0000-0300-00000D000000}" name="Version" dataDxfId="30">
      <calculatedColumnFormula>TableOMARCH[[#This Row],[Ver]]</calculatedColumnFormula>
    </tableColumn>
    <tableColumn id="14" xr3:uid="{00000000-0010-0000-0300-00000E000000}" name="OUA Code" dataDxfId="29">
      <calculatedColumnFormula>LEFT(TableOMARCH[[#This Row],[Structure Line]],(FIND(" ",TableOMARCH[[#This Row],[Structure Line]],1)-1))</calculatedColumnFormula>
    </tableColumn>
    <tableColumn id="16" xr3:uid="{00000000-0010-0000-0300-000010000000}" name="Unit Title" dataDxfId="28">
      <calculatedColumnFormula>MID(TableOMARCH[[#This Row],[Structure Line]],FIND(" ",TableOMARCH[[#This Row],[Structure Line]])+1,256)</calculatedColumnFormula>
    </tableColumn>
    <tableColumn id="15" xr3:uid="{00000000-0010-0000-0300-00000F000000}" name="CPs" dataDxfId="27">
      <calculatedColumnFormula>TableOMARCH[[#This Row],[Credit Points]]</calculatedColumnFormula>
    </tableColumn>
    <tableColumn id="12" xr3:uid="{00000000-0010-0000-0300-00000C000000}" name="No."/>
    <tableColumn id="2" xr3:uid="{00000000-0010-0000-0300-000002000000}" name="Component Type"/>
    <tableColumn id="3" xr3:uid="{00000000-0010-0000-0300-000003000000}" name="Year Level"/>
    <tableColumn id="4" xr3:uid="{00000000-0010-0000-0300-000004000000}" name="Study Period"/>
    <tableColumn id="5" xr3:uid="{00000000-0010-0000-0300-000005000000}" name="Study Package Code"/>
    <tableColumn id="6" xr3:uid="{00000000-0010-0000-0300-000006000000}" name="Ver"/>
    <tableColumn id="7" xr3:uid="{00000000-0010-0000-0300-000007000000}" name="Structure Line"/>
    <tableColumn id="8" xr3:uid="{00000000-0010-0000-0300-000008000000}" name="Credit Points"/>
    <tableColumn id="9" xr3:uid="{00000000-0010-0000-0300-000009000000}" name="Effective" dataDxfId="26"/>
    <tableColumn id="10" xr3:uid="{00000000-0010-0000-0300-00000A000000}" name="Discont." dataDxfId="2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356575426" displayName="Table5356575426" ref="Q2:R31" totalsRowShown="0">
  <autoFilter ref="Q2:R31" xr:uid="{00000000-0009-0000-0100-000005000000}"/>
  <tableColumns count="2">
    <tableColumn id="1" xr3:uid="{00000000-0010-0000-0400-000001000000}" name="Column1"/>
    <tableColumn id="2" xr3:uid="{00000000-0010-0000-0400-000002000000}" name="Column2"/>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OWARCH" displayName="TableOWARCH" ref="A34:O63" totalsRowShown="0">
  <autoFilter ref="A34:O63" xr:uid="{00000000-0009-0000-0100-000006000000}"/>
  <sortState xmlns:xlrd2="http://schemas.microsoft.com/office/spreadsheetml/2017/richdata2" ref="A35:P38">
    <sortCondition ref="J2:J6"/>
  </sortState>
  <tableColumns count="15">
    <tableColumn id="1" xr3:uid="{00000000-0010-0000-0500-000001000000}" name="UDC" dataDxfId="24">
      <calculatedColumnFormula>TableOWARCH[[#This Row],[Study Package Code]]</calculatedColumnFormula>
    </tableColumn>
    <tableColumn id="13" xr3:uid="{00000000-0010-0000-0500-00000D000000}" name="Version" dataDxfId="23">
      <calculatedColumnFormula>TableOWARCH[[#This Row],[Ver]]</calculatedColumnFormula>
    </tableColumn>
    <tableColumn id="14" xr3:uid="{00000000-0010-0000-0500-00000E000000}" name="OUA Code" dataDxfId="22">
      <calculatedColumnFormula>LEFT(TableOWARCH[[#This Row],[Structure Line]],(FIND(" ",TableOWARCH[[#This Row],[Structure Line]],1)-1))</calculatedColumnFormula>
    </tableColumn>
    <tableColumn id="16" xr3:uid="{00000000-0010-0000-0500-000010000000}" name="Unit Title" dataDxfId="21">
      <calculatedColumnFormula>MID(TableOWARCH[[#This Row],[Structure Line]],FIND(" ",TableOWARCH[[#This Row],[Structure Line]])+1,256)</calculatedColumnFormula>
    </tableColumn>
    <tableColumn id="15" xr3:uid="{00000000-0010-0000-0500-00000F000000}" name="CPs" dataDxfId="20">
      <calculatedColumnFormula>TableOWARCH[[#This Row],[Credit Points]]</calculatedColumnFormula>
    </tableColumn>
    <tableColumn id="12" xr3:uid="{00000000-0010-0000-0500-00000C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9" xr3:uid="{00000000-0010-0000-0500-000009000000}" name="Effective" dataDxfId="19"/>
    <tableColumn id="10" xr3:uid="{00000000-0010-0000-0500-00000A000000}" name="Discont." dataDxfId="18"/>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53565754268" displayName="Table53565754268" ref="Q34:R63" totalsRowShown="0">
  <autoFilter ref="Q34:R63" xr:uid="{00000000-0009-0000-0100-000007000000}"/>
  <tableColumns count="2">
    <tableColumn id="1" xr3:uid="{00000000-0010-0000-0600-000001000000}" name="Column1"/>
    <tableColumn id="2" xr3:uid="{00000000-0010-0000-0600-000002000000}" name="Column2"/>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7000000}" name="TableAvailabilities" displayName="TableAvailabilities" ref="A2:E29" totalsRowShown="0">
  <autoFilter ref="A2:E29" xr:uid="{00000000-0009-0000-0100-00000D000000}"/>
  <tableColumns count="5">
    <tableColumn id="1" xr3:uid="{00000000-0010-0000-0700-000001000000}" name="Row Labels"/>
    <tableColumn id="2" xr3:uid="{00000000-0010-0000-0700-000002000000}" name="OpenUnis SP 1" dataDxfId="17"/>
    <tableColumn id="3" xr3:uid="{00000000-0010-0000-0700-000003000000}" name="OpenUnis SP 2" dataDxfId="16"/>
    <tableColumn id="4" xr3:uid="{00000000-0010-0000-0700-000004000000}" name="OpenUnis SP 3" dataDxfId="15"/>
    <tableColumn id="5" xr3:uid="{00000000-0010-0000-0700-000005000000}" name="OpenUnis SP 4" dataDxfId="14"/>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3"/>
  <sheetViews>
    <sheetView showGridLines="0" tabSelected="1" topLeftCell="A3" zoomScaleNormal="100" workbookViewId="0">
      <selection activeCell="D6" sqref="D6"/>
    </sheetView>
  </sheetViews>
  <sheetFormatPr defaultRowHeight="15" x14ac:dyDescent="0.25"/>
  <cols>
    <col min="1" max="1" width="8.5" style="97" customWidth="1"/>
    <col min="2" max="2" width="3.25" style="97" customWidth="1"/>
    <col min="3" max="3" width="12" style="97" bestFit="1" customWidth="1"/>
    <col min="4" max="4" width="46.375" style="87" bestFit="1" customWidth="1"/>
    <col min="5" max="5" width="6.875" style="87" customWidth="1"/>
    <col min="6" max="6" width="19.75" style="87" bestFit="1" customWidth="1"/>
    <col min="7" max="7" width="5.625" style="87" customWidth="1"/>
    <col min="8" max="11" width="4.625" style="87" customWidth="1"/>
    <col min="12" max="12" width="18.625" style="87" customWidth="1"/>
    <col min="13" max="13" width="2.5" style="87" hidden="1" customWidth="1"/>
    <col min="14" max="16384" width="9" style="87"/>
  </cols>
  <sheetData>
    <row r="1" spans="1:16" hidden="1" x14ac:dyDescent="0.25">
      <c r="A1" s="83" t="s">
        <v>0</v>
      </c>
      <c r="B1" s="84" t="s">
        <v>1</v>
      </c>
      <c r="C1" s="84" t="s">
        <v>2</v>
      </c>
      <c r="D1" s="85" t="s">
        <v>3</v>
      </c>
      <c r="E1" s="85"/>
      <c r="F1" s="85" t="s">
        <v>4</v>
      </c>
      <c r="G1" s="85" t="s">
        <v>5</v>
      </c>
      <c r="H1" s="86" t="s">
        <v>6</v>
      </c>
      <c r="I1" s="85"/>
      <c r="J1" s="85"/>
      <c r="K1" s="85"/>
      <c r="L1" s="85" t="s">
        <v>7</v>
      </c>
    </row>
    <row r="2" spans="1:16" hidden="1" x14ac:dyDescent="0.25">
      <c r="A2" s="88"/>
      <c r="B2" s="89">
        <v>2</v>
      </c>
      <c r="C2" s="89">
        <v>3</v>
      </c>
      <c r="D2" s="89">
        <v>4</v>
      </c>
      <c r="E2" s="89"/>
      <c r="F2" s="89">
        <v>6</v>
      </c>
      <c r="G2" s="89">
        <v>5</v>
      </c>
      <c r="H2" s="89">
        <v>7</v>
      </c>
      <c r="I2" s="89">
        <v>8</v>
      </c>
      <c r="J2" s="89">
        <v>9</v>
      </c>
      <c r="K2" s="89">
        <v>10</v>
      </c>
      <c r="L2" s="90"/>
    </row>
    <row r="3" spans="1:16" ht="39.950000000000003" customHeight="1" x14ac:dyDescent="0.25">
      <c r="A3" s="91" t="s">
        <v>8</v>
      </c>
      <c r="B3" s="91"/>
      <c r="C3" s="91"/>
      <c r="D3" s="91"/>
      <c r="E3" s="92"/>
      <c r="F3" s="92"/>
      <c r="G3" s="92"/>
      <c r="H3" s="92"/>
      <c r="I3" s="92"/>
      <c r="J3" s="92"/>
      <c r="K3" s="92"/>
      <c r="L3" s="92"/>
    </row>
    <row r="4" spans="1:16" ht="26.25" x14ac:dyDescent="0.25">
      <c r="A4" s="93" t="s">
        <v>9</v>
      </c>
      <c r="B4" s="94"/>
      <c r="C4" s="94"/>
      <c r="D4" s="94"/>
      <c r="E4" s="95"/>
      <c r="F4" s="94"/>
      <c r="G4" s="96"/>
      <c r="H4" s="96"/>
      <c r="I4" s="96"/>
      <c r="J4" s="96"/>
      <c r="K4" s="96"/>
      <c r="L4" s="96"/>
    </row>
    <row r="5" spans="1:16" ht="20.100000000000001" customHeight="1" x14ac:dyDescent="0.25">
      <c r="B5" s="98"/>
      <c r="C5" s="99" t="s">
        <v>10</v>
      </c>
      <c r="D5" s="100" t="s">
        <v>11</v>
      </c>
      <c r="E5" s="101"/>
      <c r="F5" s="99" t="s">
        <v>12</v>
      </c>
      <c r="G5" s="101" t="str">
        <f>IFERROR(CONCATENATE(VLOOKUP(D5,TableCourses[],2,FALSE)," ",VLOOKUP(D5,TableCourses[],3,FALSE)),"")</f>
        <v>OM-ARCH v.3</v>
      </c>
      <c r="H5" s="101"/>
      <c r="I5" s="101"/>
      <c r="J5" s="101"/>
      <c r="K5" s="101"/>
      <c r="L5" s="102" t="e">
        <f>CONCATENATE(VLOOKUP(D5,TableCourses[],2,FALSE),VLOOKUP(D6,TableStudyPeriod[],2,FALSE))</f>
        <v>#N/A</v>
      </c>
    </row>
    <row r="6" spans="1:16" ht="20.100000000000001" customHeight="1" x14ac:dyDescent="0.25">
      <c r="A6" s="103"/>
      <c r="B6" s="104"/>
      <c r="C6" s="99" t="s">
        <v>13</v>
      </c>
      <c r="D6" s="56" t="s">
        <v>88</v>
      </c>
      <c r="E6" s="105"/>
      <c r="F6" s="99" t="s">
        <v>15</v>
      </c>
      <c r="G6" s="101" t="str">
        <f>IFERROR(VLOOKUP($D$5,TableCourses[],7,FALSE),"")</f>
        <v xml:space="preserve">400 credit points required </v>
      </c>
      <c r="H6" s="106"/>
      <c r="I6" s="106"/>
      <c r="J6" s="106"/>
      <c r="K6" s="106"/>
      <c r="L6" s="107"/>
    </row>
    <row r="7" spans="1:16" s="115" customFormat="1" ht="14.1" customHeight="1" x14ac:dyDescent="0.25">
      <c r="A7" s="108"/>
      <c r="B7" s="108"/>
      <c r="C7" s="108"/>
      <c r="D7" s="109"/>
      <c r="E7" s="110"/>
      <c r="F7" s="108"/>
      <c r="G7" s="108"/>
      <c r="H7" s="111" t="s">
        <v>16</v>
      </c>
      <c r="I7" s="112"/>
      <c r="J7" s="112"/>
      <c r="K7" s="113"/>
      <c r="L7" s="110"/>
      <c r="M7" s="114"/>
      <c r="N7" s="114"/>
      <c r="O7" s="114"/>
    </row>
    <row r="8" spans="1:16" s="115" customFormat="1" ht="21" x14ac:dyDescent="0.25">
      <c r="A8" s="108" t="s">
        <v>17</v>
      </c>
      <c r="B8" s="108"/>
      <c r="C8" s="116" t="s">
        <v>18</v>
      </c>
      <c r="D8" s="109" t="s">
        <v>3</v>
      </c>
      <c r="E8" s="117" t="s">
        <v>19</v>
      </c>
      <c r="F8" s="108" t="s">
        <v>20</v>
      </c>
      <c r="G8" s="108" t="s">
        <v>21</v>
      </c>
      <c r="H8" s="118" t="s">
        <v>22</v>
      </c>
      <c r="I8" s="117" t="s">
        <v>23</v>
      </c>
      <c r="J8" s="117" t="s">
        <v>24</v>
      </c>
      <c r="K8" s="119" t="s">
        <v>25</v>
      </c>
      <c r="L8" s="108" t="s">
        <v>26</v>
      </c>
      <c r="M8" s="114"/>
      <c r="N8" s="114"/>
      <c r="O8" s="114"/>
    </row>
    <row r="9" spans="1:16" s="130" customFormat="1" ht="20.100000000000001" customHeight="1" x14ac:dyDescent="0.15">
      <c r="A9" s="120" t="str">
        <f>IFERROR(IF(HLOOKUP($L$5,RangeUnitsets,M9,FALSE)=0,"",HLOOKUP($L$5,RangeUnitsets,M9,FALSE)),"")</f>
        <v/>
      </c>
      <c r="B9" s="121" t="str">
        <f>IFERROR(IF(VLOOKUP($A9,TableHandbook[],2,FALSE)=0,"",VLOOKUP($A9,TableHandbook[],2,FALSE)),"")</f>
        <v/>
      </c>
      <c r="C9" s="122" t="str">
        <f>IFERROR(IF(VLOOKUP($A9,TableHandbook[],3,FALSE)=0,"",VLOOKUP($A9,TableHandbook[],3,FALSE)),"")</f>
        <v/>
      </c>
      <c r="D9" s="123" t="str">
        <f>IFERROR(IF(VLOOKUP($A9,TableHandbook[],4,FALSE)=0,"",VLOOKUP($A9,TableHandbook[],4,FALSE)),"")</f>
        <v/>
      </c>
      <c r="E9" s="124" t="str">
        <f>IF(OR(A9="",A9="-"),"",VLOOKUP($D$6,TableStudyPeriod[],2,FALSE))</f>
        <v/>
      </c>
      <c r="F9" s="125" t="str">
        <f>IFERROR(IF(VLOOKUP($A9,TableHandbook[],6,FALSE)=0,"",VLOOKUP($A9,TableHandbook[],6,FALSE)),"")</f>
        <v/>
      </c>
      <c r="G9" s="122" t="str">
        <f>IFERROR(IF(VLOOKUP($A9,TableHandbook[],5,FALSE)=0,"",VLOOKUP($A9,TableHandbook[],5,FALSE)),"")</f>
        <v/>
      </c>
      <c r="H9" s="126" t="str">
        <f>IFERROR(VLOOKUP($A9,TableHandbook[],H$2,FALSE),"")</f>
        <v/>
      </c>
      <c r="I9" s="122" t="str">
        <f>IFERROR(VLOOKUP($A9,TableHandbook[],I$2,FALSE),"")</f>
        <v/>
      </c>
      <c r="J9" s="122" t="str">
        <f>IFERROR(VLOOKUP($A9,TableHandbook[],J$2,FALSE),"")</f>
        <v/>
      </c>
      <c r="K9" s="127" t="str">
        <f>IFERROR(VLOOKUP($A9,TableHandbook[],K$2,FALSE),"")</f>
        <v/>
      </c>
      <c r="L9" s="77"/>
      <c r="M9" s="128">
        <v>2</v>
      </c>
      <c r="N9" s="129"/>
      <c r="O9" s="129"/>
    </row>
    <row r="10" spans="1:16" s="130" customFormat="1" ht="20.100000000000001" customHeight="1" x14ac:dyDescent="0.15">
      <c r="A10" s="131" t="str">
        <f>IFERROR(IF(HLOOKUP($L$5,RangeUnitsets,M10,FALSE)=0,"",HLOOKUP($L$5,RangeUnitsets,M10,FALSE)),"")</f>
        <v/>
      </c>
      <c r="B10" s="132" t="str">
        <f>IFERROR(IF(VLOOKUP($A10,TableHandbook[],2,FALSE)=0,"",VLOOKUP($A10,TableHandbook[],2,FALSE)),"")</f>
        <v/>
      </c>
      <c r="C10" s="132" t="str">
        <f>IFERROR(IF(VLOOKUP($A10,TableHandbook[],3,FALSE)=0,"",VLOOKUP($A10,TableHandbook[],3,FALSE)),"")</f>
        <v/>
      </c>
      <c r="D10" s="133" t="str">
        <f>IFERROR(IF(VLOOKUP($A10,TableHandbook[],4,FALSE)=0,"",VLOOKUP($A10,TableHandbook[],4,FALSE)),"")</f>
        <v/>
      </c>
      <c r="E10" s="134" t="str">
        <f>IF(OR(A10="",A10="-"),"",E9)</f>
        <v/>
      </c>
      <c r="F10" s="135" t="str">
        <f>IFERROR(IF(VLOOKUP($A10,TableHandbook[],6,FALSE)=0,"",VLOOKUP($A10,TableHandbook[],6,FALSE)),"")</f>
        <v/>
      </c>
      <c r="G10" s="132" t="str">
        <f>IFERROR(IF(VLOOKUP($A10,TableHandbook[],5,FALSE)=0,"",VLOOKUP($A10,TableHandbook[],5,FALSE)),"")</f>
        <v/>
      </c>
      <c r="H10" s="136" t="str">
        <f>IFERROR(VLOOKUP($A10,TableHandbook[],H$2,FALSE),"")</f>
        <v/>
      </c>
      <c r="I10" s="132" t="str">
        <f>IFERROR(VLOOKUP($A10,TableHandbook[],I$2,FALSE),"")</f>
        <v/>
      </c>
      <c r="J10" s="132" t="str">
        <f>IFERROR(VLOOKUP($A10,TableHandbook[],J$2,FALSE),"")</f>
        <v/>
      </c>
      <c r="K10" s="137" t="str">
        <f>IFERROR(VLOOKUP($A10,TableHandbook[],K$2,FALSE),"")</f>
        <v/>
      </c>
      <c r="L10" s="78"/>
      <c r="M10" s="128">
        <v>3</v>
      </c>
      <c r="N10" s="129"/>
      <c r="O10" s="129"/>
    </row>
    <row r="11" spans="1:16" s="130" customFormat="1" ht="4.5" customHeight="1" x14ac:dyDescent="0.15">
      <c r="A11" s="138"/>
      <c r="B11" s="139"/>
      <c r="C11" s="139"/>
      <c r="D11" s="140"/>
      <c r="E11" s="141"/>
      <c r="F11" s="142"/>
      <c r="G11" s="139"/>
      <c r="H11" s="143"/>
      <c r="I11" s="139"/>
      <c r="J11" s="139"/>
      <c r="K11" s="144"/>
      <c r="L11" s="197"/>
      <c r="M11" s="128"/>
      <c r="N11" s="129"/>
      <c r="O11" s="129"/>
      <c r="P11" s="129"/>
    </row>
    <row r="12" spans="1:16" s="130" customFormat="1" ht="20.100000000000001" customHeight="1" x14ac:dyDescent="0.15">
      <c r="A12" s="120" t="str">
        <f>IFERROR(IF(HLOOKUP($L$5,RangeUnitsets,M12,FALSE)=0,"",HLOOKUP($L$5,RangeUnitsets,M12,FALSE)),"")</f>
        <v/>
      </c>
      <c r="B12" s="122" t="str">
        <f>IFERROR(IF(VLOOKUP($A12,TableHandbook[],2,FALSE)=0,"",VLOOKUP($A12,TableHandbook[],2,FALSE)),"")</f>
        <v/>
      </c>
      <c r="C12" s="122" t="str">
        <f>IFERROR(IF(VLOOKUP($A12,TableHandbook[],3,FALSE)=0,"",VLOOKUP($A12,TableHandbook[],3,FALSE)),"")</f>
        <v/>
      </c>
      <c r="D12" s="123" t="str">
        <f>IFERROR(IF(VLOOKUP($A12,TableHandbook[],4,FALSE)=0,"",VLOOKUP($A12,TableHandbook[],4,FALSE)),"")</f>
        <v/>
      </c>
      <c r="E12" s="124" t="str">
        <f>IF(OR(A12="",A12="-"),"",VLOOKUP($D$6,TableStudyPeriod[],3,FALSE))</f>
        <v/>
      </c>
      <c r="F12" s="125" t="str">
        <f>IFERROR(IF(VLOOKUP($A12,TableHandbook[],6,FALSE)=0,"",VLOOKUP($A12,TableHandbook[],6,FALSE)),"")</f>
        <v/>
      </c>
      <c r="G12" s="122" t="str">
        <f>IFERROR(IF(VLOOKUP($A12,TableHandbook[],5,FALSE)=0,"",VLOOKUP($A12,TableHandbook[],5,FALSE)),"")</f>
        <v/>
      </c>
      <c r="H12" s="126" t="str">
        <f>IFERROR(VLOOKUP($A12,TableHandbook[],H$2,FALSE),"")</f>
        <v/>
      </c>
      <c r="I12" s="122" t="str">
        <f>IFERROR(VLOOKUP($A12,TableHandbook[],I$2,FALSE),"")</f>
        <v/>
      </c>
      <c r="J12" s="122" t="str">
        <f>IFERROR(VLOOKUP($A12,TableHandbook[],J$2,FALSE),"")</f>
        <v/>
      </c>
      <c r="K12" s="127" t="str">
        <f>IFERROR(VLOOKUP($A12,TableHandbook[],K$2,FALSE),"")</f>
        <v/>
      </c>
      <c r="L12" s="79"/>
      <c r="M12" s="128">
        <v>4</v>
      </c>
      <c r="N12" s="129"/>
      <c r="O12" s="129"/>
    </row>
    <row r="13" spans="1:16" s="130" customFormat="1" ht="20.100000000000001" customHeight="1" x14ac:dyDescent="0.15">
      <c r="A13" s="131" t="str">
        <f>IFERROR(IF(HLOOKUP($L$5,RangeUnitsets,M13,FALSE)=0,"",HLOOKUP($L$5,RangeUnitsets,M13,FALSE)),"")</f>
        <v/>
      </c>
      <c r="B13" s="132" t="str">
        <f>IFERROR(IF(VLOOKUP($A13,TableHandbook[],2,FALSE)=0,"",VLOOKUP($A13,TableHandbook[],2,FALSE)),"")</f>
        <v/>
      </c>
      <c r="C13" s="132" t="str">
        <f>IFERROR(IF(VLOOKUP($A13,TableHandbook[],3,FALSE)=0,"",VLOOKUP($A13,TableHandbook[],3,FALSE)),"")</f>
        <v/>
      </c>
      <c r="D13" s="133" t="str">
        <f>IFERROR(IF(VLOOKUP($A13,TableHandbook[],4,FALSE)=0,"",VLOOKUP($A13,TableHandbook[],4,FALSE)),"")</f>
        <v/>
      </c>
      <c r="E13" s="134" t="str">
        <f>IF(OR(A13="",A13="-"),"",E12)</f>
        <v/>
      </c>
      <c r="F13" s="135" t="str">
        <f>IFERROR(IF(VLOOKUP($A13,TableHandbook[],6,FALSE)=0,"",VLOOKUP($A13,TableHandbook[],6,FALSE)),"")</f>
        <v/>
      </c>
      <c r="G13" s="132" t="str">
        <f>IFERROR(IF(VLOOKUP($A13,TableHandbook[],5,FALSE)=0,"",VLOOKUP($A13,TableHandbook[],5,FALSE)),"")</f>
        <v/>
      </c>
      <c r="H13" s="136" t="str">
        <f>IFERROR(VLOOKUP($A13,TableHandbook[],H$2,FALSE),"")</f>
        <v/>
      </c>
      <c r="I13" s="132" t="str">
        <f>IFERROR(VLOOKUP($A13,TableHandbook[],I$2,FALSE),"")</f>
        <v/>
      </c>
      <c r="J13" s="132" t="str">
        <f>IFERROR(VLOOKUP($A13,TableHandbook[],J$2,FALSE),"")</f>
        <v/>
      </c>
      <c r="K13" s="137" t="str">
        <f>IFERROR(VLOOKUP($A13,TableHandbook[],K$2,FALSE),"")</f>
        <v/>
      </c>
      <c r="L13" s="78"/>
      <c r="M13" s="128">
        <v>5</v>
      </c>
      <c r="N13" s="129"/>
      <c r="O13" s="129"/>
    </row>
    <row r="14" spans="1:16" s="130" customFormat="1" ht="4.5" customHeight="1" x14ac:dyDescent="0.15">
      <c r="A14" s="145"/>
      <c r="B14" s="146"/>
      <c r="C14" s="146"/>
      <c r="D14" s="146"/>
      <c r="E14" s="141"/>
      <c r="F14" s="147"/>
      <c r="G14" s="146"/>
      <c r="H14" s="148"/>
      <c r="I14" s="146"/>
      <c r="J14" s="146"/>
      <c r="K14" s="149"/>
      <c r="L14" s="198"/>
      <c r="M14" s="128"/>
      <c r="N14" s="129"/>
      <c r="O14" s="129"/>
      <c r="P14" s="129"/>
    </row>
    <row r="15" spans="1:16" s="130" customFormat="1" ht="20.100000000000001" customHeight="1" x14ac:dyDescent="0.15">
      <c r="A15" s="120" t="str">
        <f>IFERROR(IF(HLOOKUP($L$5,RangeUnitsets,M15,FALSE)=0,"",HLOOKUP($L$5,RangeUnitsets,M15,FALSE)),"")</f>
        <v/>
      </c>
      <c r="B15" s="150" t="str">
        <f>IFERROR(IF(VLOOKUP($A15,TableHandbook[],2,FALSE)=0,"",VLOOKUP($A15,TableHandbook[],2,FALSE)),"")</f>
        <v/>
      </c>
      <c r="C15" s="150" t="str">
        <f>IFERROR(IF(VLOOKUP($A15,TableHandbook[],3,FALSE)=0,"",VLOOKUP($A15,TableHandbook[],3,FALSE)),"")</f>
        <v/>
      </c>
      <c r="D15" s="123" t="str">
        <f>IFERROR(IF(VLOOKUP($A15,TableHandbook[],4,FALSE)=0,"",VLOOKUP($A15,TableHandbook[],4,FALSE)),"")</f>
        <v/>
      </c>
      <c r="E15" s="124" t="str">
        <f>IF(OR(A15="",A15="-"),"",VLOOKUP($D$6,TableStudyPeriod[],4,FALSE))</f>
        <v/>
      </c>
      <c r="F15" s="125" t="str">
        <f>IFERROR(IF(VLOOKUP($A15,TableHandbook[],6,FALSE)=0,"",VLOOKUP($A15,TableHandbook[],6,FALSE)),"")</f>
        <v/>
      </c>
      <c r="G15" s="150" t="str">
        <f>IFERROR(IF(VLOOKUP($A15,TableHandbook[],5,FALSE)=0,"",VLOOKUP($A15,TableHandbook[],5,FALSE)),"")</f>
        <v/>
      </c>
      <c r="H15" s="126" t="str">
        <f>IFERROR(VLOOKUP($A15,TableHandbook[],H$2,FALSE),"")</f>
        <v/>
      </c>
      <c r="I15" s="122" t="str">
        <f>IFERROR(VLOOKUP($A15,TableHandbook[],I$2,FALSE),"")</f>
        <v/>
      </c>
      <c r="J15" s="122" t="str">
        <f>IFERROR(VLOOKUP($A15,TableHandbook[],J$2,FALSE),"")</f>
        <v/>
      </c>
      <c r="K15" s="127" t="str">
        <f>IFERROR(VLOOKUP($A15,TableHandbook[],K$2,FALSE),"")</f>
        <v/>
      </c>
      <c r="L15" s="79"/>
      <c r="M15" s="128">
        <v>6</v>
      </c>
      <c r="N15" s="129"/>
      <c r="O15" s="129"/>
    </row>
    <row r="16" spans="1:16" s="153" customFormat="1" ht="20.100000000000001" customHeight="1" x14ac:dyDescent="0.15">
      <c r="A16" s="131" t="str">
        <f>IFERROR(IF(HLOOKUP($L$5,RangeUnitsets,M16,FALSE)=0,"",HLOOKUP($L$5,RangeUnitsets,M16,FALSE)),"")</f>
        <v/>
      </c>
      <c r="B16" s="151" t="str">
        <f>IFERROR(IF(VLOOKUP($A16,TableHandbook[],2,FALSE)=0,"",VLOOKUP($A16,TableHandbook[],2,FALSE)),"")</f>
        <v/>
      </c>
      <c r="C16" s="151" t="str">
        <f>IFERROR(IF(VLOOKUP($A16,TableHandbook[],3,FALSE)=0,"",VLOOKUP($A16,TableHandbook[],3,FALSE)),"")</f>
        <v/>
      </c>
      <c r="D16" s="133" t="str">
        <f>IFERROR(IF(VLOOKUP($A16,TableHandbook[],4,FALSE)=0,"",VLOOKUP($A16,TableHandbook[],4,FALSE)),"")</f>
        <v/>
      </c>
      <c r="E16" s="134" t="str">
        <f>IF(OR(A16="",A16="-"),"",E15)</f>
        <v/>
      </c>
      <c r="F16" s="135" t="str">
        <f>IFERROR(IF(VLOOKUP($A16,TableHandbook[],6,FALSE)=0,"",VLOOKUP($A16,TableHandbook[],6,FALSE)),"")</f>
        <v/>
      </c>
      <c r="G16" s="151" t="str">
        <f>IFERROR(IF(VLOOKUP($A16,TableHandbook[],5,FALSE)=0,"",VLOOKUP($A16,TableHandbook[],5,FALSE)),"")</f>
        <v/>
      </c>
      <c r="H16" s="136" t="str">
        <f>IFERROR(VLOOKUP($A16,TableHandbook[],H$2,FALSE),"")</f>
        <v/>
      </c>
      <c r="I16" s="132" t="str">
        <f>IFERROR(VLOOKUP($A16,TableHandbook[],I$2,FALSE),"")</f>
        <v/>
      </c>
      <c r="J16" s="132" t="str">
        <f>IFERROR(VLOOKUP($A16,TableHandbook[],J$2,FALSE),"")</f>
        <v/>
      </c>
      <c r="K16" s="137" t="str">
        <f>IFERROR(VLOOKUP($A16,TableHandbook[],K$2,FALSE),"")</f>
        <v/>
      </c>
      <c r="L16" s="80"/>
      <c r="M16" s="128">
        <v>7</v>
      </c>
      <c r="N16" s="152"/>
      <c r="O16" s="152"/>
    </row>
    <row r="17" spans="1:16" s="130" customFormat="1" ht="4.5" customHeight="1" x14ac:dyDescent="0.15">
      <c r="A17" s="138"/>
      <c r="B17" s="139"/>
      <c r="C17" s="139"/>
      <c r="D17" s="140"/>
      <c r="E17" s="141"/>
      <c r="F17" s="142"/>
      <c r="G17" s="139"/>
      <c r="H17" s="143"/>
      <c r="I17" s="139"/>
      <c r="J17" s="139"/>
      <c r="K17" s="144"/>
      <c r="L17" s="197"/>
      <c r="M17" s="128"/>
      <c r="N17" s="129"/>
      <c r="O17" s="129"/>
      <c r="P17" s="129"/>
    </row>
    <row r="18" spans="1:16" s="153" customFormat="1" ht="20.100000000000001" customHeight="1" x14ac:dyDescent="0.15">
      <c r="A18" s="120" t="str">
        <f>IFERROR(IF(HLOOKUP($L$5,RangeUnitsets,M18,FALSE)=0,"",HLOOKUP($L$5,RangeUnitsets,M18,FALSE)),"")</f>
        <v/>
      </c>
      <c r="B18" s="150" t="str">
        <f>IFERROR(IF(VLOOKUP($A18,TableHandbook[],2,FALSE)=0,"",VLOOKUP($A18,TableHandbook[],2,FALSE)),"")</f>
        <v/>
      </c>
      <c r="C18" s="150" t="str">
        <f>IFERROR(IF(VLOOKUP($A18,TableHandbook[],3,FALSE)=0,"",VLOOKUP($A18,TableHandbook[],3,FALSE)),"")</f>
        <v/>
      </c>
      <c r="D18" s="123" t="str">
        <f>IFERROR(IF(VLOOKUP($A18,TableHandbook[],4,FALSE)=0,"",VLOOKUP($A18,TableHandbook[],4,FALSE)),"")</f>
        <v/>
      </c>
      <c r="E18" s="124" t="str">
        <f>IF(OR(A18="",A18="-"),"",VLOOKUP($D$6,TableStudyPeriod[],5,FALSE))</f>
        <v/>
      </c>
      <c r="F18" s="125" t="str">
        <f>IFERROR(IF(VLOOKUP($A18,TableHandbook[],6,FALSE)=0,"",VLOOKUP($A18,TableHandbook[],6,FALSE)),"")</f>
        <v/>
      </c>
      <c r="G18" s="150" t="str">
        <f>IFERROR(IF(VLOOKUP($A18,TableHandbook[],5,FALSE)=0,"",VLOOKUP($A18,TableHandbook[],5,FALSE)),"")</f>
        <v/>
      </c>
      <c r="H18" s="126" t="str">
        <f>IFERROR(VLOOKUP($A18,TableHandbook[],H$2,FALSE),"")</f>
        <v/>
      </c>
      <c r="I18" s="122" t="str">
        <f>IFERROR(VLOOKUP($A18,TableHandbook[],I$2,FALSE),"")</f>
        <v/>
      </c>
      <c r="J18" s="122" t="str">
        <f>IFERROR(VLOOKUP($A18,TableHandbook[],J$2,FALSE),"")</f>
        <v/>
      </c>
      <c r="K18" s="127" t="str">
        <f>IFERROR(VLOOKUP($A18,TableHandbook[],K$2,FALSE),"")</f>
        <v/>
      </c>
      <c r="L18" s="79"/>
      <c r="M18" s="128">
        <v>8</v>
      </c>
      <c r="N18" s="152"/>
      <c r="O18" s="152"/>
    </row>
    <row r="19" spans="1:16" s="153" customFormat="1" ht="20.100000000000001" customHeight="1" x14ac:dyDescent="0.15">
      <c r="A19" s="131" t="str">
        <f>IFERROR(IF(HLOOKUP($L$5,RangeUnitsets,M19,FALSE)=0,"",HLOOKUP($L$5,RangeUnitsets,M19,FALSE)),"")</f>
        <v/>
      </c>
      <c r="B19" s="151" t="str">
        <f>IFERROR(IF(VLOOKUP($A19,TableHandbook[],2,FALSE)=0,"",VLOOKUP($A19,TableHandbook[],2,FALSE)),"")</f>
        <v/>
      </c>
      <c r="C19" s="151" t="str">
        <f>IFERROR(IF(VLOOKUP($A19,TableHandbook[],3,FALSE)=0,"",VLOOKUP($A19,TableHandbook[],3,FALSE)),"")</f>
        <v/>
      </c>
      <c r="D19" s="154" t="str">
        <f>IFERROR(IF(VLOOKUP($A19,TableHandbook[],4,FALSE)=0,"",VLOOKUP($A19,TableHandbook[],4,FALSE)),"")</f>
        <v/>
      </c>
      <c r="E19" s="155" t="str">
        <f>IF(OR(A19="",A19="-"),"",E18)</f>
        <v/>
      </c>
      <c r="F19" s="135" t="str">
        <f>IFERROR(IF(VLOOKUP($A19,TableHandbook[],6,FALSE)=0,"",VLOOKUP($A19,TableHandbook[],6,FALSE)),"")</f>
        <v/>
      </c>
      <c r="G19" s="151" t="str">
        <f>IFERROR(IF(VLOOKUP($A19,TableHandbook[],5,FALSE)=0,"",VLOOKUP($A19,TableHandbook[],5,FALSE)),"")</f>
        <v/>
      </c>
      <c r="H19" s="136" t="str">
        <f>IFERROR(VLOOKUP($A19,TableHandbook[],H$2,FALSE),"")</f>
        <v/>
      </c>
      <c r="I19" s="132" t="str">
        <f>IFERROR(VLOOKUP($A19,TableHandbook[],I$2,FALSE),"")</f>
        <v/>
      </c>
      <c r="J19" s="132" t="str">
        <f>IFERROR(VLOOKUP($A19,TableHandbook[],J$2,FALSE),"")</f>
        <v/>
      </c>
      <c r="K19" s="137" t="str">
        <f>IFERROR(VLOOKUP($A19,TableHandbook[],K$2,FALSE),"")</f>
        <v/>
      </c>
      <c r="L19" s="80"/>
      <c r="M19" s="128">
        <v>9</v>
      </c>
      <c r="N19" s="152"/>
      <c r="O19" s="152"/>
    </row>
    <row r="20" spans="1:16" s="115" customFormat="1" ht="21" x14ac:dyDescent="0.25">
      <c r="A20" s="108" t="s">
        <v>27</v>
      </c>
      <c r="B20" s="108"/>
      <c r="C20" s="108" t="s">
        <v>18</v>
      </c>
      <c r="D20" s="109" t="s">
        <v>3</v>
      </c>
      <c r="E20" s="117" t="s">
        <v>19</v>
      </c>
      <c r="F20" s="108" t="s">
        <v>20</v>
      </c>
      <c r="G20" s="108" t="s">
        <v>21</v>
      </c>
      <c r="H20" s="118" t="str">
        <f>H$8</f>
        <v>SP1</v>
      </c>
      <c r="I20" s="117" t="str">
        <f t="shared" ref="I20:L20" si="0">I$8</f>
        <v>SP2</v>
      </c>
      <c r="J20" s="117" t="str">
        <f t="shared" si="0"/>
        <v>SP3</v>
      </c>
      <c r="K20" s="119" t="str">
        <f t="shared" si="0"/>
        <v>SP4</v>
      </c>
      <c r="L20" s="108" t="str">
        <f t="shared" si="0"/>
        <v>Notes / Progress</v>
      </c>
      <c r="M20" s="156"/>
      <c r="N20" s="114"/>
      <c r="O20" s="114"/>
    </row>
    <row r="21" spans="1:16" s="130" customFormat="1" ht="20.100000000000001" customHeight="1" x14ac:dyDescent="0.15">
      <c r="A21" s="120" t="str">
        <f>IFERROR(IF(HLOOKUP($L$5,RangeUnitsets,M21,FALSE)=0,"",HLOOKUP($L$5,RangeUnitsets,M21,FALSE)),"")</f>
        <v/>
      </c>
      <c r="B21" s="150" t="str">
        <f>IFERROR(IF(VLOOKUP($A21,TableHandbook[],2,FALSE)=0,"",VLOOKUP($A21,TableHandbook[],2,FALSE)),"")</f>
        <v/>
      </c>
      <c r="C21" s="150" t="str">
        <f>IFERROR(IF(VLOOKUP($A21,TableHandbook[],3,FALSE)=0,"",VLOOKUP($A21,TableHandbook[],3,FALSE)),"")</f>
        <v/>
      </c>
      <c r="D21" s="157" t="str">
        <f>IFERROR(IF(VLOOKUP($A21,TableHandbook[],4,FALSE)=0,"",VLOOKUP($A21,TableHandbook[],4,FALSE)),"")</f>
        <v/>
      </c>
      <c r="E21" s="158" t="str">
        <f>IF(OR(A21="",A21="-"),"",VLOOKUP($D$6,TableStudyPeriod[],2,FALSE))</f>
        <v/>
      </c>
      <c r="F21" s="125" t="str">
        <f>IFERROR(IF(VLOOKUP($A21,TableHandbook[],6,FALSE)=0,"",VLOOKUP($A21,TableHandbook[],6,FALSE)),"")</f>
        <v/>
      </c>
      <c r="G21" s="122" t="str">
        <f>IFERROR(IF(VLOOKUP($A21,TableHandbook[],5,FALSE)=0,"",VLOOKUP($A21,TableHandbook[],5,FALSE)),"")</f>
        <v/>
      </c>
      <c r="H21" s="126" t="str">
        <f>IFERROR(VLOOKUP($A21,TableHandbook[],H$2,FALSE),"")</f>
        <v/>
      </c>
      <c r="I21" s="122" t="str">
        <f>IFERROR(VLOOKUP($A21,TableHandbook[],I$2,FALSE),"")</f>
        <v/>
      </c>
      <c r="J21" s="122" t="str">
        <f>IFERROR(VLOOKUP($A21,TableHandbook[],J$2,FALSE),"")</f>
        <v/>
      </c>
      <c r="K21" s="127" t="str">
        <f>IFERROR(VLOOKUP($A21,TableHandbook[],K$2,FALSE),"")</f>
        <v/>
      </c>
      <c r="L21" s="77"/>
      <c r="M21" s="128">
        <v>10</v>
      </c>
      <c r="N21" s="129"/>
      <c r="O21" s="129"/>
    </row>
    <row r="22" spans="1:16" s="130" customFormat="1" ht="20.100000000000001" customHeight="1" x14ac:dyDescent="0.15">
      <c r="A22" s="131" t="str">
        <f>IFERROR(IF(HLOOKUP($L$5,RangeUnitsets,M22,FALSE)=0,"",HLOOKUP($L$5,RangeUnitsets,M22,FALSE)),"")</f>
        <v/>
      </c>
      <c r="B22" s="151" t="str">
        <f>IFERROR(IF(VLOOKUP($A22,TableHandbook[],2,FALSE)=0,"",VLOOKUP($A22,TableHandbook[],2,FALSE)),"")</f>
        <v/>
      </c>
      <c r="C22" s="151" t="str">
        <f>IFERROR(IF(VLOOKUP($A22,TableHandbook[],3,FALSE)=0,"",VLOOKUP($A22,TableHandbook[],3,FALSE)),"")</f>
        <v/>
      </c>
      <c r="D22" s="154" t="str">
        <f>IFERROR(IF(VLOOKUP($A22,TableHandbook[],4,FALSE)=0,"",VLOOKUP($A22,TableHandbook[],4,FALSE)),"")</f>
        <v/>
      </c>
      <c r="E22" s="134" t="str">
        <f>IF(OR(A22="",A22="-"),"",E21)</f>
        <v/>
      </c>
      <c r="F22" s="135" t="str">
        <f>IFERROR(IF(VLOOKUP($A22,TableHandbook[],6,FALSE)=0,"",VLOOKUP($A22,TableHandbook[],6,FALSE)),"")</f>
        <v/>
      </c>
      <c r="G22" s="132" t="str">
        <f>IFERROR(IF(VLOOKUP($A22,TableHandbook[],5,FALSE)=0,"",VLOOKUP($A22,TableHandbook[],5,FALSE)),"")</f>
        <v/>
      </c>
      <c r="H22" s="136" t="str">
        <f>IFERROR(VLOOKUP($A22,TableHandbook[],H$2,FALSE),"")</f>
        <v/>
      </c>
      <c r="I22" s="132" t="str">
        <f>IFERROR(VLOOKUP($A22,TableHandbook[],I$2,FALSE),"")</f>
        <v/>
      </c>
      <c r="J22" s="132" t="str">
        <f>IFERROR(VLOOKUP($A22,TableHandbook[],J$2,FALSE),"")</f>
        <v/>
      </c>
      <c r="K22" s="137" t="str">
        <f>IFERROR(VLOOKUP($A22,TableHandbook[],K$2,FALSE),"")</f>
        <v/>
      </c>
      <c r="L22" s="78"/>
      <c r="M22" s="128">
        <v>11</v>
      </c>
      <c r="N22" s="129"/>
      <c r="O22" s="129"/>
    </row>
    <row r="23" spans="1:16" s="130" customFormat="1" ht="4.5" customHeight="1" x14ac:dyDescent="0.15">
      <c r="A23" s="138"/>
      <c r="B23" s="139"/>
      <c r="C23" s="139"/>
      <c r="D23" s="140"/>
      <c r="E23" s="141"/>
      <c r="F23" s="142"/>
      <c r="G23" s="139"/>
      <c r="H23" s="143"/>
      <c r="I23" s="139"/>
      <c r="J23" s="139"/>
      <c r="K23" s="144"/>
      <c r="L23" s="197"/>
      <c r="M23" s="128"/>
      <c r="N23" s="129"/>
      <c r="O23" s="129"/>
      <c r="P23" s="129"/>
    </row>
    <row r="24" spans="1:16" s="130" customFormat="1" ht="20.100000000000001" customHeight="1" x14ac:dyDescent="0.15">
      <c r="A24" s="120" t="str">
        <f>IFERROR(IF(HLOOKUP($L$5,RangeUnitsets,M24,FALSE)=0,"",HLOOKUP($L$5,RangeUnitsets,M24,FALSE)),"")</f>
        <v/>
      </c>
      <c r="B24" s="150" t="str">
        <f>IFERROR(IF(VLOOKUP($A24,TableHandbook[],2,FALSE)=0,"",VLOOKUP($A24,TableHandbook[],2,FALSE)),"")</f>
        <v/>
      </c>
      <c r="C24" s="150" t="str">
        <f>IFERROR(IF(VLOOKUP($A24,TableHandbook[],3,FALSE)=0,"",VLOOKUP($A24,TableHandbook[],3,FALSE)),"")</f>
        <v/>
      </c>
      <c r="D24" s="159" t="str">
        <f>IFERROR(IF(VLOOKUP($A24,TableHandbook[],4,FALSE)=0,"",VLOOKUP($A24,TableHandbook[],4,FALSE)),"")</f>
        <v/>
      </c>
      <c r="E24" s="158" t="str">
        <f>IF(OR(A24="",A24="-"),"",VLOOKUP($D$6,TableStudyPeriod[],3,FALSE))</f>
        <v/>
      </c>
      <c r="F24" s="125" t="str">
        <f>IFERROR(IF(VLOOKUP($A24,TableHandbook[],6,FALSE)=0,"",VLOOKUP($A24,TableHandbook[],6,FALSE)),"")</f>
        <v/>
      </c>
      <c r="G24" s="122" t="str">
        <f>IFERROR(IF(VLOOKUP($A24,TableHandbook[],5,FALSE)=0,"",VLOOKUP($A24,TableHandbook[],5,FALSE)),"")</f>
        <v/>
      </c>
      <c r="H24" s="126" t="str">
        <f>IFERROR(VLOOKUP($A24,TableHandbook[],H$2,FALSE),"")</f>
        <v/>
      </c>
      <c r="I24" s="122" t="str">
        <f>IFERROR(VLOOKUP($A24,TableHandbook[],I$2,FALSE),"")</f>
        <v/>
      </c>
      <c r="J24" s="122" t="str">
        <f>IFERROR(VLOOKUP($A24,TableHandbook[],J$2,FALSE),"")</f>
        <v/>
      </c>
      <c r="K24" s="127" t="str">
        <f>IFERROR(VLOOKUP($A24,TableHandbook[],K$2,FALSE),"")</f>
        <v/>
      </c>
      <c r="L24" s="77"/>
      <c r="M24" s="128">
        <v>12</v>
      </c>
      <c r="N24" s="129"/>
      <c r="O24" s="129"/>
    </row>
    <row r="25" spans="1:16" s="130" customFormat="1" ht="20.100000000000001" customHeight="1" x14ac:dyDescent="0.15">
      <c r="A25" s="131" t="str">
        <f>IFERROR(IF(HLOOKUP($L$5,RangeUnitsets,M25,FALSE)=0,"",HLOOKUP($L$5,RangeUnitsets,M25,FALSE)),"")</f>
        <v/>
      </c>
      <c r="B25" s="151" t="str">
        <f>IFERROR(IF(VLOOKUP($A25,TableHandbook[],2,FALSE)=0,"",VLOOKUP($A25,TableHandbook[],2,FALSE)),"")</f>
        <v/>
      </c>
      <c r="C25" s="151" t="str">
        <f>IFERROR(IF(VLOOKUP($A25,TableHandbook[],3,FALSE)=0,"",VLOOKUP($A25,TableHandbook[],3,FALSE)),"")</f>
        <v/>
      </c>
      <c r="D25" s="154" t="str">
        <f>IFERROR(IF(VLOOKUP($A25,TableHandbook[],4,FALSE)=0,"",VLOOKUP($A25,TableHandbook[],4,FALSE)),"")</f>
        <v/>
      </c>
      <c r="E25" s="134" t="str">
        <f>IF(OR(A25="",A25="-"),"",E24)</f>
        <v/>
      </c>
      <c r="F25" s="135" t="str">
        <f>IFERROR(IF(VLOOKUP($A25,TableHandbook[],6,FALSE)=0,"",VLOOKUP($A25,TableHandbook[],6,FALSE)),"")</f>
        <v/>
      </c>
      <c r="G25" s="132" t="str">
        <f>IFERROR(IF(VLOOKUP($A25,TableHandbook[],5,FALSE)=0,"",VLOOKUP($A25,TableHandbook[],5,FALSE)),"")</f>
        <v/>
      </c>
      <c r="H25" s="136" t="str">
        <f>IFERROR(VLOOKUP($A25,TableHandbook[],H$2,FALSE),"")</f>
        <v/>
      </c>
      <c r="I25" s="132" t="str">
        <f>IFERROR(VLOOKUP($A25,TableHandbook[],I$2,FALSE),"")</f>
        <v/>
      </c>
      <c r="J25" s="132" t="str">
        <f>IFERROR(VLOOKUP($A25,TableHandbook[],J$2,FALSE),"")</f>
        <v/>
      </c>
      <c r="K25" s="137" t="str">
        <f>IFERROR(VLOOKUP($A25,TableHandbook[],K$2,FALSE),"")</f>
        <v/>
      </c>
      <c r="L25" s="78"/>
      <c r="M25" s="128">
        <v>13</v>
      </c>
      <c r="N25" s="129"/>
      <c r="O25" s="129"/>
    </row>
    <row r="26" spans="1:16" s="130" customFormat="1" ht="4.5" customHeight="1" x14ac:dyDescent="0.15">
      <c r="A26" s="138"/>
      <c r="B26" s="139"/>
      <c r="C26" s="139"/>
      <c r="D26" s="140"/>
      <c r="E26" s="141"/>
      <c r="F26" s="142"/>
      <c r="G26" s="139"/>
      <c r="H26" s="143"/>
      <c r="I26" s="139"/>
      <c r="J26" s="139"/>
      <c r="K26" s="144"/>
      <c r="L26" s="197"/>
      <c r="M26" s="128"/>
      <c r="N26" s="129"/>
      <c r="O26" s="129"/>
      <c r="P26" s="129"/>
    </row>
    <row r="27" spans="1:16" s="130" customFormat="1" ht="20.100000000000001" customHeight="1" x14ac:dyDescent="0.15">
      <c r="A27" s="160" t="str">
        <f>IFERROR(IF(HLOOKUP($L$5,RangeUnitsets,M27,FALSE)=0,"",HLOOKUP($L$5,RangeUnitsets,M27,FALSE)),"")</f>
        <v/>
      </c>
      <c r="B27" s="150" t="str">
        <f>IFERROR(IF(VLOOKUP($A27,TableHandbook[],2,FALSE)=0,"",VLOOKUP($A27,TableHandbook[],2,FALSE)),"")</f>
        <v/>
      </c>
      <c r="C27" s="150" t="str">
        <f>IFERROR(IF(VLOOKUP($A27,TableHandbook[],3,FALSE)=0,"",VLOOKUP($A27,TableHandbook[],3,FALSE)),"")</f>
        <v/>
      </c>
      <c r="D27" s="159" t="str">
        <f>IFERROR(IF(VLOOKUP($A27,TableHandbook[],4,FALSE)=0,"",VLOOKUP($A27,TableHandbook[],4,FALSE)),"")</f>
        <v/>
      </c>
      <c r="E27" s="158" t="str">
        <f>IF(OR(A27="",A27="-"),"",VLOOKUP($D$6,TableStudyPeriod[],4,FALSE))</f>
        <v/>
      </c>
      <c r="F27" s="161" t="str">
        <f>IFERROR(IF(VLOOKUP($A27,TableHandbook[],6,FALSE)=0,"",VLOOKUP($A27,TableHandbook[],6,FALSE)),"")</f>
        <v/>
      </c>
      <c r="G27" s="150" t="str">
        <f>IFERROR(IF(VLOOKUP($A27,TableHandbook[],5,FALSE)=0,"",VLOOKUP($A27,TableHandbook[],5,FALSE)),"")</f>
        <v/>
      </c>
      <c r="H27" s="126" t="str">
        <f>IFERROR(VLOOKUP($A27,TableHandbook[],H$2,FALSE),"")</f>
        <v/>
      </c>
      <c r="I27" s="122" t="str">
        <f>IFERROR(VLOOKUP($A27,TableHandbook[],I$2,FALSE),"")</f>
        <v/>
      </c>
      <c r="J27" s="122" t="str">
        <f>IFERROR(VLOOKUP($A27,TableHandbook[],J$2,FALSE),"")</f>
        <v/>
      </c>
      <c r="K27" s="127" t="str">
        <f>IFERROR(VLOOKUP($A27,TableHandbook[],K$2,FALSE),"")</f>
        <v/>
      </c>
      <c r="L27" s="79"/>
      <c r="M27" s="128">
        <v>14</v>
      </c>
      <c r="N27" s="129"/>
      <c r="O27" s="129"/>
    </row>
    <row r="28" spans="1:16" s="130" customFormat="1" ht="20.100000000000001" customHeight="1" x14ac:dyDescent="0.15">
      <c r="A28" s="162" t="str">
        <f>IFERROR(IF(HLOOKUP($L$5,RangeUnitsets,M28,FALSE)=0,"",HLOOKUP($L$5,RangeUnitsets,M28,FALSE)),"")</f>
        <v/>
      </c>
      <c r="B28" s="151" t="str">
        <f>IFERROR(IF(VLOOKUP($A28,TableHandbook[],2,FALSE)=0,"",VLOOKUP($A28,TableHandbook[],2,FALSE)),"")</f>
        <v/>
      </c>
      <c r="C28" s="151" t="str">
        <f>IFERROR(IF(VLOOKUP($A28,TableHandbook[],3,FALSE)=0,"",VLOOKUP($A28,TableHandbook[],3,FALSE)),"")</f>
        <v/>
      </c>
      <c r="D28" s="154" t="str">
        <f>IFERROR(IF(VLOOKUP($A28,TableHandbook[],4,FALSE)=0,"",VLOOKUP($A28,TableHandbook[],4,FALSE)),"")</f>
        <v/>
      </c>
      <c r="E28" s="155" t="str">
        <f>IF(OR(A28="",A28="-"),"",E27)</f>
        <v/>
      </c>
      <c r="F28" s="163" t="str">
        <f>IFERROR(IF(VLOOKUP($A28,TableHandbook[],6,FALSE)=0,"",VLOOKUP($A28,TableHandbook[],6,FALSE)),"")</f>
        <v/>
      </c>
      <c r="G28" s="151" t="str">
        <f>IFERROR(IF(VLOOKUP($A28,TableHandbook[],5,FALSE)=0,"",VLOOKUP($A28,TableHandbook[],5,FALSE)),"")</f>
        <v/>
      </c>
      <c r="H28" s="136" t="str">
        <f>IFERROR(VLOOKUP($A28,TableHandbook[],H$2,FALSE),"")</f>
        <v/>
      </c>
      <c r="I28" s="132" t="str">
        <f>IFERROR(VLOOKUP($A28,TableHandbook[],I$2,FALSE),"")</f>
        <v/>
      </c>
      <c r="J28" s="132" t="str">
        <f>IFERROR(VLOOKUP($A28,TableHandbook[],J$2,FALSE),"")</f>
        <v/>
      </c>
      <c r="K28" s="137" t="str">
        <f>IFERROR(VLOOKUP($A28,TableHandbook[],K$2,FALSE),"")</f>
        <v/>
      </c>
      <c r="L28" s="80"/>
      <c r="M28" s="128">
        <v>15</v>
      </c>
      <c r="N28" s="129"/>
      <c r="O28" s="152"/>
    </row>
    <row r="29" spans="1:16" s="130" customFormat="1" ht="4.5" customHeight="1" x14ac:dyDescent="0.15">
      <c r="A29" s="138"/>
      <c r="B29" s="139"/>
      <c r="C29" s="139"/>
      <c r="D29" s="140"/>
      <c r="E29" s="141"/>
      <c r="F29" s="142"/>
      <c r="G29" s="139"/>
      <c r="H29" s="143"/>
      <c r="I29" s="139"/>
      <c r="J29" s="139"/>
      <c r="K29" s="144"/>
      <c r="L29" s="197"/>
      <c r="M29" s="128"/>
      <c r="N29" s="129"/>
      <c r="O29" s="129"/>
      <c r="P29" s="129"/>
    </row>
    <row r="30" spans="1:16" s="153" customFormat="1" ht="20.100000000000001" customHeight="1" x14ac:dyDescent="0.25">
      <c r="A30" s="160" t="str">
        <f>IFERROR(IF(HLOOKUP($L$5,RangeUnitsets,M30,FALSE)=0,"",HLOOKUP($L$5,RangeUnitsets,M30,FALSE)),"")</f>
        <v/>
      </c>
      <c r="B30" s="150" t="str">
        <f>IFERROR(IF(VLOOKUP($A30,TableHandbook[],2,FALSE)=0,"",VLOOKUP($A30,TableHandbook[],2,FALSE)),"")</f>
        <v/>
      </c>
      <c r="C30" s="150" t="str">
        <f>IFERROR(IF(VLOOKUP($A30,TableHandbook[],3,FALSE)=0,"",VLOOKUP($A30,TableHandbook[],3,FALSE)),"")</f>
        <v/>
      </c>
      <c r="D30" s="159" t="str">
        <f>IFERROR(IF(VLOOKUP($A30,TableHandbook[],4,FALSE)=0,"",VLOOKUP($A30,TableHandbook[],4,FALSE)),"")</f>
        <v/>
      </c>
      <c r="E30" s="158" t="str">
        <f>IF(OR(A30="",A30="-"),"",VLOOKUP($D$6,TableStudyPeriod[],5,FALSE))</f>
        <v/>
      </c>
      <c r="F30" s="161" t="str">
        <f>IFERROR(IF(VLOOKUP($A30,TableHandbook[],6,FALSE)=0,"",VLOOKUP($A30,TableHandbook[],6,FALSE)),"")</f>
        <v/>
      </c>
      <c r="G30" s="150" t="str">
        <f>IFERROR(IF(VLOOKUP($A30,TableHandbook[],5,FALSE)=0,"",VLOOKUP($A30,TableHandbook[],5,FALSE)),"")</f>
        <v/>
      </c>
      <c r="H30" s="126" t="str">
        <f>IFERROR(VLOOKUP($A30,TableHandbook[],H$2,FALSE),"")</f>
        <v/>
      </c>
      <c r="I30" s="122" t="str">
        <f>IFERROR(VLOOKUP($A30,TableHandbook[],I$2,FALSE),"")</f>
        <v/>
      </c>
      <c r="J30" s="122" t="str">
        <f>IFERROR(VLOOKUP($A30,TableHandbook[],J$2,FALSE),"")</f>
        <v/>
      </c>
      <c r="K30" s="127" t="str">
        <f>IFERROR(VLOOKUP($A30,TableHandbook[],K$2,FALSE),"")</f>
        <v/>
      </c>
      <c r="L30" s="79"/>
      <c r="M30" s="128">
        <v>16</v>
      </c>
      <c r="N30" s="152"/>
      <c r="O30" s="164"/>
    </row>
    <row r="31" spans="1:16" s="153" customFormat="1" ht="20.100000000000001" customHeight="1" x14ac:dyDescent="0.15">
      <c r="A31" s="162" t="str">
        <f>IFERROR(IF(HLOOKUP($L$5,RangeUnitsets,M31,FALSE)=0,"",HLOOKUP($L$5,RangeUnitsets,M31,FALSE)),"")</f>
        <v/>
      </c>
      <c r="B31" s="151" t="str">
        <f>IFERROR(IF(VLOOKUP($A31,TableHandbook[],2,FALSE)=0,"",VLOOKUP($A31,TableHandbook[],2,FALSE)),"")</f>
        <v/>
      </c>
      <c r="C31" s="151" t="str">
        <f>IFERROR(IF(VLOOKUP($A31,TableHandbook[],3,FALSE)=0,"",VLOOKUP($A31,TableHandbook[],3,FALSE)),"")</f>
        <v/>
      </c>
      <c r="D31" s="154" t="str">
        <f>IFERROR(IF(VLOOKUP($A31,TableHandbook[],4,FALSE)=0,"",VLOOKUP($A31,TableHandbook[],4,FALSE)),"")</f>
        <v/>
      </c>
      <c r="E31" s="155" t="str">
        <f>IF(OR(A31="",A31="-"),"",E30)</f>
        <v/>
      </c>
      <c r="F31" s="163" t="str">
        <f>IFERROR(IF(VLOOKUP($A31,TableHandbook[],6,FALSE)=0,"",VLOOKUP($A31,TableHandbook[],6,FALSE)),"")</f>
        <v/>
      </c>
      <c r="G31" s="151" t="str">
        <f>IFERROR(IF(VLOOKUP($A31,TableHandbook[],5,FALSE)=0,"",VLOOKUP($A31,TableHandbook[],5,FALSE)),"")</f>
        <v/>
      </c>
      <c r="H31" s="136" t="str">
        <f>IFERROR(VLOOKUP($A31,TableHandbook[],H$2,FALSE),"")</f>
        <v/>
      </c>
      <c r="I31" s="132" t="str">
        <f>IFERROR(VLOOKUP($A31,TableHandbook[],I$2,FALSE),"")</f>
        <v/>
      </c>
      <c r="J31" s="132" t="str">
        <f>IFERROR(VLOOKUP($A31,TableHandbook[],J$2,FALSE),"")</f>
        <v/>
      </c>
      <c r="K31" s="137" t="str">
        <f>IFERROR(VLOOKUP($A31,TableHandbook[],K$2,FALSE),"")</f>
        <v/>
      </c>
      <c r="L31" s="80"/>
      <c r="M31" s="128">
        <v>17</v>
      </c>
      <c r="N31" s="152"/>
      <c r="O31" s="152"/>
    </row>
    <row r="32" spans="1:16" s="170" customFormat="1" ht="13.9" customHeight="1" x14ac:dyDescent="0.2">
      <c r="A32" s="165"/>
      <c r="B32" s="165"/>
      <c r="C32" s="165"/>
      <c r="D32" s="166"/>
      <c r="E32" s="166"/>
      <c r="F32" s="167"/>
      <c r="G32" s="167"/>
      <c r="H32" s="167"/>
      <c r="I32" s="167"/>
      <c r="J32" s="167"/>
      <c r="K32" s="167"/>
      <c r="L32" s="167"/>
      <c r="M32" s="168"/>
      <c r="N32" s="169"/>
      <c r="O32" s="169"/>
    </row>
    <row r="33" spans="1:13" ht="15" customHeight="1" x14ac:dyDescent="0.25">
      <c r="A33" s="171" t="s">
        <v>28</v>
      </c>
      <c r="B33" s="171"/>
      <c r="C33" s="171"/>
      <c r="D33" s="171"/>
      <c r="E33" s="171"/>
      <c r="F33" s="171"/>
      <c r="G33" s="172"/>
      <c r="H33" s="111" t="str">
        <f>H7</f>
        <v>2025 Availabilities</v>
      </c>
      <c r="I33" s="173"/>
      <c r="J33" s="174"/>
      <c r="K33" s="174"/>
      <c r="L33" s="175"/>
      <c r="M33" s="176"/>
    </row>
    <row r="34" spans="1:13" s="182" customFormat="1" x14ac:dyDescent="0.25">
      <c r="A34" s="177"/>
      <c r="B34" s="177"/>
      <c r="C34" s="116" t="s">
        <v>18</v>
      </c>
      <c r="D34" s="178" t="s">
        <v>3</v>
      </c>
      <c r="E34" s="177"/>
      <c r="F34" s="177" t="s">
        <v>20</v>
      </c>
      <c r="G34" s="177" t="s">
        <v>21</v>
      </c>
      <c r="H34" s="179" t="str">
        <f>H$8</f>
        <v>SP1</v>
      </c>
      <c r="I34" s="180" t="str">
        <f t="shared" ref="I34:L34" si="1">I$8</f>
        <v>SP2</v>
      </c>
      <c r="J34" s="180" t="str">
        <f t="shared" si="1"/>
        <v>SP3</v>
      </c>
      <c r="K34" s="180" t="str">
        <f t="shared" si="1"/>
        <v>SP4</v>
      </c>
      <c r="L34" s="181" t="str">
        <f t="shared" si="1"/>
        <v>Notes / Progress</v>
      </c>
      <c r="M34" s="176"/>
    </row>
    <row r="35" spans="1:13" x14ac:dyDescent="0.25">
      <c r="A35" s="183" t="s">
        <v>160</v>
      </c>
      <c r="B35" s="184">
        <f>IFERROR(IF(VLOOKUP($A35,TableHandbook[],2,FALSE)=0,"",VLOOKUP($A35,TableHandbook[],2,FALSE)),"")</f>
        <v>2</v>
      </c>
      <c r="C35" s="184" t="str">
        <f>IFERROR(IF(VLOOKUP($A35,TableHandbook[],3,FALSE)=0,"",VLOOKUP($A35,TableHandbook[],3,FALSE)),"")</f>
        <v>PRM500</v>
      </c>
      <c r="D35" s="185" t="str">
        <f>IFERROR(IF(VLOOKUP($A35,TableHandbook[],4,FALSE)=0,"",VLOOKUP($A35,TableHandbook[],4,FALSE)),"")</f>
        <v>Project Management Overview</v>
      </c>
      <c r="E35" s="186"/>
      <c r="F35" s="186" t="str">
        <f>IFERROR(IF(VLOOKUP($A35,TableHandbook[],6,FALSE)=0,"",VLOOKUP($A35,TableHandbook[],6,FALSE)),"")</f>
        <v>Nil</v>
      </c>
      <c r="G35" s="186">
        <f>IFERROR(IF(VLOOKUP($A35,TableHandbook[],5,FALSE)=0,"",VLOOKUP($A35,TableHandbook[],5,FALSE)),"")</f>
        <v>25</v>
      </c>
      <c r="H35" s="187" t="str">
        <f>IFERROR(VLOOKUP($A35,TableHandbook[],H$2,FALSE),"")</f>
        <v>Y</v>
      </c>
      <c r="I35" s="188" t="str">
        <f>IFERROR(VLOOKUP($A35,TableHandbook[],I$2,FALSE),"")</f>
        <v/>
      </c>
      <c r="J35" s="188" t="str">
        <f>IFERROR(VLOOKUP($A35,TableHandbook[],J$2,FALSE),"")</f>
        <v>Y</v>
      </c>
      <c r="K35" s="189" t="str">
        <f>IFERROR(VLOOKUP($A35,TableHandbook[],K$2,FALSE),"")</f>
        <v/>
      </c>
      <c r="L35" s="81"/>
      <c r="M35" s="128" t="s">
        <v>30</v>
      </c>
    </row>
    <row r="36" spans="1:13" x14ac:dyDescent="0.25">
      <c r="A36" s="183" t="s">
        <v>162</v>
      </c>
      <c r="B36" s="184">
        <f>IFERROR(IF(VLOOKUP($A36,TableHandbook[],2,FALSE)=0,"",VLOOKUP($A36,TableHandbook[],2,FALSE)),"")</f>
        <v>1</v>
      </c>
      <c r="C36" s="184" t="str">
        <f>IFERROR(IF(VLOOKUP($A36,TableHandbook[],3,FALSE)=0,"",VLOOKUP($A36,TableHandbook[],3,FALSE)),"")</f>
        <v>PRM510</v>
      </c>
      <c r="D36" s="185" t="str">
        <f>IFERROR(IF(VLOOKUP($A36,TableHandbook[],4,FALSE)=0,"",VLOOKUP($A36,TableHandbook[],4,FALSE)),"")</f>
        <v>Project and People</v>
      </c>
      <c r="E36" s="186"/>
      <c r="F36" s="186" t="str">
        <f>IFERROR(IF(VLOOKUP($A36,TableHandbook[],6,FALSE)=0,"",VLOOKUP($A36,TableHandbook[],6,FALSE)),"")</f>
        <v>Nil</v>
      </c>
      <c r="G36" s="186">
        <f>IFERROR(IF(VLOOKUP($A36,TableHandbook[],5,FALSE)=0,"",VLOOKUP($A36,TableHandbook[],5,FALSE)),"")</f>
        <v>25</v>
      </c>
      <c r="H36" s="187" t="str">
        <f>IFERROR(VLOOKUP($A36,TableHandbook[],H$2,FALSE),"")</f>
        <v/>
      </c>
      <c r="I36" s="188" t="str">
        <f>IFERROR(VLOOKUP($A36,TableHandbook[],I$2,FALSE),"")</f>
        <v>Y</v>
      </c>
      <c r="J36" s="188" t="str">
        <f>IFERROR(VLOOKUP($A36,TableHandbook[],J$2,FALSE),"")</f>
        <v/>
      </c>
      <c r="K36" s="189" t="str">
        <f>IFERROR(VLOOKUP($A36,TableHandbook[],K$2,FALSE),"")</f>
        <v>Y</v>
      </c>
      <c r="L36" s="81"/>
      <c r="M36" s="128" t="s">
        <v>32</v>
      </c>
    </row>
    <row r="37" spans="1:13" x14ac:dyDescent="0.25">
      <c r="A37" s="183" t="s">
        <v>164</v>
      </c>
      <c r="B37" s="184">
        <f>IFERROR(IF(VLOOKUP($A37,TableHandbook[],2,FALSE)=0,"",VLOOKUP($A37,TableHandbook[],2,FALSE)),"")</f>
        <v>1</v>
      </c>
      <c r="C37" s="184" t="str">
        <f>IFERROR(IF(VLOOKUP($A37,TableHandbook[],3,FALSE)=0,"",VLOOKUP($A37,TableHandbook[],3,FALSE)),"")</f>
        <v>PRM520</v>
      </c>
      <c r="D37" s="185" t="str">
        <f>IFERROR(IF(VLOOKUP($A37,TableHandbook[],4,FALSE)=0,"",VLOOKUP($A37,TableHandbook[],4,FALSE)),"")</f>
        <v>Project Cost Management</v>
      </c>
      <c r="E37" s="186"/>
      <c r="F37" s="186" t="str">
        <f>IFERROR(IF(VLOOKUP($A37,TableHandbook[],6,FALSE)=0,"",VLOOKUP($A37,TableHandbook[],6,FALSE)),"")</f>
        <v>Nil</v>
      </c>
      <c r="G37" s="186">
        <f>IFERROR(IF(VLOOKUP($A37,TableHandbook[],5,FALSE)=0,"",VLOOKUP($A37,TableHandbook[],5,FALSE)),"")</f>
        <v>25</v>
      </c>
      <c r="H37" s="187" t="str">
        <f>IFERROR(VLOOKUP($A37,TableHandbook[],H$2,FALSE),"")</f>
        <v>Y</v>
      </c>
      <c r="I37" s="188" t="str">
        <f>IFERROR(VLOOKUP($A37,TableHandbook[],I$2,FALSE),"")</f>
        <v/>
      </c>
      <c r="J37" s="188" t="str">
        <f>IFERROR(VLOOKUP($A37,TableHandbook[],J$2,FALSE),"")</f>
        <v>Y</v>
      </c>
      <c r="K37" s="189" t="str">
        <f>IFERROR(VLOOKUP($A37,TableHandbook[],K$2,FALSE),"")</f>
        <v/>
      </c>
      <c r="L37" s="81"/>
      <c r="M37" s="128" t="s">
        <v>34</v>
      </c>
    </row>
    <row r="38" spans="1:13" x14ac:dyDescent="0.25">
      <c r="A38" s="183" t="s">
        <v>166</v>
      </c>
      <c r="B38" s="184">
        <f>IFERROR(IF(VLOOKUP($A38,TableHandbook[],2,FALSE)=0,"",VLOOKUP($A38,TableHandbook[],2,FALSE)),"")</f>
        <v>2</v>
      </c>
      <c r="C38" s="184" t="str">
        <f>IFERROR(IF(VLOOKUP($A38,TableHandbook[],3,FALSE)=0,"",VLOOKUP($A38,TableHandbook[],3,FALSE)),"")</f>
        <v>PRM530</v>
      </c>
      <c r="D38" s="185" t="str">
        <f>IFERROR(IF(VLOOKUP($A38,TableHandbook[],4,FALSE)=0,"",VLOOKUP($A38,TableHandbook[],4,FALSE)),"")</f>
        <v>Project Planning and Schedule Management</v>
      </c>
      <c r="E38" s="186"/>
      <c r="F38" s="186" t="str">
        <f>IFERROR(IF(VLOOKUP($A38,TableHandbook[],6,FALSE)=0,"",VLOOKUP($A38,TableHandbook[],6,FALSE)),"")</f>
        <v>Nil</v>
      </c>
      <c r="G38" s="186">
        <f>IFERROR(IF(VLOOKUP($A38,TableHandbook[],5,FALSE)=0,"",VLOOKUP($A38,TableHandbook[],5,FALSE)),"")</f>
        <v>25</v>
      </c>
      <c r="H38" s="187" t="str">
        <f>IFERROR(VLOOKUP($A38,TableHandbook[],H$2,FALSE),"")</f>
        <v/>
      </c>
      <c r="I38" s="188" t="str">
        <f>IFERROR(VLOOKUP($A38,TableHandbook[],I$2,FALSE),"")</f>
        <v>Y</v>
      </c>
      <c r="J38" s="188" t="str">
        <f>IFERROR(VLOOKUP($A38,TableHandbook[],J$2,FALSE),"")</f>
        <v/>
      </c>
      <c r="K38" s="189" t="str">
        <f>IFERROR(VLOOKUP($A38,TableHandbook[],K$2,FALSE),"")</f>
        <v>Y</v>
      </c>
      <c r="L38" s="81"/>
      <c r="M38" s="128" t="s">
        <v>32</v>
      </c>
    </row>
    <row r="39" spans="1:13" x14ac:dyDescent="0.25">
      <c r="A39" s="183" t="s">
        <v>36</v>
      </c>
      <c r="B39" s="184">
        <f>IFERROR(IF(VLOOKUP($A39,TableHandbook[],2,FALSE)=0,"",VLOOKUP($A39,TableHandbook[],2,FALSE)),"")</f>
        <v>2</v>
      </c>
      <c r="C39" s="184" t="str">
        <f>IFERROR(IF(VLOOKUP($A39,TableHandbook[],3,FALSE)=0,"",VLOOKUP($A39,TableHandbook[],3,FALSE)),"")</f>
        <v>SCP522</v>
      </c>
      <c r="D39" s="185" t="str">
        <f>IFERROR(IF(VLOOKUP($A39,TableHandbook[],4,FALSE)=0,"",VLOOKUP($A39,TableHandbook[],4,FALSE)),"")</f>
        <v>Pathways to a Climate Resilient Society</v>
      </c>
      <c r="E39" s="186"/>
      <c r="F39" s="186" t="str">
        <f>IFERROR(IF(VLOOKUP($A39,TableHandbook[],6,FALSE)=0,"",VLOOKUP($A39,TableHandbook[],6,FALSE)),"")</f>
        <v>Nil</v>
      </c>
      <c r="G39" s="186">
        <f>IFERROR(IF(VLOOKUP($A39,TableHandbook[],5,FALSE)=0,"",VLOOKUP($A39,TableHandbook[],5,FALSE)),"")</f>
        <v>25</v>
      </c>
      <c r="H39" s="187" t="str">
        <f>IFERROR(VLOOKUP($A39,TableHandbook[],H$2,FALSE),"")</f>
        <v/>
      </c>
      <c r="I39" s="188" t="str">
        <f>IFERROR(VLOOKUP($A39,TableHandbook[],I$2,FALSE),"")</f>
        <v>Y</v>
      </c>
      <c r="J39" s="188" t="str">
        <f>IFERROR(VLOOKUP($A39,TableHandbook[],J$2,FALSE),"")</f>
        <v/>
      </c>
      <c r="K39" s="189" t="str">
        <f>IFERROR(VLOOKUP($A39,TableHandbook[],K$2,FALSE),"")</f>
        <v>Y</v>
      </c>
      <c r="L39" s="81"/>
      <c r="M39" s="128" t="s">
        <v>37</v>
      </c>
    </row>
    <row r="40" spans="1:13" x14ac:dyDescent="0.25">
      <c r="A40" s="183" t="s">
        <v>38</v>
      </c>
      <c r="B40" s="184">
        <f>IFERROR(IF(VLOOKUP($A40,TableHandbook[],2,FALSE)=0,"",VLOOKUP($A40,TableHandbook[],2,FALSE)),"")</f>
        <v>2</v>
      </c>
      <c r="C40" s="184" t="str">
        <f>IFERROR(IF(VLOOKUP($A40,TableHandbook[],3,FALSE)=0,"",VLOOKUP($A40,TableHandbook[],3,FALSE)),"")</f>
        <v>SCP543</v>
      </c>
      <c r="D40" s="185" t="str">
        <f>IFERROR(IF(VLOOKUP($A40,TableHandbook[],4,FALSE)=0,"",VLOOKUP($A40,TableHandbook[],4,FALSE)),"")</f>
        <v>Future Cities</v>
      </c>
      <c r="E40" s="186"/>
      <c r="F40" s="186" t="str">
        <f>IFERROR(IF(VLOOKUP($A40,TableHandbook[],6,FALSE)=0,"",VLOOKUP($A40,TableHandbook[],6,FALSE)),"")</f>
        <v>Nil</v>
      </c>
      <c r="G40" s="186">
        <f>IFERROR(IF(VLOOKUP($A40,TableHandbook[],5,FALSE)=0,"",VLOOKUP($A40,TableHandbook[],5,FALSE)),"")</f>
        <v>25</v>
      </c>
      <c r="H40" s="187" t="str">
        <f>IFERROR(VLOOKUP($A40,TableHandbook[],H$2,FALSE),"")</f>
        <v/>
      </c>
      <c r="I40" s="188" t="str">
        <f>IFERROR(VLOOKUP($A40,TableHandbook[],I$2,FALSE),"")</f>
        <v>Y</v>
      </c>
      <c r="J40" s="188" t="str">
        <f>IFERROR(VLOOKUP($A40,TableHandbook[],J$2,FALSE),"")</f>
        <v/>
      </c>
      <c r="K40" s="189" t="str">
        <f>IFERROR(VLOOKUP($A40,TableHandbook[],K$2,FALSE),"")</f>
        <v>Y</v>
      </c>
      <c r="L40" s="81"/>
      <c r="M40" s="128" t="s">
        <v>39</v>
      </c>
    </row>
    <row r="41" spans="1:13" x14ac:dyDescent="0.25">
      <c r="A41" s="183" t="s">
        <v>40</v>
      </c>
      <c r="B41" s="184">
        <f>IFERROR(IF(VLOOKUP($A41,TableHandbook[],2,FALSE)=0,"",VLOOKUP($A41,TableHandbook[],2,FALSE)),"")</f>
        <v>1</v>
      </c>
      <c r="C41" s="184" t="str">
        <f>IFERROR(IF(VLOOKUP($A41,TableHandbook[],3,FALSE)=0,"",VLOOKUP($A41,TableHandbook[],3,FALSE)),"")</f>
        <v>SCP547</v>
      </c>
      <c r="D41" s="185" t="str">
        <f>IFERROR(IF(VLOOKUP($A41,TableHandbook[],4,FALSE)=0,"",VLOOKUP($A41,TableHandbook[],4,FALSE)),"")</f>
        <v>Climate Policy</v>
      </c>
      <c r="E41" s="186"/>
      <c r="F41" s="186" t="str">
        <f>IFERROR(IF(VLOOKUP($A41,TableHandbook[],6,FALSE)=0,"",VLOOKUP($A41,TableHandbook[],6,FALSE)),"")</f>
        <v>Nil</v>
      </c>
      <c r="G41" s="186">
        <f>IFERROR(IF(VLOOKUP($A41,TableHandbook[],5,FALSE)=0,"",VLOOKUP($A41,TableHandbook[],5,FALSE)),"")</f>
        <v>25</v>
      </c>
      <c r="H41" s="187" t="str">
        <f>IFERROR(VLOOKUP($A41,TableHandbook[],H$2,FALSE),"")</f>
        <v>Y</v>
      </c>
      <c r="I41" s="188" t="str">
        <f>IFERROR(VLOOKUP($A41,TableHandbook[],I$2,FALSE),"")</f>
        <v/>
      </c>
      <c r="J41" s="188" t="str">
        <f>IFERROR(VLOOKUP($A41,TableHandbook[],J$2,FALSE),"")</f>
        <v>Y</v>
      </c>
      <c r="K41" s="189" t="str">
        <f>IFERROR(VLOOKUP($A41,TableHandbook[],K$2,FALSE),"")</f>
        <v/>
      </c>
      <c r="L41" s="81"/>
      <c r="M41" s="128"/>
    </row>
    <row r="42" spans="1:13" x14ac:dyDescent="0.25">
      <c r="A42" s="183" t="s">
        <v>41</v>
      </c>
      <c r="B42" s="184">
        <f>IFERROR(IF(VLOOKUP($A42,TableHandbook[],2,FALSE)=0,"",VLOOKUP($A42,TableHandbook[],2,FALSE)),"")</f>
        <v>2</v>
      </c>
      <c r="C42" s="184" t="str">
        <f>IFERROR(IF(VLOOKUP($A42,TableHandbook[],3,FALSE)=0,"",VLOOKUP($A42,TableHandbook[],3,FALSE)),"")</f>
        <v>SCP548</v>
      </c>
      <c r="D42" s="185" t="str">
        <f>IFERROR(IF(VLOOKUP($A42,TableHandbook[],4,FALSE)=0,"",VLOOKUP($A42,TableHandbook[],4,FALSE)),"")</f>
        <v>People and Planet</v>
      </c>
      <c r="E42" s="186"/>
      <c r="F42" s="186" t="str">
        <f>IFERROR(IF(VLOOKUP($A42,TableHandbook[],6,FALSE)=0,"",VLOOKUP($A42,TableHandbook[],6,FALSE)),"")</f>
        <v>Nil</v>
      </c>
      <c r="G42" s="186">
        <f>IFERROR(IF(VLOOKUP($A42,TableHandbook[],5,FALSE)=0,"",VLOOKUP($A42,TableHandbook[],5,FALSE)),"")</f>
        <v>25</v>
      </c>
      <c r="H42" s="187" t="str">
        <f>IFERROR(VLOOKUP($A42,TableHandbook[],H$2,FALSE),"")</f>
        <v/>
      </c>
      <c r="I42" s="188" t="str">
        <f>IFERROR(VLOOKUP($A42,TableHandbook[],I$2,FALSE),"")</f>
        <v>Y</v>
      </c>
      <c r="J42" s="188" t="str">
        <f>IFERROR(VLOOKUP($A42,TableHandbook[],J$2,FALSE),"")</f>
        <v/>
      </c>
      <c r="K42" s="189" t="str">
        <f>IFERROR(VLOOKUP($A42,TableHandbook[],K$2,FALSE),"")</f>
        <v>Y</v>
      </c>
      <c r="L42" s="81"/>
      <c r="M42" s="128" t="s">
        <v>42</v>
      </c>
    </row>
    <row r="43" spans="1:13" x14ac:dyDescent="0.25">
      <c r="A43" s="183" t="s">
        <v>43</v>
      </c>
      <c r="B43" s="184">
        <f>IFERROR(IF(VLOOKUP($A43,TableHandbook[],2,FALSE)=0,"",VLOOKUP($A43,TableHandbook[],2,FALSE)),"")</f>
        <v>3</v>
      </c>
      <c r="C43" s="184" t="str">
        <f>IFERROR(IF(VLOOKUP($A43,TableHandbook[],3,FALSE)=0,"",VLOOKUP($A43,TableHandbook[],3,FALSE)),"")</f>
        <v>URP530</v>
      </c>
      <c r="D43" s="185" t="str">
        <f>IFERROR(IF(VLOOKUP($A43,TableHandbook[],4,FALSE)=0,"",VLOOKUP($A43,TableHandbook[],4,FALSE)),"")</f>
        <v>Planning Theory and Context</v>
      </c>
      <c r="E43" s="186"/>
      <c r="F43" s="186" t="str">
        <f>IFERROR(IF(VLOOKUP($A43,TableHandbook[],6,FALSE)=0,"",VLOOKUP($A43,TableHandbook[],6,FALSE)),"")</f>
        <v>Nil</v>
      </c>
      <c r="G43" s="186">
        <f>IFERROR(IF(VLOOKUP($A43,TableHandbook[],5,FALSE)=0,"",VLOOKUP($A43,TableHandbook[],5,FALSE)),"")</f>
        <v>25</v>
      </c>
      <c r="H43" s="187" t="str">
        <f>IFERROR(VLOOKUP($A43,TableHandbook[],H$2,FALSE),"")</f>
        <v/>
      </c>
      <c r="I43" s="188" t="str">
        <f>IFERROR(VLOOKUP($A43,TableHandbook[],I$2,FALSE),"")</f>
        <v>Y</v>
      </c>
      <c r="J43" s="188" t="str">
        <f>IFERROR(VLOOKUP($A43,TableHandbook[],J$2,FALSE),"")</f>
        <v/>
      </c>
      <c r="K43" s="189" t="str">
        <f>IFERROR(VLOOKUP($A43,TableHandbook[],K$2,FALSE),"")</f>
        <v>Y</v>
      </c>
      <c r="L43" s="81"/>
      <c r="M43" s="128" t="s">
        <v>37</v>
      </c>
    </row>
    <row r="44" spans="1:13" x14ac:dyDescent="0.25">
      <c r="A44" s="183" t="s">
        <v>44</v>
      </c>
      <c r="B44" s="184">
        <f>IFERROR(IF(VLOOKUP($A44,TableHandbook[],2,FALSE)=0,"",VLOOKUP($A44,TableHandbook[],2,FALSE)),"")</f>
        <v>1</v>
      </c>
      <c r="C44" s="184" t="str">
        <f>IFERROR(IF(VLOOKUP($A44,TableHandbook[],3,FALSE)=0,"",VLOOKUP($A44,TableHandbook[],3,FALSE)),"")</f>
        <v>URP500</v>
      </c>
      <c r="D44" s="185" t="str">
        <f>IFERROR(IF(VLOOKUP($A44,TableHandbook[],4,FALSE)=0,"",VLOOKUP($A44,TableHandbook[],4,FALSE)),"")</f>
        <v>Planning Law</v>
      </c>
      <c r="E44" s="186"/>
      <c r="F44" s="186" t="str">
        <f>IFERROR(IF(VLOOKUP($A44,TableHandbook[],6,FALSE)=0,"",VLOOKUP($A44,TableHandbook[],6,FALSE)),"")</f>
        <v>Nil</v>
      </c>
      <c r="G44" s="186">
        <f>IFERROR(IF(VLOOKUP($A44,TableHandbook[],5,FALSE)=0,"",VLOOKUP($A44,TableHandbook[],5,FALSE)),"")</f>
        <v>25</v>
      </c>
      <c r="H44" s="187" t="str">
        <f>IFERROR(VLOOKUP($A44,TableHandbook[],H$2,FALSE),"")</f>
        <v>Y</v>
      </c>
      <c r="I44" s="188" t="str">
        <f>IFERROR(VLOOKUP($A44,TableHandbook[],I$2,FALSE),"")</f>
        <v/>
      </c>
      <c r="J44" s="188" t="str">
        <f>IFERROR(VLOOKUP($A44,TableHandbook[],J$2,FALSE),"")</f>
        <v>Y</v>
      </c>
      <c r="K44" s="189" t="str">
        <f>IFERROR(VLOOKUP($A44,TableHandbook[],K$2,FALSE),"")</f>
        <v/>
      </c>
      <c r="L44" s="81"/>
      <c r="M44" s="128" t="s">
        <v>30</v>
      </c>
    </row>
    <row r="45" spans="1:13" x14ac:dyDescent="0.25">
      <c r="A45" s="183" t="s">
        <v>45</v>
      </c>
      <c r="B45" s="184">
        <f>IFERROR(IF(VLOOKUP($A45,TableHandbook[],2,FALSE)=0,"",VLOOKUP($A45,TableHandbook[],2,FALSE)),"")</f>
        <v>2</v>
      </c>
      <c r="C45" s="184" t="str">
        <f>IFERROR(IF(VLOOKUP($A45,TableHandbook[],3,FALSE)=0,"",VLOOKUP($A45,TableHandbook[],3,FALSE)),"")</f>
        <v>URP515</v>
      </c>
      <c r="D45" s="185" t="str">
        <f>IFERROR(IF(VLOOKUP($A45,TableHandbook[],4,FALSE)=0,"",VLOOKUP($A45,TableHandbook[],4,FALSE)),"")</f>
        <v>Development Outcomes</v>
      </c>
      <c r="E45" s="186"/>
      <c r="F45" s="186" t="str">
        <f>IFERROR(IF(VLOOKUP($A45,TableHandbook[],6,FALSE)=0,"",VLOOKUP($A45,TableHandbook[],6,FALSE)),"")</f>
        <v>Nil</v>
      </c>
      <c r="G45" s="186">
        <f>IFERROR(IF(VLOOKUP($A45,TableHandbook[],5,FALSE)=0,"",VLOOKUP($A45,TableHandbook[],5,FALSE)),"")</f>
        <v>25</v>
      </c>
      <c r="H45" s="187" t="str">
        <f>IFERROR(VLOOKUP($A45,TableHandbook[],H$2,FALSE),"")</f>
        <v/>
      </c>
      <c r="I45" s="188" t="str">
        <f>IFERROR(VLOOKUP($A45,TableHandbook[],I$2,FALSE),"")</f>
        <v>Y</v>
      </c>
      <c r="J45" s="188" t="str">
        <f>IFERROR(VLOOKUP($A45,TableHandbook[],J$2,FALSE),"")</f>
        <v/>
      </c>
      <c r="K45" s="189" t="str">
        <f>IFERROR(VLOOKUP($A45,TableHandbook[],K$2,FALSE),"")</f>
        <v>Y</v>
      </c>
      <c r="L45" s="81"/>
      <c r="M45" s="128" t="s">
        <v>32</v>
      </c>
    </row>
    <row r="46" spans="1:13" x14ac:dyDescent="0.25">
      <c r="A46" s="183" t="s">
        <v>46</v>
      </c>
      <c r="B46" s="184">
        <f>IFERROR(IF(VLOOKUP($A46,TableHandbook[],2,FALSE)=0,"",VLOOKUP($A46,TableHandbook[],2,FALSE)),"")</f>
        <v>2</v>
      </c>
      <c r="C46" s="184" t="str">
        <f>IFERROR(IF(VLOOKUP($A46,TableHandbook[],3,FALSE)=0,"",VLOOKUP($A46,TableHandbook[],3,FALSE)),"")</f>
        <v>URP600</v>
      </c>
      <c r="D46" s="185" t="str">
        <f>IFERROR(IF(VLOOKUP($A46,TableHandbook[],4,FALSE)=0,"",VLOOKUP($A46,TableHandbook[],4,FALSE)),"")</f>
        <v>Urban Transport Systems</v>
      </c>
      <c r="E46" s="186"/>
      <c r="F46" s="186" t="str">
        <f>IFERROR(IF(VLOOKUP($A46,TableHandbook[],6,FALSE)=0,"",VLOOKUP($A46,TableHandbook[],6,FALSE)),"")</f>
        <v>Nil</v>
      </c>
      <c r="G46" s="186">
        <f>IFERROR(IF(VLOOKUP($A46,TableHandbook[],5,FALSE)=0,"",VLOOKUP($A46,TableHandbook[],5,FALSE)),"")</f>
        <v>25</v>
      </c>
      <c r="H46" s="187" t="str">
        <f>IFERROR(VLOOKUP($A46,TableHandbook[],H$2,FALSE),"")</f>
        <v/>
      </c>
      <c r="I46" s="188" t="str">
        <f>IFERROR(VLOOKUP($A46,TableHandbook[],I$2,FALSE),"")</f>
        <v/>
      </c>
      <c r="J46" s="188" t="str">
        <f>IFERROR(VLOOKUP($A46,TableHandbook[],J$2,FALSE),"")</f>
        <v/>
      </c>
      <c r="K46" s="189" t="str">
        <f>IFERROR(VLOOKUP($A46,TableHandbook[],K$2,FALSE),"")</f>
        <v>Y</v>
      </c>
      <c r="L46" s="81"/>
      <c r="M46" s="128"/>
    </row>
    <row r="47" spans="1:13" x14ac:dyDescent="0.25">
      <c r="A47" s="183" t="s">
        <v>47</v>
      </c>
      <c r="B47" s="184">
        <f>IFERROR(IF(VLOOKUP($A47,TableHandbook[],2,FALSE)=0,"",VLOOKUP($A47,TableHandbook[],2,FALSE)),"")</f>
        <v>1</v>
      </c>
      <c r="C47" s="184" t="str">
        <f>IFERROR(IF(VLOOKUP($A47,TableHandbook[],3,FALSE)=0,"",VLOOKUP($A47,TableHandbook[],3,FALSE)),"")</f>
        <v>URP640</v>
      </c>
      <c r="D47" s="185" t="str">
        <f>IFERROR(IF(VLOOKUP($A47,TableHandbook[],4,FALSE)=0,"",VLOOKUP($A47,TableHandbook[],4,FALSE)),"")</f>
        <v>Participatory Planning</v>
      </c>
      <c r="E47" s="186"/>
      <c r="F47" s="186" t="str">
        <f>IFERROR(IF(VLOOKUP($A47,TableHandbook[],6,FALSE)=0,"",VLOOKUP($A47,TableHandbook[],6,FALSE)),"")</f>
        <v>Nil</v>
      </c>
      <c r="G47" s="186">
        <f>IFERROR(IF(VLOOKUP($A47,TableHandbook[],5,FALSE)=0,"",VLOOKUP($A47,TableHandbook[],5,FALSE)),"")</f>
        <v>25</v>
      </c>
      <c r="H47" s="187" t="str">
        <f>IFERROR(VLOOKUP($A47,TableHandbook[],H$2,FALSE),"")</f>
        <v/>
      </c>
      <c r="I47" s="188" t="str">
        <f>IFERROR(VLOOKUP($A47,TableHandbook[],I$2,FALSE),"")</f>
        <v>Y</v>
      </c>
      <c r="J47" s="188" t="str">
        <f>IFERROR(VLOOKUP($A47,TableHandbook[],J$2,FALSE),"")</f>
        <v/>
      </c>
      <c r="K47" s="189" t="str">
        <f>IFERROR(VLOOKUP($A47,TableHandbook[],K$2,FALSE),"")</f>
        <v>Y</v>
      </c>
      <c r="L47" s="81"/>
      <c r="M47" s="128"/>
    </row>
    <row r="48" spans="1:13" x14ac:dyDescent="0.25">
      <c r="A48" s="183" t="s">
        <v>48</v>
      </c>
      <c r="B48" s="184">
        <f>IFERROR(IF(VLOOKUP($A48,TableHandbook[],2,FALSE)=0,"",VLOOKUP($A48,TableHandbook[],2,FALSE)),"")</f>
        <v>1</v>
      </c>
      <c r="C48" s="184" t="str">
        <f>IFERROR(IF(VLOOKUP($A48,TableHandbook[],3,FALSE)=0,"",VLOOKUP($A48,TableHandbook[],3,FALSE)),"")</f>
        <v>WBP500</v>
      </c>
      <c r="D48" s="185" t="str">
        <f>IFERROR(IF(VLOOKUP($A48,TableHandbook[],4,FALSE)=0,"",VLOOKUP($A48,TableHandbook[],4,FALSE)),"")</f>
        <v>Work Based Project (with approval)</v>
      </c>
      <c r="E48" s="186"/>
      <c r="F48" s="186" t="str">
        <f>IFERROR(IF(VLOOKUP($A48,TableHandbook[],6,FALSE)=0,"",VLOOKUP($A48,TableHandbook[],6,FALSE)),"")</f>
        <v>Contact Course Coordinator</v>
      </c>
      <c r="G48" s="186">
        <f>IFERROR(IF(VLOOKUP($A48,TableHandbook[],5,FALSE)=0,"",VLOOKUP($A48,TableHandbook[],5,FALSE)),"")</f>
        <v>25</v>
      </c>
      <c r="H48" s="187" t="str">
        <f>IFERROR(VLOOKUP($A48,TableHandbook[],H$2,FALSE),"")</f>
        <v/>
      </c>
      <c r="I48" s="188" t="str">
        <f>IFERROR(VLOOKUP($A48,TableHandbook[],I$2,FALSE),"")</f>
        <v/>
      </c>
      <c r="J48" s="188" t="str">
        <f>IFERROR(VLOOKUP($A48,TableHandbook[],J$2,FALSE),"")</f>
        <v/>
      </c>
      <c r="K48" s="189" t="str">
        <f>IFERROR(VLOOKUP($A48,TableHandbook[],K$2,FALSE),"")</f>
        <v/>
      </c>
      <c r="L48" s="81"/>
      <c r="M48" s="128"/>
    </row>
    <row r="49" spans="1:15" x14ac:dyDescent="0.25">
      <c r="A49" s="183" t="s">
        <v>49</v>
      </c>
      <c r="B49" s="184">
        <f>IFERROR(IF(VLOOKUP($A49,TableHandbook[],2,FALSE)=0,"",VLOOKUP($A49,TableHandbook[],2,FALSE)),"")</f>
        <v>1</v>
      </c>
      <c r="C49" s="184" t="str">
        <f>IFERROR(IF(VLOOKUP($A49,TableHandbook[],3,FALSE)=0,"",VLOOKUP($A49,TableHandbook[],3,FALSE)),"")</f>
        <v>SBE500</v>
      </c>
      <c r="D49" s="185" t="str">
        <f>IFERROR(IF(VLOOKUP($A49,TableHandbook[],4,FALSE)=0,"",VLOOKUP($A49,TableHandbook[],4,FALSE)),"")</f>
        <v>International Study Tour (with approval)</v>
      </c>
      <c r="E49" s="186"/>
      <c r="F49" s="186" t="str">
        <f>IFERROR(IF(VLOOKUP($A49,TableHandbook[],6,FALSE)=0,"",VLOOKUP($A49,TableHandbook[],6,FALSE)),"")</f>
        <v>Contact Course Coordinator</v>
      </c>
      <c r="G49" s="186">
        <f>IFERROR(IF(VLOOKUP($A49,TableHandbook[],5,FALSE)=0,"",VLOOKUP($A49,TableHandbook[],5,FALSE)),"")</f>
        <v>25</v>
      </c>
      <c r="H49" s="187" t="str">
        <f>IFERROR(VLOOKUP($A49,TableHandbook[],H$2,FALSE),"")</f>
        <v/>
      </c>
      <c r="I49" s="188" t="str">
        <f>IFERROR(VLOOKUP($A49,TableHandbook[],I$2,FALSE),"")</f>
        <v/>
      </c>
      <c r="J49" s="188" t="str">
        <f>IFERROR(VLOOKUP($A49,TableHandbook[],J$2,FALSE),"")</f>
        <v/>
      </c>
      <c r="K49" s="189" t="str">
        <f>IFERROR(VLOOKUP($A49,TableHandbook[],K$2,FALSE),"")</f>
        <v/>
      </c>
      <c r="L49" s="81"/>
      <c r="M49" s="128"/>
    </row>
    <row r="50" spans="1:15" ht="15.75" x14ac:dyDescent="0.25">
      <c r="A50" s="190"/>
      <c r="B50" s="190"/>
      <c r="C50" s="190"/>
      <c r="D50" s="190"/>
      <c r="E50" s="190"/>
      <c r="F50" s="190"/>
      <c r="G50" s="190"/>
      <c r="H50" s="190"/>
      <c r="I50" s="190"/>
      <c r="J50" s="190"/>
      <c r="K50" s="190"/>
      <c r="L50" s="190"/>
    </row>
    <row r="51" spans="1:15" ht="32.25" customHeight="1" x14ac:dyDescent="0.25">
      <c r="A51" s="191" t="s">
        <v>50</v>
      </c>
      <c r="B51" s="191"/>
      <c r="C51" s="191"/>
      <c r="D51" s="191"/>
      <c r="E51" s="191"/>
      <c r="F51" s="191"/>
      <c r="G51" s="191"/>
      <c r="H51" s="191"/>
      <c r="I51" s="191"/>
      <c r="J51" s="191"/>
      <c r="K51" s="191"/>
      <c r="L51" s="191"/>
    </row>
    <row r="52" spans="1:15" s="193" customFormat="1" ht="24.95" customHeight="1" x14ac:dyDescent="0.3">
      <c r="A52" s="49" t="s">
        <v>51</v>
      </c>
      <c r="B52" s="49"/>
      <c r="C52" s="49"/>
      <c r="D52" s="50"/>
      <c r="E52" s="50"/>
      <c r="F52" s="50"/>
      <c r="G52" s="50"/>
      <c r="H52" s="50"/>
      <c r="I52" s="50"/>
      <c r="J52" s="50"/>
      <c r="K52" s="50"/>
      <c r="L52" s="50"/>
      <c r="M52" s="192"/>
      <c r="N52" s="192"/>
      <c r="O52" s="192"/>
    </row>
    <row r="53" spans="1:15" ht="15" customHeight="1" x14ac:dyDescent="0.25">
      <c r="A53" s="194" t="s">
        <v>52</v>
      </c>
      <c r="B53" s="194"/>
      <c r="C53" s="194"/>
      <c r="D53" s="194"/>
      <c r="E53" s="195"/>
      <c r="F53" s="167"/>
      <c r="G53" s="196"/>
      <c r="H53" s="196"/>
      <c r="I53" s="196"/>
      <c r="J53" s="196"/>
      <c r="K53" s="196"/>
      <c r="L53" s="196" t="s">
        <v>53</v>
      </c>
    </row>
  </sheetData>
  <sheetProtection algorithmName="SHA-512" hashValue="Vl8pLqFIui909AN+YQDtNUHc0X1wf0a1Lj/u/gvOMj1c4mESzSlV7EErqN07DTbUHbhMFPzem3eMUyr79LUDnQ==" saltValue="bfz4gCWHmtPjPiIrdEvonQ==" spinCount="100000" sheet="1" objects="1" scenarios="1" formatCells="0" formatColumns="0" formatRows="0"/>
  <mergeCells count="3">
    <mergeCell ref="A3:D3"/>
    <mergeCell ref="A51:L51"/>
    <mergeCell ref="A33:G33"/>
  </mergeCells>
  <conditionalFormatting sqref="D5:D6">
    <cfRule type="containsText" dxfId="13" priority="4" operator="containsText" text="Choose">
      <formula>NOT(ISERROR(SEARCH("Choose",D5)))</formula>
    </cfRule>
  </conditionalFormatting>
  <conditionalFormatting sqref="H9:K31">
    <cfRule type="expression" dxfId="12" priority="1">
      <formula>$E9=H$8</formula>
    </cfRule>
  </conditionalFormatting>
  <dataValidations count="1">
    <dataValidation type="list" allowBlank="1" showInputMessage="1" showErrorMessage="1" sqref="L26 L14 L11 L17 L23 L29" xr:uid="{00000000-0002-0000-0000-000000000000}"/>
  </dataValidations>
  <hyperlinks>
    <hyperlink ref="A52:L52"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4" orientation="portrait" r:id="rId2"/>
  <rowBreaks count="1" manualBreakCount="1">
    <brk id="31" max="11"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Unitsets!$A$11:$A$15</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3"/>
  <sheetViews>
    <sheetView zoomScale="85" zoomScaleNormal="85" workbookViewId="0">
      <selection activeCell="B29" sqref="B29"/>
    </sheetView>
  </sheetViews>
  <sheetFormatPr defaultRowHeight="15.75" x14ac:dyDescent="0.25"/>
  <cols>
    <col min="1" max="1" width="65.875" style="10" bestFit="1" customWidth="1"/>
    <col min="2" max="2" width="10.75" style="7" bestFit="1" customWidth="1"/>
    <col min="3" max="3" width="12.25" style="7" customWidth="1"/>
    <col min="4" max="4" width="17.375" style="7" bestFit="1" customWidth="1"/>
    <col min="5" max="5" width="14.875" style="7" bestFit="1" customWidth="1"/>
    <col min="6" max="6" width="19.125" style="7" bestFit="1" customWidth="1"/>
    <col min="7" max="7" width="19.875" style="7" bestFit="1" customWidth="1"/>
    <col min="8" max="8" width="16.625" style="7" bestFit="1" customWidth="1"/>
    <col min="9" max="9" width="13.125" style="7" customWidth="1"/>
    <col min="10" max="10" width="13.125" style="7" bestFit="1" customWidth="1"/>
    <col min="11" max="11" width="2.5" bestFit="1" customWidth="1"/>
    <col min="12" max="12" width="5.25" bestFit="1" customWidth="1"/>
    <col min="13" max="13" width="12" bestFit="1" customWidth="1"/>
    <col min="14" max="14" width="5.25" bestFit="1" customWidth="1"/>
    <col min="15" max="15" width="12.375" bestFit="1" customWidth="1"/>
    <col min="16" max="16" width="5.25" bestFit="1" customWidth="1"/>
    <col min="17" max="17" width="12.375" bestFit="1" customWidth="1"/>
    <col min="18" max="18" width="5.25" bestFit="1" customWidth="1"/>
    <col min="19" max="19" width="12.375" bestFit="1" customWidth="1"/>
    <col min="20" max="20" width="6.625" customWidth="1"/>
    <col min="21" max="21" width="4.375" customWidth="1"/>
    <col min="22" max="22" width="34.5" bestFit="1" customWidth="1"/>
    <col min="24" max="24" width="20.875" bestFit="1" customWidth="1"/>
  </cols>
  <sheetData>
    <row r="1" spans="1:27" x14ac:dyDescent="0.25">
      <c r="A1" s="12" t="s">
        <v>54</v>
      </c>
      <c r="B1" s="13"/>
      <c r="C1" s="13"/>
      <c r="D1" s="13"/>
    </row>
    <row r="2" spans="1:27" x14ac:dyDescent="0.25">
      <c r="L2" s="43"/>
      <c r="M2" s="41"/>
      <c r="N2" s="42"/>
      <c r="O2" s="41"/>
      <c r="P2" s="41"/>
      <c r="Q2" s="41"/>
      <c r="R2" s="41"/>
      <c r="S2" s="41"/>
      <c r="T2" s="9"/>
      <c r="U2" s="17"/>
      <c r="V2" s="17"/>
      <c r="W2" s="17"/>
      <c r="X2" s="17"/>
      <c r="Y2" s="17"/>
      <c r="Z2" s="17"/>
      <c r="AA2" s="17"/>
    </row>
    <row r="3" spans="1:27" x14ac:dyDescent="0.25">
      <c r="J3" s="55" t="s">
        <v>55</v>
      </c>
      <c r="K3" s="1">
        <v>1</v>
      </c>
      <c r="L3" s="24"/>
      <c r="M3" s="25" t="s">
        <v>56</v>
      </c>
      <c r="N3" s="24"/>
      <c r="O3" s="35" t="s">
        <v>57</v>
      </c>
      <c r="P3" s="36"/>
      <c r="Q3" s="35" t="s">
        <v>58</v>
      </c>
      <c r="R3" s="36"/>
      <c r="S3" s="35" t="s">
        <v>59</v>
      </c>
      <c r="T3" s="19"/>
      <c r="U3" s="17"/>
      <c r="V3" s="17"/>
      <c r="W3" s="17"/>
      <c r="X3" s="17"/>
      <c r="Y3" s="17"/>
      <c r="Z3" s="17"/>
      <c r="AA3" s="17"/>
    </row>
    <row r="4" spans="1:27" x14ac:dyDescent="0.25">
      <c r="K4" s="15">
        <v>2</v>
      </c>
      <c r="L4" s="30" t="s">
        <v>60</v>
      </c>
      <c r="M4" s="32" t="s">
        <v>61</v>
      </c>
      <c r="N4" s="30" t="s">
        <v>62</v>
      </c>
      <c r="O4" s="37" t="s">
        <v>63</v>
      </c>
      <c r="P4" s="30" t="s">
        <v>64</v>
      </c>
      <c r="Q4" s="37" t="s">
        <v>65</v>
      </c>
      <c r="R4" s="30" t="s">
        <v>66</v>
      </c>
      <c r="S4" s="33" t="s">
        <v>61</v>
      </c>
      <c r="T4" s="1"/>
      <c r="U4" s="17"/>
      <c r="V4" s="17"/>
      <c r="W4" s="17"/>
      <c r="X4" s="17"/>
      <c r="Y4" s="17"/>
      <c r="Z4" s="17"/>
      <c r="AA4" s="17"/>
    </row>
    <row r="5" spans="1:27" x14ac:dyDescent="0.25">
      <c r="A5" s="43" t="s">
        <v>67</v>
      </c>
      <c r="K5" s="15">
        <v>3</v>
      </c>
      <c r="L5" s="29" t="s">
        <v>60</v>
      </c>
      <c r="M5" s="31" t="s">
        <v>68</v>
      </c>
      <c r="N5" s="29" t="s">
        <v>62</v>
      </c>
      <c r="O5" s="39" t="s">
        <v>69</v>
      </c>
      <c r="P5" s="29" t="s">
        <v>64</v>
      </c>
      <c r="Q5" s="39" t="s">
        <v>69</v>
      </c>
      <c r="R5" s="29" t="s">
        <v>66</v>
      </c>
      <c r="S5" s="53" t="s">
        <v>70</v>
      </c>
      <c r="T5" s="1"/>
      <c r="U5" s="17"/>
      <c r="V5" s="17"/>
      <c r="W5" s="17"/>
      <c r="X5" s="17"/>
      <c r="Y5" s="17"/>
      <c r="Z5" s="17"/>
      <c r="AA5" s="17"/>
    </row>
    <row r="6" spans="1:27" x14ac:dyDescent="0.25">
      <c r="A6" s="7" t="s">
        <v>71</v>
      </c>
      <c r="B6" s="10" t="s">
        <v>0</v>
      </c>
      <c r="C6" s="7" t="s">
        <v>72</v>
      </c>
      <c r="D6" s="7" t="s">
        <v>73</v>
      </c>
      <c r="E6" s="7" t="s">
        <v>74</v>
      </c>
      <c r="F6" s="7" t="s">
        <v>75</v>
      </c>
      <c r="G6" s="7" t="s">
        <v>76</v>
      </c>
      <c r="H6" s="7" t="s">
        <v>77</v>
      </c>
      <c r="K6" s="15">
        <v>4</v>
      </c>
      <c r="L6" s="30" t="s">
        <v>62</v>
      </c>
      <c r="M6" s="37" t="s">
        <v>63</v>
      </c>
      <c r="N6" s="30" t="s">
        <v>64</v>
      </c>
      <c r="O6" s="32" t="s">
        <v>68</v>
      </c>
      <c r="P6" s="30" t="s">
        <v>66</v>
      </c>
      <c r="Q6" s="32" t="s">
        <v>61</v>
      </c>
      <c r="R6" s="30" t="s">
        <v>60</v>
      </c>
      <c r="S6" s="33" t="s">
        <v>68</v>
      </c>
      <c r="T6" s="1"/>
      <c r="U6" s="6"/>
      <c r="V6" s="17"/>
      <c r="W6" s="17"/>
      <c r="X6" s="17"/>
      <c r="Y6" s="17"/>
      <c r="Z6" s="17"/>
      <c r="AA6" s="17"/>
    </row>
    <row r="7" spans="1:27" x14ac:dyDescent="0.25">
      <c r="A7" s="22" t="s">
        <v>11</v>
      </c>
      <c r="B7" s="67" t="s">
        <v>78</v>
      </c>
      <c r="C7" s="67" t="s">
        <v>79</v>
      </c>
      <c r="D7" s="68">
        <v>44927</v>
      </c>
      <c r="E7" s="67">
        <v>11</v>
      </c>
      <c r="F7" s="68">
        <v>44927</v>
      </c>
      <c r="G7" s="23" t="s">
        <v>80</v>
      </c>
      <c r="H7" s="67" t="s">
        <v>81</v>
      </c>
      <c r="I7"/>
      <c r="K7" s="15">
        <v>5</v>
      </c>
      <c r="L7" s="29" t="s">
        <v>62</v>
      </c>
      <c r="M7" s="39" t="s">
        <v>69</v>
      </c>
      <c r="N7" s="29" t="s">
        <v>64</v>
      </c>
      <c r="O7" s="40" t="s">
        <v>70</v>
      </c>
      <c r="P7" s="29" t="s">
        <v>66</v>
      </c>
      <c r="Q7" s="31" t="s">
        <v>82</v>
      </c>
      <c r="R7" s="29" t="s">
        <v>60</v>
      </c>
      <c r="S7" s="54" t="s">
        <v>82</v>
      </c>
      <c r="T7" s="1"/>
      <c r="U7" s="6"/>
      <c r="V7" s="5"/>
      <c r="W7" s="6"/>
      <c r="X7" s="5"/>
      <c r="Y7" s="6"/>
      <c r="Z7" s="6"/>
    </row>
    <row r="8" spans="1:27" x14ac:dyDescent="0.25">
      <c r="A8" s="22" t="s">
        <v>83</v>
      </c>
      <c r="B8" s="67" t="s">
        <v>84</v>
      </c>
      <c r="C8" s="67" t="s">
        <v>85</v>
      </c>
      <c r="D8" s="68">
        <v>44927</v>
      </c>
      <c r="E8" s="67">
        <v>2</v>
      </c>
      <c r="F8" s="68">
        <v>44927</v>
      </c>
      <c r="G8" s="23" t="s">
        <v>80</v>
      </c>
      <c r="H8" s="67" t="s">
        <v>81</v>
      </c>
      <c r="K8" s="15">
        <v>6</v>
      </c>
      <c r="L8" s="30" t="s">
        <v>64</v>
      </c>
      <c r="M8" s="37" t="s">
        <v>65</v>
      </c>
      <c r="N8" s="30" t="s">
        <v>66</v>
      </c>
      <c r="O8" s="32" t="s">
        <v>61</v>
      </c>
      <c r="P8" s="30" t="s">
        <v>60</v>
      </c>
      <c r="Q8" s="37" t="s">
        <v>86</v>
      </c>
      <c r="R8" s="30" t="s">
        <v>62</v>
      </c>
      <c r="S8" s="37" t="s">
        <v>63</v>
      </c>
      <c r="T8" s="1"/>
      <c r="U8" s="20"/>
      <c r="V8" s="5"/>
      <c r="W8" s="6"/>
      <c r="X8" s="5"/>
      <c r="Y8" s="16"/>
      <c r="Z8" s="6"/>
    </row>
    <row r="9" spans="1:27" x14ac:dyDescent="0.25">
      <c r="K9" s="15">
        <v>7</v>
      </c>
      <c r="L9" s="29" t="s">
        <v>64</v>
      </c>
      <c r="M9" s="39" t="s">
        <v>69</v>
      </c>
      <c r="N9" s="29" t="s">
        <v>66</v>
      </c>
      <c r="O9" s="31" t="s">
        <v>82</v>
      </c>
      <c r="P9" s="29" t="s">
        <v>60</v>
      </c>
      <c r="Q9" s="39" t="s">
        <v>69</v>
      </c>
      <c r="R9" s="29" t="s">
        <v>62</v>
      </c>
      <c r="S9" s="39" t="s">
        <v>69</v>
      </c>
      <c r="T9" s="1"/>
      <c r="Y9" s="6"/>
      <c r="Z9" s="6"/>
    </row>
    <row r="10" spans="1:27" x14ac:dyDescent="0.25">
      <c r="A10" s="43" t="s">
        <v>87</v>
      </c>
      <c r="K10" s="15">
        <v>8</v>
      </c>
      <c r="L10" s="30" t="s">
        <v>66</v>
      </c>
      <c r="M10" s="32" t="s">
        <v>82</v>
      </c>
      <c r="N10" s="30" t="s">
        <v>60</v>
      </c>
      <c r="O10" s="37" t="s">
        <v>86</v>
      </c>
      <c r="P10" s="30" t="s">
        <v>62</v>
      </c>
      <c r="Q10" s="37" t="s">
        <v>63</v>
      </c>
      <c r="R10" s="30" t="s">
        <v>64</v>
      </c>
      <c r="S10" s="37" t="s">
        <v>65</v>
      </c>
      <c r="T10" s="1"/>
      <c r="U10" s="20"/>
      <c r="Y10" s="6"/>
      <c r="Z10" s="6"/>
    </row>
    <row r="11" spans="1:27" x14ac:dyDescent="0.25">
      <c r="A11" s="11" t="s">
        <v>88</v>
      </c>
      <c r="B11" s="14" t="s">
        <v>89</v>
      </c>
      <c r="C11" s="7" t="s">
        <v>90</v>
      </c>
      <c r="D11" s="7" t="s">
        <v>91</v>
      </c>
      <c r="E11" s="7" t="s">
        <v>92</v>
      </c>
      <c r="K11" s="15">
        <v>9</v>
      </c>
      <c r="L11" s="29" t="s">
        <v>66</v>
      </c>
      <c r="M11" s="31" t="s">
        <v>93</v>
      </c>
      <c r="N11" s="29" t="s">
        <v>60</v>
      </c>
      <c r="O11" s="39" t="s">
        <v>69</v>
      </c>
      <c r="P11" s="29" t="s">
        <v>62</v>
      </c>
      <c r="Q11" s="39" t="s">
        <v>69</v>
      </c>
      <c r="R11" s="29" t="s">
        <v>64</v>
      </c>
      <c r="S11" s="39" t="s">
        <v>69</v>
      </c>
      <c r="T11" s="1"/>
      <c r="U11" s="21"/>
      <c r="Y11" s="6"/>
      <c r="Z11" s="6"/>
    </row>
    <row r="12" spans="1:27" x14ac:dyDescent="0.25">
      <c r="A12" s="7" t="s">
        <v>14</v>
      </c>
      <c r="B12" s="8" t="s">
        <v>22</v>
      </c>
      <c r="C12" s="8" t="s">
        <v>23</v>
      </c>
      <c r="D12" s="8" t="s">
        <v>24</v>
      </c>
      <c r="E12" s="8" t="s">
        <v>25</v>
      </c>
      <c r="K12" s="15">
        <v>10</v>
      </c>
      <c r="L12" s="30" t="s">
        <v>94</v>
      </c>
      <c r="M12" s="37" t="s">
        <v>86</v>
      </c>
      <c r="N12" s="30" t="s">
        <v>95</v>
      </c>
      <c r="O12" s="32" t="s">
        <v>96</v>
      </c>
      <c r="P12" s="30" t="s">
        <v>97</v>
      </c>
      <c r="Q12" s="32" t="s">
        <v>68</v>
      </c>
      <c r="R12" s="30" t="s">
        <v>98</v>
      </c>
      <c r="S12" s="32" t="s">
        <v>93</v>
      </c>
      <c r="T12" s="2"/>
      <c r="Y12" s="6"/>
      <c r="Z12" s="6"/>
    </row>
    <row r="13" spans="1:27" x14ac:dyDescent="0.25">
      <c r="A13" s="7" t="s">
        <v>99</v>
      </c>
      <c r="B13" s="8" t="s">
        <v>23</v>
      </c>
      <c r="C13" s="8" t="s">
        <v>24</v>
      </c>
      <c r="D13" s="8" t="s">
        <v>25</v>
      </c>
      <c r="E13" s="8" t="s">
        <v>22</v>
      </c>
      <c r="K13" s="15">
        <v>11</v>
      </c>
      <c r="L13" s="29" t="s">
        <v>94</v>
      </c>
      <c r="M13" s="39" t="s">
        <v>69</v>
      </c>
      <c r="N13" s="29" t="s">
        <v>95</v>
      </c>
      <c r="O13" s="31" t="s">
        <v>100</v>
      </c>
      <c r="P13" s="29" t="s">
        <v>97</v>
      </c>
      <c r="Q13" s="40" t="s">
        <v>70</v>
      </c>
      <c r="R13" s="29" t="s">
        <v>98</v>
      </c>
      <c r="S13" s="40" t="s">
        <v>101</v>
      </c>
      <c r="T13" s="2"/>
      <c r="Y13" s="6"/>
      <c r="Z13" s="6"/>
    </row>
    <row r="14" spans="1:27" x14ac:dyDescent="0.25">
      <c r="A14" s="7" t="s">
        <v>102</v>
      </c>
      <c r="B14" s="8" t="s">
        <v>24</v>
      </c>
      <c r="C14" s="8" t="s">
        <v>25</v>
      </c>
      <c r="D14" s="8" t="s">
        <v>22</v>
      </c>
      <c r="E14" s="8" t="s">
        <v>23</v>
      </c>
      <c r="K14" s="15">
        <v>12</v>
      </c>
      <c r="L14" s="27" t="s">
        <v>95</v>
      </c>
      <c r="M14" s="28" t="s">
        <v>96</v>
      </c>
      <c r="N14" s="30" t="s">
        <v>97</v>
      </c>
      <c r="O14" s="26" t="s">
        <v>65</v>
      </c>
      <c r="P14" s="30" t="s">
        <v>98</v>
      </c>
      <c r="Q14" s="33" t="s">
        <v>93</v>
      </c>
      <c r="R14" s="30" t="s">
        <v>94</v>
      </c>
      <c r="S14" s="26" t="s">
        <v>86</v>
      </c>
      <c r="T14" s="2"/>
      <c r="Y14" s="6"/>
      <c r="Z14" s="6"/>
    </row>
    <row r="15" spans="1:27" x14ac:dyDescent="0.25">
      <c r="A15" s="7" t="s">
        <v>103</v>
      </c>
      <c r="B15" s="8" t="s">
        <v>25</v>
      </c>
      <c r="C15" s="8" t="s">
        <v>22</v>
      </c>
      <c r="D15" s="8" t="s">
        <v>23</v>
      </c>
      <c r="E15" s="8" t="s">
        <v>24</v>
      </c>
      <c r="K15" s="15">
        <v>13</v>
      </c>
      <c r="L15" s="27" t="s">
        <v>95</v>
      </c>
      <c r="M15" s="28" t="s">
        <v>100</v>
      </c>
      <c r="N15" s="29" t="s">
        <v>97</v>
      </c>
      <c r="O15" s="26" t="s">
        <v>69</v>
      </c>
      <c r="P15" s="29" t="s">
        <v>98</v>
      </c>
      <c r="Q15" s="40" t="s">
        <v>101</v>
      </c>
      <c r="R15" s="29" t="s">
        <v>94</v>
      </c>
      <c r="S15" s="26" t="s">
        <v>69</v>
      </c>
      <c r="T15" s="2"/>
      <c r="U15" s="6"/>
      <c r="Y15" s="6"/>
      <c r="Z15" s="6"/>
    </row>
    <row r="16" spans="1:27" x14ac:dyDescent="0.25">
      <c r="A16"/>
      <c r="B16"/>
      <c r="C16"/>
      <c r="K16" s="15">
        <v>14</v>
      </c>
      <c r="L16" s="30" t="s">
        <v>97</v>
      </c>
      <c r="M16" s="37" t="s">
        <v>104</v>
      </c>
      <c r="N16" s="30" t="s">
        <v>98</v>
      </c>
      <c r="O16" s="33" t="s">
        <v>93</v>
      </c>
      <c r="P16" s="30" t="s">
        <v>94</v>
      </c>
      <c r="Q16" s="37" t="s">
        <v>104</v>
      </c>
      <c r="R16" s="27" t="s">
        <v>95</v>
      </c>
      <c r="S16" s="33" t="s">
        <v>96</v>
      </c>
      <c r="T16" s="2"/>
    </row>
    <row r="17" spans="1:20" x14ac:dyDescent="0.25">
      <c r="A17" s="5"/>
      <c r="B17" s="5"/>
      <c r="K17" s="15">
        <v>15</v>
      </c>
      <c r="L17" s="29" t="s">
        <v>97</v>
      </c>
      <c r="M17" s="39" t="s">
        <v>69</v>
      </c>
      <c r="N17" s="29" t="s">
        <v>98</v>
      </c>
      <c r="O17" s="40" t="s">
        <v>101</v>
      </c>
      <c r="P17" s="29" t="s">
        <v>94</v>
      </c>
      <c r="Q17" s="39" t="s">
        <v>69</v>
      </c>
      <c r="R17" s="27" t="s">
        <v>95</v>
      </c>
      <c r="S17" s="31" t="s">
        <v>100</v>
      </c>
      <c r="T17" s="7"/>
    </row>
    <row r="18" spans="1:20" x14ac:dyDescent="0.25">
      <c r="A18" s="10" t="s">
        <v>105</v>
      </c>
      <c r="B18" s="73">
        <v>45572</v>
      </c>
      <c r="K18" s="15">
        <v>16</v>
      </c>
      <c r="L18" s="27" t="s">
        <v>98</v>
      </c>
      <c r="M18" s="52" t="s">
        <v>101</v>
      </c>
      <c r="N18" s="30" t="s">
        <v>94</v>
      </c>
      <c r="O18" s="26" t="s">
        <v>104</v>
      </c>
      <c r="P18" s="30" t="s">
        <v>95</v>
      </c>
      <c r="Q18" s="34" t="s">
        <v>100</v>
      </c>
      <c r="R18" s="30" t="s">
        <v>97</v>
      </c>
      <c r="S18" s="26" t="s">
        <v>104</v>
      </c>
      <c r="T18" s="7"/>
    </row>
    <row r="19" spans="1:20" x14ac:dyDescent="0.25">
      <c r="A19" s="10" t="s">
        <v>106</v>
      </c>
      <c r="B19" s="73">
        <v>45572</v>
      </c>
      <c r="K19" s="15">
        <v>17</v>
      </c>
      <c r="L19" s="29" t="s">
        <v>98</v>
      </c>
      <c r="M19" s="40" t="s">
        <v>70</v>
      </c>
      <c r="N19" s="29" t="s">
        <v>94</v>
      </c>
      <c r="O19" s="39" t="s">
        <v>69</v>
      </c>
      <c r="P19" s="29" t="s">
        <v>95</v>
      </c>
      <c r="Q19" s="31" t="s">
        <v>96</v>
      </c>
      <c r="R19" s="29" t="s">
        <v>97</v>
      </c>
      <c r="S19" s="39" t="s">
        <v>69</v>
      </c>
      <c r="T19" s="7"/>
    </row>
    <row r="20" spans="1:20" x14ac:dyDescent="0.25">
      <c r="A20" s="10" t="s">
        <v>107</v>
      </c>
      <c r="B20" s="73">
        <v>45572</v>
      </c>
      <c r="M20" s="38" t="s">
        <v>108</v>
      </c>
      <c r="O20" s="38" t="s">
        <v>108</v>
      </c>
      <c r="Q20" s="38" t="s">
        <v>108</v>
      </c>
      <c r="S20" s="38" t="s">
        <v>108</v>
      </c>
    </row>
    <row r="21" spans="1:20" x14ac:dyDescent="0.25">
      <c r="A21" s="10" t="s">
        <v>109</v>
      </c>
      <c r="B21" s="73">
        <v>45572</v>
      </c>
      <c r="M21" s="51" t="s">
        <v>110</v>
      </c>
      <c r="O21" s="51" t="s">
        <v>110</v>
      </c>
      <c r="Q21" s="51" t="s">
        <v>110</v>
      </c>
      <c r="S21" s="51" t="s">
        <v>110</v>
      </c>
    </row>
    <row r="22" spans="1:20" x14ac:dyDescent="0.25">
      <c r="A22" s="10" t="s">
        <v>111</v>
      </c>
      <c r="B22" s="73">
        <v>45638</v>
      </c>
      <c r="C22" s="7" t="s">
        <v>245</v>
      </c>
      <c r="T22" s="7"/>
    </row>
    <row r="23" spans="1:20" x14ac:dyDescent="0.25">
      <c r="A23" s="10" t="s">
        <v>112</v>
      </c>
      <c r="B23" s="73">
        <v>45572</v>
      </c>
    </row>
    <row r="24" spans="1:20" ht="15.75" customHeight="1" x14ac:dyDescent="0.25">
      <c r="A24" s="10" t="s">
        <v>113</v>
      </c>
      <c r="B24" s="73">
        <v>45572</v>
      </c>
    </row>
    <row r="25" spans="1:20" x14ac:dyDescent="0.25">
      <c r="A25" s="10" t="s">
        <v>114</v>
      </c>
      <c r="B25" s="73">
        <v>45638</v>
      </c>
    </row>
    <row r="26" spans="1:20" ht="15.75" customHeight="1" x14ac:dyDescent="0.25">
      <c r="A26" s="10" t="s">
        <v>115</v>
      </c>
      <c r="B26" s="73">
        <v>45638</v>
      </c>
    </row>
    <row r="27" spans="1:20" ht="15.75" customHeight="1" x14ac:dyDescent="0.25">
      <c r="A27" s="76"/>
      <c r="B27"/>
      <c r="C27"/>
      <c r="D27"/>
    </row>
    <row r="28" spans="1:20" x14ac:dyDescent="0.25">
      <c r="A28" s="76" t="s">
        <v>243</v>
      </c>
      <c r="B28" s="61">
        <v>45597</v>
      </c>
      <c r="C28"/>
      <c r="D28"/>
    </row>
    <row r="29" spans="1:20" x14ac:dyDescent="0.25">
      <c r="A29" s="82" t="s">
        <v>244</v>
      </c>
      <c r="B29" s="62">
        <v>45638</v>
      </c>
      <c r="C29"/>
      <c r="D29"/>
    </row>
    <row r="30" spans="1:20" x14ac:dyDescent="0.25">
      <c r="A30"/>
      <c r="B30"/>
      <c r="C30"/>
      <c r="D30"/>
    </row>
    <row r="31" spans="1:20" x14ac:dyDescent="0.25">
      <c r="A31"/>
      <c r="B31"/>
      <c r="C31"/>
      <c r="D31"/>
    </row>
    <row r="32" spans="1:20" x14ac:dyDescent="0.25">
      <c r="A32"/>
      <c r="B32"/>
      <c r="C32"/>
      <c r="D32"/>
    </row>
    <row r="33" spans="1:4" x14ac:dyDescent="0.25">
      <c r="A33"/>
      <c r="B33"/>
      <c r="C33"/>
      <c r="D33"/>
    </row>
  </sheetData>
  <sortState xmlns:xlrd2="http://schemas.microsoft.com/office/spreadsheetml/2017/richdata2" ref="M23:P33">
    <sortCondition ref="O23:O33"/>
  </sortState>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8"/>
  <sheetViews>
    <sheetView zoomScale="85" zoomScaleNormal="85" workbookViewId="0">
      <selection activeCell="B29" sqref="B29"/>
    </sheetView>
  </sheetViews>
  <sheetFormatPr defaultRowHeight="15.75" x14ac:dyDescent="0.25"/>
  <cols>
    <col min="1" max="1" width="12.875" customWidth="1"/>
    <col min="2" max="2" width="6.25" style="3" bestFit="1" customWidth="1"/>
    <col min="3" max="3" width="9.875" bestFit="1" customWidth="1"/>
    <col min="4" max="4" width="59" bestFit="1" customWidth="1"/>
    <col min="5" max="5" width="9.375" style="3" bestFit="1" customWidth="1"/>
    <col min="6" max="6" width="38.5" bestFit="1" customWidth="1"/>
    <col min="7" max="8" width="6.25" bestFit="1" customWidth="1"/>
    <col min="9" max="10" width="6.25" style="3" customWidth="1"/>
    <col min="11" max="11" width="46" style="3" bestFit="1" customWidth="1"/>
    <col min="12" max="12" width="6.625" style="3" bestFit="1" customWidth="1"/>
    <col min="13" max="13" width="6.625" bestFit="1" customWidth="1"/>
    <col min="14" max="14" width="39.375" bestFit="1" customWidth="1"/>
    <col min="15" max="15" width="11.75" bestFit="1" customWidth="1"/>
  </cols>
  <sheetData>
    <row r="1" spans="1:14" x14ac:dyDescent="0.25">
      <c r="A1" s="18">
        <f>COLUMN()</f>
        <v>1</v>
      </c>
      <c r="B1" s="18">
        <f>COLUMN()</f>
        <v>2</v>
      </c>
      <c r="C1" s="18">
        <f>COLUMN()</f>
        <v>3</v>
      </c>
      <c r="D1" s="18">
        <f>COLUMN()</f>
        <v>4</v>
      </c>
      <c r="E1" s="18">
        <f>COLUMN()</f>
        <v>5</v>
      </c>
      <c r="F1" s="18">
        <f>COLUMN()</f>
        <v>6</v>
      </c>
      <c r="G1" s="18">
        <f>COLUMN()</f>
        <v>7</v>
      </c>
      <c r="H1" s="18">
        <f>COLUMN()</f>
        <v>8</v>
      </c>
      <c r="I1" s="18">
        <f>COLUMN()</f>
        <v>9</v>
      </c>
      <c r="J1" s="18">
        <f>COLUMN()</f>
        <v>10</v>
      </c>
      <c r="K1" s="18">
        <f>COLUMN()</f>
        <v>11</v>
      </c>
      <c r="L1" s="18">
        <f>COLUMN()</f>
        <v>12</v>
      </c>
      <c r="M1" s="18">
        <f>COLUMN()</f>
        <v>13</v>
      </c>
    </row>
    <row r="2" spans="1:14" ht="55.5" x14ac:dyDescent="0.25">
      <c r="A2" s="44" t="s">
        <v>0</v>
      </c>
      <c r="B2" s="44" t="s">
        <v>1</v>
      </c>
      <c r="C2" s="44" t="s">
        <v>2</v>
      </c>
      <c r="D2" s="44" t="s">
        <v>116</v>
      </c>
      <c r="E2" s="44" t="s">
        <v>5</v>
      </c>
      <c r="F2" s="44" t="s">
        <v>117</v>
      </c>
      <c r="G2" s="64" t="s">
        <v>22</v>
      </c>
      <c r="H2" s="64" t="s">
        <v>23</v>
      </c>
      <c r="I2" s="64" t="s">
        <v>24</v>
      </c>
      <c r="J2" s="64" t="s">
        <v>25</v>
      </c>
      <c r="K2" s="44" t="s">
        <v>118</v>
      </c>
      <c r="L2" s="64" t="s">
        <v>78</v>
      </c>
      <c r="M2" s="64" t="s">
        <v>84</v>
      </c>
      <c r="N2" s="4"/>
    </row>
    <row r="3" spans="1:14" x14ac:dyDescent="0.25">
      <c r="A3" t="s">
        <v>69</v>
      </c>
      <c r="C3" s="3"/>
      <c r="D3" t="s">
        <v>119</v>
      </c>
      <c r="F3" s="63"/>
      <c r="G3" s="65" t="str">
        <f>IFERROR(IF(VLOOKUP(TableHandbook[[#This Row],[UDC]],TableAvailabilities[],2,FALSE)&gt;0,"Y",""),"")</f>
        <v/>
      </c>
      <c r="H3" s="65" t="str">
        <f>IFERROR(IF(VLOOKUP(TableHandbook[[#This Row],[UDC]],TableAvailabilities[],3,FALSE)&gt;0,"Y",""),"")</f>
        <v/>
      </c>
      <c r="I3" s="65" t="str">
        <f>IFERROR(IF(VLOOKUP(TableHandbook[[#This Row],[UDC]],TableAvailabilities[],4,FALSE)&gt;0,"Y",""),"")</f>
        <v/>
      </c>
      <c r="J3" s="65" t="str">
        <f>IFERROR(IF(VLOOKUP(TableHandbook[[#This Row],[UDC]],TableAvailabilities[],5,FALSE)&gt;0,"Y",""),"")</f>
        <v/>
      </c>
      <c r="K3" s="44"/>
      <c r="L3" s="66" t="str">
        <f>IFERROR(VLOOKUP(TableHandbook[[#This Row],[UDC]],TableOMARCH[],7,FALSE),"")</f>
        <v/>
      </c>
      <c r="M3" s="66" t="str">
        <f>IFERROR(VLOOKUP(TableHandbook[[#This Row],[UDC]],TableOWARCH[],7,FALSE),"")</f>
        <v/>
      </c>
      <c r="N3" s="4"/>
    </row>
    <row r="4" spans="1:14" x14ac:dyDescent="0.25">
      <c r="A4" t="s">
        <v>61</v>
      </c>
      <c r="B4" s="3">
        <v>3</v>
      </c>
      <c r="C4" s="3" t="s">
        <v>120</v>
      </c>
      <c r="D4" t="s">
        <v>121</v>
      </c>
      <c r="E4" s="3">
        <v>25</v>
      </c>
      <c r="F4" s="63" t="s">
        <v>122</v>
      </c>
      <c r="G4" s="65" t="str">
        <f>IFERROR(IF(VLOOKUP(TableHandbook[[#This Row],[UDC]],TableAvailabilities[],2,FALSE)&gt;0,"Y",""),"")</f>
        <v>Y</v>
      </c>
      <c r="H4" s="65" t="str">
        <f>IFERROR(IF(VLOOKUP(TableHandbook[[#This Row],[UDC]],TableAvailabilities[],3,FALSE)&gt;0,"Y",""),"")</f>
        <v/>
      </c>
      <c r="I4" s="65" t="str">
        <f>IFERROR(IF(VLOOKUP(TableHandbook[[#This Row],[UDC]],TableAvailabilities[],4,FALSE)&gt;0,"Y",""),"")</f>
        <v/>
      </c>
      <c r="J4" s="65" t="str">
        <f>IFERROR(IF(VLOOKUP(TableHandbook[[#This Row],[UDC]],TableAvailabilities[],5,FALSE)&gt;0,"Y",""),"")</f>
        <v>Y</v>
      </c>
      <c r="K4" s="44"/>
      <c r="L4" s="66" t="str">
        <f>IFERROR(VLOOKUP(TableHandbook[[#This Row],[UDC]],TableOMARCH[],7,FALSE),"")</f>
        <v>Core</v>
      </c>
      <c r="M4" s="66" t="str">
        <f>IFERROR(VLOOKUP(TableHandbook[[#This Row],[UDC]],TableOWARCH[],7,FALSE),"")</f>
        <v>Core</v>
      </c>
    </row>
    <row r="5" spans="1:14" x14ac:dyDescent="0.25">
      <c r="A5" t="s">
        <v>82</v>
      </c>
      <c r="B5" s="3">
        <v>2</v>
      </c>
      <c r="C5" s="3" t="s">
        <v>123</v>
      </c>
      <c r="D5" t="s">
        <v>124</v>
      </c>
      <c r="E5" s="3">
        <v>25</v>
      </c>
      <c r="F5" s="63" t="s">
        <v>122</v>
      </c>
      <c r="G5" s="65" t="str">
        <f>IFERROR(IF(VLOOKUP(TableHandbook[[#This Row],[UDC]],TableAvailabilities[],2,FALSE)&gt;0,"Y",""),"")</f>
        <v>Y</v>
      </c>
      <c r="H5" s="65" t="str">
        <f>IFERROR(IF(VLOOKUP(TableHandbook[[#This Row],[UDC]],TableAvailabilities[],3,FALSE)&gt;0,"Y",""),"")</f>
        <v/>
      </c>
      <c r="I5" s="65" t="str">
        <f>IFERROR(IF(VLOOKUP(TableHandbook[[#This Row],[UDC]],TableAvailabilities[],4,FALSE)&gt;0,"Y",""),"")</f>
        <v/>
      </c>
      <c r="J5" s="65" t="str">
        <f>IFERROR(IF(VLOOKUP(TableHandbook[[#This Row],[UDC]],TableAvailabilities[],5,FALSE)&gt;0,"Y",""),"")</f>
        <v>Y</v>
      </c>
      <c r="K5" s="44"/>
      <c r="L5" s="66" t="str">
        <f>IFERROR(VLOOKUP(TableHandbook[[#This Row],[UDC]],TableOMARCH[],7,FALSE),"")</f>
        <v>Core</v>
      </c>
      <c r="M5" s="66" t="str">
        <f>IFERROR(VLOOKUP(TableHandbook[[#This Row],[UDC]],TableOWARCH[],7,FALSE),"")</f>
        <v>Core</v>
      </c>
    </row>
    <row r="6" spans="1:14" x14ac:dyDescent="0.25">
      <c r="A6" t="s">
        <v>125</v>
      </c>
      <c r="B6" s="3">
        <v>2</v>
      </c>
      <c r="C6" s="3" t="s">
        <v>126</v>
      </c>
      <c r="D6" t="s">
        <v>127</v>
      </c>
      <c r="E6" s="3">
        <v>25</v>
      </c>
      <c r="F6" s="63" t="s">
        <v>122</v>
      </c>
      <c r="G6" s="65" t="str">
        <f>IFERROR(IF(VLOOKUP(TableHandbook[[#This Row],[UDC]],TableAvailabilities[],2,FALSE)&gt;0,"Y",""),"")</f>
        <v/>
      </c>
      <c r="H6" s="65" t="str">
        <f>IFERROR(IF(VLOOKUP(TableHandbook[[#This Row],[UDC]],TableAvailabilities[],3,FALSE)&gt;0,"Y",""),"")</f>
        <v/>
      </c>
      <c r="I6" s="65" t="str">
        <f>IFERROR(IF(VLOOKUP(TableHandbook[[#This Row],[UDC]],TableAvailabilities[],4,FALSE)&gt;0,"Y",""),"")</f>
        <v/>
      </c>
      <c r="J6" s="65" t="str">
        <f>IFERROR(IF(VLOOKUP(TableHandbook[[#This Row],[UDC]],TableAvailabilities[],5,FALSE)&gt;0,"Y",""),"")</f>
        <v>Y</v>
      </c>
      <c r="K6" s="44" t="s">
        <v>128</v>
      </c>
      <c r="L6" s="66" t="str">
        <f>IFERROR(VLOOKUP(TableHandbook[[#This Row],[UDC]],TableOMARCH[],7,FALSE),"")</f>
        <v>Option</v>
      </c>
      <c r="M6" s="66" t="str">
        <f>IFERROR(VLOOKUP(TableHandbook[[#This Row],[UDC]],TableOWARCH[],7,FALSE),"")</f>
        <v>Option</v>
      </c>
    </row>
    <row r="7" spans="1:14" x14ac:dyDescent="0.25">
      <c r="A7" t="s">
        <v>129</v>
      </c>
      <c r="B7" s="3">
        <v>2</v>
      </c>
      <c r="C7" s="3" t="s">
        <v>130</v>
      </c>
      <c r="D7" t="s">
        <v>131</v>
      </c>
      <c r="E7" s="3">
        <v>25</v>
      </c>
      <c r="F7" s="63" t="s">
        <v>122</v>
      </c>
      <c r="G7" s="65" t="str">
        <f>IFERROR(IF(VLOOKUP(TableHandbook[[#This Row],[UDC]],TableAvailabilities[],2,FALSE)&gt;0,"Y",""),"")</f>
        <v/>
      </c>
      <c r="H7" s="65" t="str">
        <f>IFERROR(IF(VLOOKUP(TableHandbook[[#This Row],[UDC]],TableAvailabilities[],3,FALSE)&gt;0,"Y",""),"")</f>
        <v/>
      </c>
      <c r="I7" s="65" t="str">
        <f>IFERROR(IF(VLOOKUP(TableHandbook[[#This Row],[UDC]],TableAvailabilities[],4,FALSE)&gt;0,"Y",""),"")</f>
        <v/>
      </c>
      <c r="J7" s="65" t="str">
        <f>IFERROR(IF(VLOOKUP(TableHandbook[[#This Row],[UDC]],TableAvailabilities[],5,FALSE)&gt;0,"Y",""),"")</f>
        <v>Y</v>
      </c>
      <c r="K7" s="44" t="s">
        <v>128</v>
      </c>
      <c r="L7" s="66" t="str">
        <f>IFERROR(VLOOKUP(TableHandbook[[#This Row],[UDC]],TableOMARCH[],7,FALSE),"")</f>
        <v>Option</v>
      </c>
      <c r="M7" s="66" t="str">
        <f>IFERROR(VLOOKUP(TableHandbook[[#This Row],[UDC]],TableOWARCH[],7,FALSE),"")</f>
        <v>Option</v>
      </c>
    </row>
    <row r="8" spans="1:14" x14ac:dyDescent="0.25">
      <c r="A8" t="s">
        <v>86</v>
      </c>
      <c r="B8" s="3">
        <v>1</v>
      </c>
      <c r="C8" s="3" t="s">
        <v>132</v>
      </c>
      <c r="D8" t="s">
        <v>133</v>
      </c>
      <c r="E8" s="3">
        <v>50</v>
      </c>
      <c r="F8" s="63" t="s">
        <v>122</v>
      </c>
      <c r="G8" s="65" t="str">
        <f>IFERROR(IF(VLOOKUP(TableHandbook[[#This Row],[UDC]],TableAvailabilities[],2,FALSE)&gt;0,"Y",""),"")</f>
        <v>Y</v>
      </c>
      <c r="H8" s="65" t="str">
        <f>IFERROR(IF(VLOOKUP(TableHandbook[[#This Row],[UDC]],TableAvailabilities[],3,FALSE)&gt;0,"Y",""),"")</f>
        <v/>
      </c>
      <c r="I8" s="65" t="str">
        <f>IFERROR(IF(VLOOKUP(TableHandbook[[#This Row],[UDC]],TableAvailabilities[],4,FALSE)&gt;0,"Y",""),"")</f>
        <v/>
      </c>
      <c r="J8" s="65" t="str">
        <f>IFERROR(IF(VLOOKUP(TableHandbook[[#This Row],[UDC]],TableAvailabilities[],5,FALSE)&gt;0,"Y",""),"")</f>
        <v/>
      </c>
      <c r="K8" s="44" t="s">
        <v>134</v>
      </c>
      <c r="L8" s="66" t="str">
        <f>IFERROR(VLOOKUP(TableHandbook[[#This Row],[UDC]],TableOMARCH[],7,FALSE),"")</f>
        <v>Core</v>
      </c>
      <c r="M8" s="66" t="str">
        <f>IFERROR(VLOOKUP(TableHandbook[[#This Row],[UDC]],TableOWARCH[],7,FALSE),"")</f>
        <v>Core</v>
      </c>
    </row>
    <row r="9" spans="1:14" x14ac:dyDescent="0.25">
      <c r="A9" t="s">
        <v>63</v>
      </c>
      <c r="B9" s="3">
        <v>1</v>
      </c>
      <c r="C9" s="3" t="s">
        <v>135</v>
      </c>
      <c r="D9" t="s">
        <v>136</v>
      </c>
      <c r="E9" s="3">
        <v>50</v>
      </c>
      <c r="F9" s="63" t="s">
        <v>122</v>
      </c>
      <c r="G9" s="65" t="str">
        <f>IFERROR(IF(VLOOKUP(TableHandbook[[#This Row],[UDC]],TableAvailabilities[],2,FALSE)&gt;0,"Y",""),"")</f>
        <v/>
      </c>
      <c r="H9" s="65" t="str">
        <f>IFERROR(IF(VLOOKUP(TableHandbook[[#This Row],[UDC]],TableAvailabilities[],3,FALSE)&gt;0,"Y",""),"")</f>
        <v>Y</v>
      </c>
      <c r="I9" s="65" t="str">
        <f>IFERROR(IF(VLOOKUP(TableHandbook[[#This Row],[UDC]],TableAvailabilities[],4,FALSE)&gt;0,"Y",""),"")</f>
        <v/>
      </c>
      <c r="J9" s="65" t="str">
        <f>IFERROR(IF(VLOOKUP(TableHandbook[[#This Row],[UDC]],TableAvailabilities[],5,FALSE)&gt;0,"Y",""),"")</f>
        <v/>
      </c>
      <c r="K9" s="44" t="s">
        <v>137</v>
      </c>
      <c r="L9" s="66" t="str">
        <f>IFERROR(VLOOKUP(TableHandbook[[#This Row],[UDC]],TableOMARCH[],7,FALSE),"")</f>
        <v>Core</v>
      </c>
      <c r="M9" s="66" t="str">
        <f>IFERROR(VLOOKUP(TableHandbook[[#This Row],[UDC]],TableOWARCH[],7,FALSE),"")</f>
        <v>Core</v>
      </c>
    </row>
    <row r="10" spans="1:14" x14ac:dyDescent="0.25">
      <c r="A10" t="s">
        <v>65</v>
      </c>
      <c r="B10" s="3">
        <v>1</v>
      </c>
      <c r="C10" s="3" t="s">
        <v>138</v>
      </c>
      <c r="D10" t="s">
        <v>139</v>
      </c>
      <c r="E10" s="3">
        <v>50</v>
      </c>
      <c r="F10" s="63" t="s">
        <v>122</v>
      </c>
      <c r="G10" s="65" t="str">
        <f>IFERROR(IF(VLOOKUP(TableHandbook[[#This Row],[UDC]],TableAvailabilities[],2,FALSE)&gt;0,"Y",""),"")</f>
        <v/>
      </c>
      <c r="H10" s="65" t="str">
        <f>IFERROR(IF(VLOOKUP(TableHandbook[[#This Row],[UDC]],TableAvailabilities[],3,FALSE)&gt;0,"Y",""),"")</f>
        <v/>
      </c>
      <c r="I10" s="65" t="str">
        <f>IFERROR(IF(VLOOKUP(TableHandbook[[#This Row],[UDC]],TableAvailabilities[],4,FALSE)&gt;0,"Y",""),"")</f>
        <v>Y</v>
      </c>
      <c r="J10" s="65" t="str">
        <f>IFERROR(IF(VLOOKUP(TableHandbook[[#This Row],[UDC]],TableAvailabilities[],5,FALSE)&gt;0,"Y",""),"")</f>
        <v/>
      </c>
      <c r="K10" s="44" t="s">
        <v>140</v>
      </c>
      <c r="L10" s="66" t="str">
        <f>IFERROR(VLOOKUP(TableHandbook[[#This Row],[UDC]],TableOMARCH[],7,FALSE),"")</f>
        <v>Core</v>
      </c>
      <c r="M10" s="66" t="str">
        <f>IFERROR(VLOOKUP(TableHandbook[[#This Row],[UDC]],TableOWARCH[],7,FALSE),"")</f>
        <v>Core</v>
      </c>
    </row>
    <row r="11" spans="1:14" x14ac:dyDescent="0.25">
      <c r="A11" t="s">
        <v>104</v>
      </c>
      <c r="B11" s="3">
        <v>1</v>
      </c>
      <c r="C11" s="3" t="s">
        <v>141</v>
      </c>
      <c r="D11" t="s">
        <v>142</v>
      </c>
      <c r="E11" s="3">
        <v>50</v>
      </c>
      <c r="F11" s="74" t="s">
        <v>143</v>
      </c>
      <c r="G11" s="65" t="str">
        <f>IFERROR(IF(VLOOKUP(TableHandbook[[#This Row],[UDC]],TableAvailabilities[],2,FALSE)&gt;0,"Y",""),"")</f>
        <v>Y</v>
      </c>
      <c r="H11" s="65" t="str">
        <f>IFERROR(IF(VLOOKUP(TableHandbook[[#This Row],[UDC]],TableAvailabilities[],3,FALSE)&gt;0,"Y",""),"")</f>
        <v/>
      </c>
      <c r="I11" s="65" t="str">
        <f>IFERROR(IF(VLOOKUP(TableHandbook[[#This Row],[UDC]],TableAvailabilities[],4,FALSE)&gt;0,"Y",""),"")</f>
        <v>Y</v>
      </c>
      <c r="J11" s="65" t="str">
        <f>IFERROR(IF(VLOOKUP(TableHandbook[[#This Row],[UDC]],TableAvailabilities[],5,FALSE)&gt;0,"Y",""),"")</f>
        <v/>
      </c>
      <c r="K11" s="44"/>
      <c r="L11" s="66" t="str">
        <f>IFERROR(VLOOKUP(TableHandbook[[#This Row],[UDC]],TableOMARCH[],7,FALSE),"")</f>
        <v>Core</v>
      </c>
      <c r="M11" s="66" t="str">
        <f>IFERROR(VLOOKUP(TableHandbook[[#This Row],[UDC]],TableOWARCH[],7,FALSE),"")</f>
        <v>Core</v>
      </c>
    </row>
    <row r="12" spans="1:14" x14ac:dyDescent="0.25">
      <c r="A12" t="s">
        <v>101</v>
      </c>
      <c r="B12" s="3">
        <v>1</v>
      </c>
      <c r="C12" s="3" t="s">
        <v>144</v>
      </c>
      <c r="D12" t="s">
        <v>145</v>
      </c>
      <c r="E12" s="3">
        <v>25</v>
      </c>
      <c r="F12" s="63" t="s">
        <v>122</v>
      </c>
      <c r="G12" s="65" t="str">
        <f>IFERROR(IF(VLOOKUP(TableHandbook[[#This Row],[UDC]],TableAvailabilities[],2,FALSE)&gt;0,"Y",""),"")</f>
        <v/>
      </c>
      <c r="H12" s="65" t="str">
        <f>IFERROR(IF(VLOOKUP(TableHandbook[[#This Row],[UDC]],TableAvailabilities[],3,FALSE)&gt;0,"Y",""),"")</f>
        <v/>
      </c>
      <c r="I12" s="65" t="str">
        <f>IFERROR(IF(VLOOKUP(TableHandbook[[#This Row],[UDC]],TableAvailabilities[],4,FALSE)&gt;0,"Y",""),"")</f>
        <v>Y</v>
      </c>
      <c r="J12" s="65" t="str">
        <f>IFERROR(IF(VLOOKUP(TableHandbook[[#This Row],[UDC]],TableAvailabilities[],5,FALSE)&gt;0,"Y",""),"")</f>
        <v>Y</v>
      </c>
      <c r="K12" s="44"/>
      <c r="L12" s="66" t="str">
        <f>IFERROR(VLOOKUP(TableHandbook[[#This Row],[UDC]],TableOMARCH[],7,FALSE),"")</f>
        <v>Core</v>
      </c>
      <c r="M12" s="66" t="str">
        <f>IFERROR(VLOOKUP(TableHandbook[[#This Row],[UDC]],TableOWARCH[],7,FALSE),"")</f>
        <v>Core</v>
      </c>
    </row>
    <row r="13" spans="1:14" x14ac:dyDescent="0.25">
      <c r="A13" t="s">
        <v>100</v>
      </c>
      <c r="B13" s="3">
        <v>1</v>
      </c>
      <c r="C13" s="3" t="s">
        <v>146</v>
      </c>
      <c r="D13" t="s">
        <v>147</v>
      </c>
      <c r="E13" s="3">
        <v>25</v>
      </c>
      <c r="F13" s="63" t="s">
        <v>122</v>
      </c>
      <c r="G13" s="65" t="str">
        <f>IFERROR(IF(VLOOKUP(TableHandbook[[#This Row],[UDC]],TableAvailabilities[],2,FALSE)&gt;0,"Y",""),"")</f>
        <v/>
      </c>
      <c r="H13" s="65" t="str">
        <f>IFERROR(IF(VLOOKUP(TableHandbook[[#This Row],[UDC]],TableAvailabilities[],3,FALSE)&gt;0,"Y",""),"")</f>
        <v>Y</v>
      </c>
      <c r="I13" s="65" t="str">
        <f>IFERROR(IF(VLOOKUP(TableHandbook[[#This Row],[UDC]],TableAvailabilities[],4,FALSE)&gt;0,"Y",""),"")</f>
        <v/>
      </c>
      <c r="J13" s="65" t="str">
        <f>IFERROR(IF(VLOOKUP(TableHandbook[[#This Row],[UDC]],TableAvailabilities[],5,FALSE)&gt;0,"Y",""),"")</f>
        <v>Y</v>
      </c>
      <c r="K13" s="44"/>
      <c r="L13" s="66" t="str">
        <f>IFERROR(VLOOKUP(TableHandbook[[#This Row],[UDC]],TableOMARCH[],7,FALSE),"")</f>
        <v>Core</v>
      </c>
      <c r="M13" s="66" t="str">
        <f>IFERROR(VLOOKUP(TableHandbook[[#This Row],[UDC]],TableOWARCH[],7,FALSE),"")</f>
        <v>Core</v>
      </c>
    </row>
    <row r="14" spans="1:14" x14ac:dyDescent="0.25">
      <c r="A14" t="s">
        <v>93</v>
      </c>
      <c r="B14" s="3">
        <v>2</v>
      </c>
      <c r="C14" s="3" t="s">
        <v>148</v>
      </c>
      <c r="D14" t="s">
        <v>149</v>
      </c>
      <c r="E14" s="3">
        <v>25</v>
      </c>
      <c r="F14" s="74" t="s">
        <v>150</v>
      </c>
      <c r="G14" s="65" t="str">
        <f>IFERROR(IF(VLOOKUP(TableHandbook[[#This Row],[UDC]],TableAvailabilities[],2,FALSE)&gt;0,"Y",""),"")</f>
        <v/>
      </c>
      <c r="H14" s="65" t="str">
        <f>IFERROR(IF(VLOOKUP(TableHandbook[[#This Row],[UDC]],TableAvailabilities[],3,FALSE)&gt;0,"Y",""),"")</f>
        <v>Y</v>
      </c>
      <c r="I14" s="65" t="str">
        <f>IFERROR(IF(VLOOKUP(TableHandbook[[#This Row],[UDC]],TableAvailabilities[],4,FALSE)&gt;0,"Y",""),"")</f>
        <v>Y</v>
      </c>
      <c r="J14" s="65" t="str">
        <f>IFERROR(IF(VLOOKUP(TableHandbook[[#This Row],[UDC]],TableAvailabilities[],5,FALSE)&gt;0,"Y",""),"")</f>
        <v>Y</v>
      </c>
      <c r="K14" s="44"/>
      <c r="L14" s="66" t="str">
        <f>IFERROR(VLOOKUP(TableHandbook[[#This Row],[UDC]],TableOMARCH[],7,FALSE),"")</f>
        <v>Core</v>
      </c>
      <c r="M14" s="66" t="str">
        <f>IFERROR(VLOOKUP(TableHandbook[[#This Row],[UDC]],TableOWARCH[],7,FALSE),"")</f>
        <v>Core</v>
      </c>
    </row>
    <row r="15" spans="1:14" x14ac:dyDescent="0.25">
      <c r="A15" t="s">
        <v>96</v>
      </c>
      <c r="B15" s="3">
        <v>1</v>
      </c>
      <c r="C15" s="3" t="s">
        <v>151</v>
      </c>
      <c r="D15" t="s">
        <v>152</v>
      </c>
      <c r="E15" s="3">
        <v>25</v>
      </c>
      <c r="F15" s="63" t="s">
        <v>122</v>
      </c>
      <c r="G15" s="65" t="str">
        <f>IFERROR(IF(VLOOKUP(TableHandbook[[#This Row],[UDC]],TableAvailabilities[],2,FALSE)&gt;0,"Y",""),"")</f>
        <v/>
      </c>
      <c r="H15" s="65" t="str">
        <f>IFERROR(IF(VLOOKUP(TableHandbook[[#This Row],[UDC]],TableAvailabilities[],3,FALSE)&gt;0,"Y",""),"")</f>
        <v>Y</v>
      </c>
      <c r="I15" s="65" t="str">
        <f>IFERROR(IF(VLOOKUP(TableHandbook[[#This Row],[UDC]],TableAvailabilities[],4,FALSE)&gt;0,"Y",""),"")</f>
        <v/>
      </c>
      <c r="J15" s="65" t="str">
        <f>IFERROR(IF(VLOOKUP(TableHandbook[[#This Row],[UDC]],TableAvailabilities[],5,FALSE)&gt;0,"Y",""),"")</f>
        <v>Y</v>
      </c>
      <c r="K15" s="44"/>
      <c r="L15" s="66" t="str">
        <f>IFERROR(VLOOKUP(TableHandbook[[#This Row],[UDC]],TableOMARCH[],7,FALSE),"")</f>
        <v>Core</v>
      </c>
      <c r="M15" s="66" t="str">
        <f>IFERROR(VLOOKUP(TableHandbook[[#This Row],[UDC]],TableOWARCH[],7,FALSE),"")</f>
        <v>Core</v>
      </c>
    </row>
    <row r="16" spans="1:14" x14ac:dyDescent="0.25">
      <c r="A16" t="s">
        <v>70</v>
      </c>
      <c r="C16" s="3"/>
      <c r="D16" t="s">
        <v>153</v>
      </c>
      <c r="E16" s="3">
        <v>25</v>
      </c>
      <c r="F16" s="63" t="s">
        <v>154</v>
      </c>
      <c r="G16" s="65" t="str">
        <f>IFERROR(IF(VLOOKUP(TableHandbook[[#This Row],[UDC]],TableAvailabilities[],2,FALSE)&gt;0,"Y",""),"")</f>
        <v/>
      </c>
      <c r="H16" s="65" t="str">
        <f>IFERROR(IF(VLOOKUP(TableHandbook[[#This Row],[UDC]],TableAvailabilities[],3,FALSE)&gt;0,"Y",""),"")</f>
        <v/>
      </c>
      <c r="I16" s="65" t="str">
        <f>IFERROR(IF(VLOOKUP(TableHandbook[[#This Row],[UDC]],TableAvailabilities[],4,FALSE)&gt;0,"Y",""),"")</f>
        <v/>
      </c>
      <c r="J16" s="65" t="str">
        <f>IFERROR(IF(VLOOKUP(TableHandbook[[#This Row],[UDC]],TableAvailabilities[],5,FALSE)&gt;0,"Y",""),"")</f>
        <v/>
      </c>
      <c r="K16" s="44"/>
      <c r="L16" s="66" t="str">
        <f>IFERROR(VLOOKUP(TableHandbook[[#This Row],[UDC]],TableOMARCH[],7,FALSE),"")</f>
        <v>Option</v>
      </c>
      <c r="M16" s="66" t="str">
        <f>IFERROR(VLOOKUP(TableHandbook[[#This Row],[UDC]],TableOWARCH[],7,FALSE),"")</f>
        <v>Option</v>
      </c>
    </row>
    <row r="17" spans="1:13" x14ac:dyDescent="0.25">
      <c r="A17" t="s">
        <v>29</v>
      </c>
      <c r="B17" s="3">
        <v>1</v>
      </c>
      <c r="C17" s="3" t="s">
        <v>29</v>
      </c>
      <c r="D17" t="s">
        <v>155</v>
      </c>
      <c r="E17" s="3">
        <v>25</v>
      </c>
      <c r="F17" s="63" t="s">
        <v>122</v>
      </c>
      <c r="G17" s="65" t="str">
        <f>IFERROR(IF(VLOOKUP(TableHandbook[[#This Row],[UDC]],TableAvailabilities[],2,FALSE)&gt;0,"Y",""),"")</f>
        <v/>
      </c>
      <c r="H17" s="65" t="str">
        <f>IFERROR(IF(VLOOKUP(TableHandbook[[#This Row],[UDC]],TableAvailabilities[],3,FALSE)&gt;0,"Y",""),"")</f>
        <v/>
      </c>
      <c r="I17" s="65" t="str">
        <f>IFERROR(IF(VLOOKUP(TableHandbook[[#This Row],[UDC]],TableAvailabilities[],4,FALSE)&gt;0,"Y",""),"")</f>
        <v/>
      </c>
      <c r="J17" s="65" t="str">
        <f>IFERROR(IF(VLOOKUP(TableHandbook[[#This Row],[UDC]],TableAvailabilities[],5,FALSE)&gt;0,"Y",""),"")</f>
        <v/>
      </c>
      <c r="K17" s="75" t="s">
        <v>156</v>
      </c>
      <c r="L17" s="66" t="str">
        <f>IFERROR(VLOOKUP(TableHandbook[[#This Row],[UDC]],TableOMARCH[],7,FALSE),"")</f>
        <v/>
      </c>
      <c r="M17" s="66" t="str">
        <f>IFERROR(VLOOKUP(TableHandbook[[#This Row],[UDC]],TableOWARCH[],7,FALSE),"")</f>
        <v/>
      </c>
    </row>
    <row r="18" spans="1:13" x14ac:dyDescent="0.25">
      <c r="A18" t="s">
        <v>31</v>
      </c>
      <c r="B18" s="3">
        <v>1</v>
      </c>
      <c r="C18" t="s">
        <v>31</v>
      </c>
      <c r="D18" t="s">
        <v>157</v>
      </c>
      <c r="E18" s="3">
        <v>25</v>
      </c>
      <c r="F18" s="63" t="s">
        <v>122</v>
      </c>
      <c r="G18" s="65" t="str">
        <f>IFERROR(IF(VLOOKUP(TableHandbook[[#This Row],[UDC]],TableAvailabilities[],2,FALSE)&gt;0,"Y",""),"")</f>
        <v/>
      </c>
      <c r="H18" s="65" t="str">
        <f>IFERROR(IF(VLOOKUP(TableHandbook[[#This Row],[UDC]],TableAvailabilities[],3,FALSE)&gt;0,"Y",""),"")</f>
        <v/>
      </c>
      <c r="I18" s="65" t="str">
        <f>IFERROR(IF(VLOOKUP(TableHandbook[[#This Row],[UDC]],TableAvailabilities[],4,FALSE)&gt;0,"Y",""),"")</f>
        <v/>
      </c>
      <c r="J18" s="65" t="str">
        <f>IFERROR(IF(VLOOKUP(TableHandbook[[#This Row],[UDC]],TableAvailabilities[],5,FALSE)&gt;0,"Y",""),"")</f>
        <v/>
      </c>
      <c r="K18" s="75" t="s">
        <v>156</v>
      </c>
      <c r="L18" s="66" t="str">
        <f>IFERROR(VLOOKUP(TableHandbook[[#This Row],[UDC]],TableOMARCH[],7,FALSE),"")</f>
        <v/>
      </c>
      <c r="M18" s="66" t="str">
        <f>IFERROR(VLOOKUP(TableHandbook[[#This Row],[UDC]],TableOWARCH[],7,FALSE),"")</f>
        <v/>
      </c>
    </row>
    <row r="19" spans="1:13" x14ac:dyDescent="0.25">
      <c r="A19" t="s">
        <v>33</v>
      </c>
      <c r="B19" s="3">
        <v>2</v>
      </c>
      <c r="C19" t="s">
        <v>33</v>
      </c>
      <c r="D19" t="s">
        <v>158</v>
      </c>
      <c r="E19" s="3">
        <v>25</v>
      </c>
      <c r="F19" s="63" t="s">
        <v>122</v>
      </c>
      <c r="G19" s="65" t="str">
        <f>IFERROR(IF(VLOOKUP(TableHandbook[[#This Row],[UDC]],TableAvailabilities[],2,FALSE)&gt;0,"Y",""),"")</f>
        <v/>
      </c>
      <c r="H19" s="65" t="str">
        <f>IFERROR(IF(VLOOKUP(TableHandbook[[#This Row],[UDC]],TableAvailabilities[],3,FALSE)&gt;0,"Y",""),"")</f>
        <v/>
      </c>
      <c r="I19" s="65" t="str">
        <f>IFERROR(IF(VLOOKUP(TableHandbook[[#This Row],[UDC]],TableAvailabilities[],4,FALSE)&gt;0,"Y",""),"")</f>
        <v/>
      </c>
      <c r="J19" s="65" t="str">
        <f>IFERROR(IF(VLOOKUP(TableHandbook[[#This Row],[UDC]],TableAvailabilities[],5,FALSE)&gt;0,"Y",""),"")</f>
        <v/>
      </c>
      <c r="K19" s="75" t="s">
        <v>156</v>
      </c>
      <c r="L19" s="66" t="str">
        <f>IFERROR(VLOOKUP(TableHandbook[[#This Row],[UDC]],TableOMARCH[],7,FALSE),"")</f>
        <v/>
      </c>
      <c r="M19" s="66" t="str">
        <f>IFERROR(VLOOKUP(TableHandbook[[#This Row],[UDC]],TableOWARCH[],7,FALSE),"")</f>
        <v/>
      </c>
    </row>
    <row r="20" spans="1:13" x14ac:dyDescent="0.25">
      <c r="A20" t="s">
        <v>35</v>
      </c>
      <c r="B20" s="3">
        <v>1</v>
      </c>
      <c r="C20" t="s">
        <v>35</v>
      </c>
      <c r="D20" t="s">
        <v>159</v>
      </c>
      <c r="E20" s="3">
        <v>25</v>
      </c>
      <c r="F20" s="63" t="s">
        <v>122</v>
      </c>
      <c r="G20" s="65" t="str">
        <f>IFERROR(IF(VLOOKUP(TableHandbook[[#This Row],[UDC]],TableAvailabilities[],2,FALSE)&gt;0,"Y",""),"")</f>
        <v/>
      </c>
      <c r="H20" s="65" t="str">
        <f>IFERROR(IF(VLOOKUP(TableHandbook[[#This Row],[UDC]],TableAvailabilities[],3,FALSE)&gt;0,"Y",""),"")</f>
        <v/>
      </c>
      <c r="I20" s="65" t="str">
        <f>IFERROR(IF(VLOOKUP(TableHandbook[[#This Row],[UDC]],TableAvailabilities[],4,FALSE)&gt;0,"Y",""),"")</f>
        <v/>
      </c>
      <c r="J20" s="65" t="str">
        <f>IFERROR(IF(VLOOKUP(TableHandbook[[#This Row],[UDC]],TableAvailabilities[],5,FALSE)&gt;0,"Y",""),"")</f>
        <v/>
      </c>
      <c r="K20" s="75" t="s">
        <v>156</v>
      </c>
      <c r="L20" s="66" t="str">
        <f>IFERROR(VLOOKUP(TableHandbook[[#This Row],[UDC]],TableOMARCH[],7,FALSE),"")</f>
        <v/>
      </c>
      <c r="M20" s="66" t="str">
        <f>IFERROR(VLOOKUP(TableHandbook[[#This Row],[UDC]],TableOWARCH[],7,FALSE),"")</f>
        <v/>
      </c>
    </row>
    <row r="21" spans="1:13" x14ac:dyDescent="0.25">
      <c r="A21" t="s">
        <v>160</v>
      </c>
      <c r="B21" s="3">
        <v>2</v>
      </c>
      <c r="C21" s="3" t="s">
        <v>161</v>
      </c>
      <c r="D21" t="s">
        <v>155</v>
      </c>
      <c r="E21" s="3">
        <v>25</v>
      </c>
      <c r="F21" s="63" t="s">
        <v>122</v>
      </c>
      <c r="G21" s="65" t="str">
        <f>IFERROR(IF(VLOOKUP(TableHandbook[[#This Row],[UDC]],TableAvailabilities[],2,FALSE)&gt;0,"Y",""),"")</f>
        <v>Y</v>
      </c>
      <c r="H21" s="65" t="str">
        <f>IFERROR(IF(VLOOKUP(TableHandbook[[#This Row],[UDC]],TableAvailabilities[],3,FALSE)&gt;0,"Y",""),"")</f>
        <v/>
      </c>
      <c r="I21" s="65" t="str">
        <f>IFERROR(IF(VLOOKUP(TableHandbook[[#This Row],[UDC]],TableAvailabilities[],4,FALSE)&gt;0,"Y",""),"")</f>
        <v>Y</v>
      </c>
      <c r="J21" s="65" t="str">
        <f>IFERROR(IF(VLOOKUP(TableHandbook[[#This Row],[UDC]],TableAvailabilities[],5,FALSE)&gt;0,"Y",""),"")</f>
        <v/>
      </c>
      <c r="K21" s="75" t="s">
        <v>246</v>
      </c>
      <c r="L21" s="66" t="str">
        <f>IFERROR(VLOOKUP(TableHandbook[[#This Row],[UDC]],TableOMARCH[],7,FALSE),"")</f>
        <v>Option</v>
      </c>
      <c r="M21" s="66" t="str">
        <f>IFERROR(VLOOKUP(TableHandbook[[#This Row],[UDC]],TableOWARCH[],7,FALSE),"")</f>
        <v>Option</v>
      </c>
    </row>
    <row r="22" spans="1:13" x14ac:dyDescent="0.25">
      <c r="A22" t="s">
        <v>162</v>
      </c>
      <c r="B22" s="3">
        <v>1</v>
      </c>
      <c r="C22" s="3" t="s">
        <v>163</v>
      </c>
      <c r="D22" t="s">
        <v>159</v>
      </c>
      <c r="E22" s="3">
        <v>25</v>
      </c>
      <c r="F22" s="63" t="s">
        <v>122</v>
      </c>
      <c r="G22" s="65" t="str">
        <f>IFERROR(IF(VLOOKUP(TableHandbook[[#This Row],[UDC]],TableAvailabilities[],2,FALSE)&gt;0,"Y",""),"")</f>
        <v/>
      </c>
      <c r="H22" s="65" t="str">
        <f>IFERROR(IF(VLOOKUP(TableHandbook[[#This Row],[UDC]],TableAvailabilities[],3,FALSE)&gt;0,"Y",""),"")</f>
        <v>Y</v>
      </c>
      <c r="I22" s="65" t="str">
        <f>IFERROR(IF(VLOOKUP(TableHandbook[[#This Row],[UDC]],TableAvailabilities[],4,FALSE)&gt;0,"Y",""),"")</f>
        <v/>
      </c>
      <c r="J22" s="65" t="str">
        <f>IFERROR(IF(VLOOKUP(TableHandbook[[#This Row],[UDC]],TableAvailabilities[],5,FALSE)&gt;0,"Y",""),"")</f>
        <v>Y</v>
      </c>
      <c r="K22" s="75" t="s">
        <v>246</v>
      </c>
      <c r="L22" s="66" t="str">
        <f>IFERROR(VLOOKUP(TableHandbook[[#This Row],[UDC]],TableOMARCH[],7,FALSE),"")</f>
        <v>Option</v>
      </c>
      <c r="M22" s="66" t="str">
        <f>IFERROR(VLOOKUP(TableHandbook[[#This Row],[UDC]],TableOWARCH[],7,FALSE),"")</f>
        <v>Option</v>
      </c>
    </row>
    <row r="23" spans="1:13" x14ac:dyDescent="0.25">
      <c r="A23" t="s">
        <v>164</v>
      </c>
      <c r="B23" s="3">
        <v>1</v>
      </c>
      <c r="C23" s="3" t="s">
        <v>165</v>
      </c>
      <c r="D23" t="s">
        <v>157</v>
      </c>
      <c r="E23" s="3">
        <v>25</v>
      </c>
      <c r="F23" s="63" t="s">
        <v>122</v>
      </c>
      <c r="G23" s="65" t="str">
        <f>IFERROR(IF(VLOOKUP(TableHandbook[[#This Row],[UDC]],TableAvailabilities[],2,FALSE)&gt;0,"Y",""),"")</f>
        <v>Y</v>
      </c>
      <c r="H23" s="65" t="str">
        <f>IFERROR(IF(VLOOKUP(TableHandbook[[#This Row],[UDC]],TableAvailabilities[],3,FALSE)&gt;0,"Y",""),"")</f>
        <v/>
      </c>
      <c r="I23" s="65" t="str">
        <f>IFERROR(IF(VLOOKUP(TableHandbook[[#This Row],[UDC]],TableAvailabilities[],4,FALSE)&gt;0,"Y",""),"")</f>
        <v>Y</v>
      </c>
      <c r="J23" s="65" t="str">
        <f>IFERROR(IF(VLOOKUP(TableHandbook[[#This Row],[UDC]],TableAvailabilities[],5,FALSE)&gt;0,"Y",""),"")</f>
        <v/>
      </c>
      <c r="K23" s="75" t="s">
        <v>246</v>
      </c>
      <c r="L23" s="66" t="str">
        <f>IFERROR(VLOOKUP(TableHandbook[[#This Row],[UDC]],TableOMARCH[],7,FALSE),"")</f>
        <v>Option</v>
      </c>
      <c r="M23" s="66" t="str">
        <f>IFERROR(VLOOKUP(TableHandbook[[#This Row],[UDC]],TableOWARCH[],7,FALSE),"")</f>
        <v>Option</v>
      </c>
    </row>
    <row r="24" spans="1:13" x14ac:dyDescent="0.25">
      <c r="A24" t="s">
        <v>166</v>
      </c>
      <c r="B24" s="3">
        <v>2</v>
      </c>
      <c r="C24" s="3" t="s">
        <v>167</v>
      </c>
      <c r="D24" t="s">
        <v>158</v>
      </c>
      <c r="E24" s="3">
        <v>25</v>
      </c>
      <c r="F24" s="63" t="s">
        <v>122</v>
      </c>
      <c r="G24" s="65" t="str">
        <f>IFERROR(IF(VLOOKUP(TableHandbook[[#This Row],[UDC]],TableAvailabilities[],2,FALSE)&gt;0,"Y",""),"")</f>
        <v/>
      </c>
      <c r="H24" s="65" t="str">
        <f>IFERROR(IF(VLOOKUP(TableHandbook[[#This Row],[UDC]],TableAvailabilities[],3,FALSE)&gt;0,"Y",""),"")</f>
        <v>Y</v>
      </c>
      <c r="I24" s="65" t="str">
        <f>IFERROR(IF(VLOOKUP(TableHandbook[[#This Row],[UDC]],TableAvailabilities[],4,FALSE)&gt;0,"Y",""),"")</f>
        <v/>
      </c>
      <c r="J24" s="65" t="str">
        <f>IFERROR(IF(VLOOKUP(TableHandbook[[#This Row],[UDC]],TableAvailabilities[],5,FALSE)&gt;0,"Y",""),"")</f>
        <v>Y</v>
      </c>
      <c r="K24" s="75" t="s">
        <v>246</v>
      </c>
      <c r="L24" s="66" t="str">
        <f>IFERROR(VLOOKUP(TableHandbook[[#This Row],[UDC]],TableOMARCH[],7,FALSE),"")</f>
        <v>Option</v>
      </c>
      <c r="M24" s="66" t="str">
        <f>IFERROR(VLOOKUP(TableHandbook[[#This Row],[UDC]],TableOWARCH[],7,FALSE),"")</f>
        <v>Option</v>
      </c>
    </row>
    <row r="25" spans="1:13" x14ac:dyDescent="0.25">
      <c r="A25" t="s">
        <v>36</v>
      </c>
      <c r="B25" s="3">
        <v>2</v>
      </c>
      <c r="C25" s="3" t="s">
        <v>168</v>
      </c>
      <c r="D25" t="s">
        <v>169</v>
      </c>
      <c r="E25" s="3">
        <v>25</v>
      </c>
      <c r="F25" s="63" t="s">
        <v>122</v>
      </c>
      <c r="G25" s="65" t="str">
        <f>IFERROR(IF(VLOOKUP(TableHandbook[[#This Row],[UDC]],TableAvailabilities[],2,FALSE)&gt;0,"Y",""),"")</f>
        <v/>
      </c>
      <c r="H25" s="65" t="str">
        <f>IFERROR(IF(VLOOKUP(TableHandbook[[#This Row],[UDC]],TableAvailabilities[],3,FALSE)&gt;0,"Y",""),"")</f>
        <v>Y</v>
      </c>
      <c r="I25" s="65" t="str">
        <f>IFERROR(IF(VLOOKUP(TableHandbook[[#This Row],[UDC]],TableAvailabilities[],4,FALSE)&gt;0,"Y",""),"")</f>
        <v/>
      </c>
      <c r="J25" s="65" t="str">
        <f>IFERROR(IF(VLOOKUP(TableHandbook[[#This Row],[UDC]],TableAvailabilities[],5,FALSE)&gt;0,"Y",""),"")</f>
        <v>Y</v>
      </c>
      <c r="K25" s="44"/>
      <c r="L25" s="66" t="str">
        <f>IFERROR(VLOOKUP(TableHandbook[[#This Row],[UDC]],TableOMARCH[],7,FALSE),"")</f>
        <v>Option</v>
      </c>
      <c r="M25" s="66" t="str">
        <f>IFERROR(VLOOKUP(TableHandbook[[#This Row],[UDC]],TableOWARCH[],7,FALSE),"")</f>
        <v>Option</v>
      </c>
    </row>
    <row r="26" spans="1:13" x14ac:dyDescent="0.25">
      <c r="A26" t="s">
        <v>38</v>
      </c>
      <c r="B26" s="3">
        <v>2</v>
      </c>
      <c r="C26" s="3" t="s">
        <v>170</v>
      </c>
      <c r="D26" t="s">
        <v>171</v>
      </c>
      <c r="E26" s="3">
        <v>25</v>
      </c>
      <c r="F26" s="63" t="s">
        <v>122</v>
      </c>
      <c r="G26" s="65" t="str">
        <f>IFERROR(IF(VLOOKUP(TableHandbook[[#This Row],[UDC]],TableAvailabilities[],2,FALSE)&gt;0,"Y",""),"")</f>
        <v/>
      </c>
      <c r="H26" s="65" t="str">
        <f>IFERROR(IF(VLOOKUP(TableHandbook[[#This Row],[UDC]],TableAvailabilities[],3,FALSE)&gt;0,"Y",""),"")</f>
        <v>Y</v>
      </c>
      <c r="I26" s="65" t="str">
        <f>IFERROR(IF(VLOOKUP(TableHandbook[[#This Row],[UDC]],TableAvailabilities[],4,FALSE)&gt;0,"Y",""),"")</f>
        <v/>
      </c>
      <c r="J26" s="65" t="str">
        <f>IFERROR(IF(VLOOKUP(TableHandbook[[#This Row],[UDC]],TableAvailabilities[],5,FALSE)&gt;0,"Y",""),"")</f>
        <v>Y</v>
      </c>
      <c r="K26" s="44"/>
      <c r="L26" s="66" t="str">
        <f>IFERROR(VLOOKUP(TableHandbook[[#This Row],[UDC]],TableOMARCH[],7,FALSE),"")</f>
        <v>Option</v>
      </c>
      <c r="M26" s="66" t="str">
        <f>IFERROR(VLOOKUP(TableHandbook[[#This Row],[UDC]],TableOWARCH[],7,FALSE),"")</f>
        <v>Option</v>
      </c>
    </row>
    <row r="27" spans="1:13" x14ac:dyDescent="0.25">
      <c r="A27" t="s">
        <v>40</v>
      </c>
      <c r="B27" s="3">
        <v>1</v>
      </c>
      <c r="C27" s="3" t="s">
        <v>172</v>
      </c>
      <c r="D27" t="s">
        <v>173</v>
      </c>
      <c r="E27" s="3">
        <v>25</v>
      </c>
      <c r="F27" s="63" t="s">
        <v>122</v>
      </c>
      <c r="G27" s="65" t="str">
        <f>IFERROR(IF(VLOOKUP(TableHandbook[[#This Row],[UDC]],TableAvailabilities[],2,FALSE)&gt;0,"Y",""),"")</f>
        <v>Y</v>
      </c>
      <c r="H27" s="65" t="str">
        <f>IFERROR(IF(VLOOKUP(TableHandbook[[#This Row],[UDC]],TableAvailabilities[],3,FALSE)&gt;0,"Y",""),"")</f>
        <v/>
      </c>
      <c r="I27" s="65" t="str">
        <f>IFERROR(IF(VLOOKUP(TableHandbook[[#This Row],[UDC]],TableAvailabilities[],4,FALSE)&gt;0,"Y",""),"")</f>
        <v>Y</v>
      </c>
      <c r="J27" s="65" t="str">
        <f>IFERROR(IF(VLOOKUP(TableHandbook[[#This Row],[UDC]],TableAvailabilities[],5,FALSE)&gt;0,"Y",""),"")</f>
        <v/>
      </c>
      <c r="K27" s="44"/>
      <c r="L27" s="66" t="str">
        <f>IFERROR(VLOOKUP(TableHandbook[[#This Row],[UDC]],TableOMARCH[],7,FALSE),"")</f>
        <v>Option</v>
      </c>
      <c r="M27" s="66" t="str">
        <f>IFERROR(VLOOKUP(TableHandbook[[#This Row],[UDC]],TableOWARCH[],7,FALSE),"")</f>
        <v>Option</v>
      </c>
    </row>
    <row r="28" spans="1:13" x14ac:dyDescent="0.25">
      <c r="A28" t="s">
        <v>41</v>
      </c>
      <c r="B28" s="3">
        <v>2</v>
      </c>
      <c r="C28" s="3" t="s">
        <v>174</v>
      </c>
      <c r="D28" t="s">
        <v>175</v>
      </c>
      <c r="E28" s="3">
        <v>25</v>
      </c>
      <c r="F28" s="63" t="s">
        <v>122</v>
      </c>
      <c r="G28" s="65" t="str">
        <f>IFERROR(IF(VLOOKUP(TableHandbook[[#This Row],[UDC]],TableAvailabilities[],2,FALSE)&gt;0,"Y",""),"")</f>
        <v/>
      </c>
      <c r="H28" s="65" t="str">
        <f>IFERROR(IF(VLOOKUP(TableHandbook[[#This Row],[UDC]],TableAvailabilities[],3,FALSE)&gt;0,"Y",""),"")</f>
        <v>Y</v>
      </c>
      <c r="I28" s="65" t="str">
        <f>IFERROR(IF(VLOOKUP(TableHandbook[[#This Row],[UDC]],TableAvailabilities[],4,FALSE)&gt;0,"Y",""),"")</f>
        <v/>
      </c>
      <c r="J28" s="65" t="str">
        <f>IFERROR(IF(VLOOKUP(TableHandbook[[#This Row],[UDC]],TableAvailabilities[],5,FALSE)&gt;0,"Y",""),"")</f>
        <v>Y</v>
      </c>
      <c r="K28" s="44"/>
      <c r="L28" s="66" t="str">
        <f>IFERROR(VLOOKUP(TableHandbook[[#This Row],[UDC]],TableOMARCH[],7,FALSE),"")</f>
        <v>Option</v>
      </c>
      <c r="M28" s="66" t="str">
        <f>IFERROR(VLOOKUP(TableHandbook[[#This Row],[UDC]],TableOWARCH[],7,FALSE),"")</f>
        <v>Option</v>
      </c>
    </row>
    <row r="29" spans="1:13" x14ac:dyDescent="0.25">
      <c r="A29" t="s">
        <v>43</v>
      </c>
      <c r="B29" s="3">
        <v>3</v>
      </c>
      <c r="C29" s="3" t="s">
        <v>176</v>
      </c>
      <c r="D29" t="s">
        <v>177</v>
      </c>
      <c r="E29" s="3">
        <v>25</v>
      </c>
      <c r="F29" s="63" t="s">
        <v>122</v>
      </c>
      <c r="G29" s="65" t="str">
        <f>IFERROR(IF(VLOOKUP(TableHandbook[[#This Row],[UDC]],TableAvailabilities[],2,FALSE)&gt;0,"Y",""),"")</f>
        <v/>
      </c>
      <c r="H29" s="65" t="str">
        <f>IFERROR(IF(VLOOKUP(TableHandbook[[#This Row],[UDC]],TableAvailabilities[],3,FALSE)&gt;0,"Y",""),"")</f>
        <v>Y</v>
      </c>
      <c r="I29" s="65" t="str">
        <f>IFERROR(IF(VLOOKUP(TableHandbook[[#This Row],[UDC]],TableAvailabilities[],4,FALSE)&gt;0,"Y",""),"")</f>
        <v/>
      </c>
      <c r="J29" s="65" t="str">
        <f>IFERROR(IF(VLOOKUP(TableHandbook[[#This Row],[UDC]],TableAvailabilities[],5,FALSE)&gt;0,"Y",""),"")</f>
        <v>Y</v>
      </c>
      <c r="K29" s="44"/>
      <c r="L29" s="66" t="str">
        <f>IFERROR(VLOOKUP(TableHandbook[[#This Row],[UDC]],TableOMARCH[],7,FALSE),"")</f>
        <v>Option</v>
      </c>
      <c r="M29" s="66" t="str">
        <f>IFERROR(VLOOKUP(TableHandbook[[#This Row],[UDC]],TableOWARCH[],7,FALSE),"")</f>
        <v>Option</v>
      </c>
    </row>
    <row r="30" spans="1:13" x14ac:dyDescent="0.25">
      <c r="A30" t="s">
        <v>44</v>
      </c>
      <c r="B30" s="3">
        <v>1</v>
      </c>
      <c r="C30" s="3" t="s">
        <v>178</v>
      </c>
      <c r="D30" t="s">
        <v>179</v>
      </c>
      <c r="E30" s="3">
        <v>25</v>
      </c>
      <c r="F30" s="63" t="s">
        <v>122</v>
      </c>
      <c r="G30" s="65" t="str">
        <f>IFERROR(IF(VLOOKUP(TableHandbook[[#This Row],[UDC]],TableAvailabilities[],2,FALSE)&gt;0,"Y",""),"")</f>
        <v>Y</v>
      </c>
      <c r="H30" s="65" t="str">
        <f>IFERROR(IF(VLOOKUP(TableHandbook[[#This Row],[UDC]],TableAvailabilities[],3,FALSE)&gt;0,"Y",""),"")</f>
        <v/>
      </c>
      <c r="I30" s="65" t="str">
        <f>IFERROR(IF(VLOOKUP(TableHandbook[[#This Row],[UDC]],TableAvailabilities[],4,FALSE)&gt;0,"Y",""),"")</f>
        <v>Y</v>
      </c>
      <c r="J30" s="65" t="str">
        <f>IFERROR(IF(VLOOKUP(TableHandbook[[#This Row],[UDC]],TableAvailabilities[],5,FALSE)&gt;0,"Y",""),"")</f>
        <v/>
      </c>
      <c r="K30" s="44"/>
      <c r="L30" s="66" t="str">
        <f>IFERROR(VLOOKUP(TableHandbook[[#This Row],[UDC]],TableOMARCH[],7,FALSE),"")</f>
        <v>Option</v>
      </c>
      <c r="M30" s="66" t="str">
        <f>IFERROR(VLOOKUP(TableHandbook[[#This Row],[UDC]],TableOWARCH[],7,FALSE),"")</f>
        <v>Option</v>
      </c>
    </row>
    <row r="31" spans="1:13" x14ac:dyDescent="0.25">
      <c r="A31" t="s">
        <v>45</v>
      </c>
      <c r="B31" s="3">
        <v>2</v>
      </c>
      <c r="C31" s="3" t="s">
        <v>180</v>
      </c>
      <c r="D31" t="s">
        <v>181</v>
      </c>
      <c r="E31" s="3">
        <v>25</v>
      </c>
      <c r="F31" s="63" t="s">
        <v>122</v>
      </c>
      <c r="G31" s="65" t="str">
        <f>IFERROR(IF(VLOOKUP(TableHandbook[[#This Row],[UDC]],TableAvailabilities[],2,FALSE)&gt;0,"Y",""),"")</f>
        <v/>
      </c>
      <c r="H31" s="65" t="str">
        <f>IFERROR(IF(VLOOKUP(TableHandbook[[#This Row],[UDC]],TableAvailabilities[],3,FALSE)&gt;0,"Y",""),"")</f>
        <v>Y</v>
      </c>
      <c r="I31" s="65" t="str">
        <f>IFERROR(IF(VLOOKUP(TableHandbook[[#This Row],[UDC]],TableAvailabilities[],4,FALSE)&gt;0,"Y",""),"")</f>
        <v/>
      </c>
      <c r="J31" s="65" t="str">
        <f>IFERROR(IF(VLOOKUP(TableHandbook[[#This Row],[UDC]],TableAvailabilities[],5,FALSE)&gt;0,"Y",""),"")</f>
        <v>Y</v>
      </c>
      <c r="K31" s="44"/>
      <c r="L31" s="66" t="str">
        <f>IFERROR(VLOOKUP(TableHandbook[[#This Row],[UDC]],TableOMARCH[],7,FALSE),"")</f>
        <v>Option</v>
      </c>
      <c r="M31" s="66" t="str">
        <f>IFERROR(VLOOKUP(TableHandbook[[#This Row],[UDC]],TableOWARCH[],7,FALSE),"")</f>
        <v>Option</v>
      </c>
    </row>
    <row r="32" spans="1:13" x14ac:dyDescent="0.25">
      <c r="A32" t="s">
        <v>46</v>
      </c>
      <c r="B32" s="3">
        <v>2</v>
      </c>
      <c r="C32" s="3" t="s">
        <v>182</v>
      </c>
      <c r="D32" t="s">
        <v>183</v>
      </c>
      <c r="E32" s="3">
        <v>25</v>
      </c>
      <c r="F32" s="63" t="s">
        <v>122</v>
      </c>
      <c r="G32" s="65" t="str">
        <f>IFERROR(IF(VLOOKUP(TableHandbook[[#This Row],[UDC]],TableAvailabilities[],2,FALSE)&gt;0,"Y",""),"")</f>
        <v/>
      </c>
      <c r="H32" s="65" t="str">
        <f>IFERROR(IF(VLOOKUP(TableHandbook[[#This Row],[UDC]],TableAvailabilities[],3,FALSE)&gt;0,"Y",""),"")</f>
        <v/>
      </c>
      <c r="I32" s="65" t="str">
        <f>IFERROR(IF(VLOOKUP(TableHandbook[[#This Row],[UDC]],TableAvailabilities[],4,FALSE)&gt;0,"Y",""),"")</f>
        <v/>
      </c>
      <c r="J32" s="65" t="str">
        <f>IFERROR(IF(VLOOKUP(TableHandbook[[#This Row],[UDC]],TableAvailabilities[],5,FALSE)&gt;0,"Y",""),"")</f>
        <v>Y</v>
      </c>
      <c r="K32" s="44"/>
      <c r="L32" s="66" t="str">
        <f>IFERROR(VLOOKUP(TableHandbook[[#This Row],[UDC]],TableOMARCH[],7,FALSE),"")</f>
        <v>Option</v>
      </c>
      <c r="M32" s="66" t="str">
        <f>IFERROR(VLOOKUP(TableHandbook[[#This Row],[UDC]],TableOWARCH[],7,FALSE),"")</f>
        <v>Option</v>
      </c>
    </row>
    <row r="33" spans="1:13" x14ac:dyDescent="0.25">
      <c r="A33" t="s">
        <v>47</v>
      </c>
      <c r="B33" s="3">
        <v>1</v>
      </c>
      <c r="C33" s="3" t="s">
        <v>184</v>
      </c>
      <c r="D33" t="s">
        <v>185</v>
      </c>
      <c r="E33" s="3">
        <v>25</v>
      </c>
      <c r="F33" s="63" t="s">
        <v>122</v>
      </c>
      <c r="G33" s="65" t="str">
        <f>IFERROR(IF(VLOOKUP(TableHandbook[[#This Row],[UDC]],TableAvailabilities[],2,FALSE)&gt;0,"Y",""),"")</f>
        <v/>
      </c>
      <c r="H33" s="65" t="str">
        <f>IFERROR(IF(VLOOKUP(TableHandbook[[#This Row],[UDC]],TableAvailabilities[],3,FALSE)&gt;0,"Y",""),"")</f>
        <v>Y</v>
      </c>
      <c r="I33" s="65" t="str">
        <f>IFERROR(IF(VLOOKUP(TableHandbook[[#This Row],[UDC]],TableAvailabilities[],4,FALSE)&gt;0,"Y",""),"")</f>
        <v/>
      </c>
      <c r="J33" s="65" t="str">
        <f>IFERROR(IF(VLOOKUP(TableHandbook[[#This Row],[UDC]],TableAvailabilities[],5,FALSE)&gt;0,"Y",""),"")</f>
        <v>Y</v>
      </c>
      <c r="K33" s="44"/>
      <c r="L33" s="66" t="str">
        <f>IFERROR(VLOOKUP(TableHandbook[[#This Row],[UDC]],TableOMARCH[],7,FALSE),"")</f>
        <v>Option</v>
      </c>
      <c r="M33" s="66" t="str">
        <f>IFERROR(VLOOKUP(TableHandbook[[#This Row],[UDC]],TableOWARCH[],7,FALSE),"")</f>
        <v>Option</v>
      </c>
    </row>
    <row r="34" spans="1:13" x14ac:dyDescent="0.25">
      <c r="A34" t="s">
        <v>68</v>
      </c>
      <c r="B34" s="3">
        <v>1</v>
      </c>
      <c r="C34" s="3" t="s">
        <v>186</v>
      </c>
      <c r="D34" t="s">
        <v>187</v>
      </c>
      <c r="E34" s="3">
        <v>25</v>
      </c>
      <c r="F34" s="63" t="s">
        <v>122</v>
      </c>
      <c r="G34" s="65" t="str">
        <f>IFERROR(IF(VLOOKUP(TableHandbook[[#This Row],[UDC]],TableAvailabilities[],2,FALSE)&gt;0,"Y",""),"")</f>
        <v>Y</v>
      </c>
      <c r="H34" s="65" t="str">
        <f>IFERROR(IF(VLOOKUP(TableHandbook[[#This Row],[UDC]],TableAvailabilities[],3,FALSE)&gt;0,"Y",""),"")</f>
        <v/>
      </c>
      <c r="I34" s="65" t="str">
        <f>IFERROR(IF(VLOOKUP(TableHandbook[[#This Row],[UDC]],TableAvailabilities[],4,FALSE)&gt;0,"Y",""),"")</f>
        <v>Y</v>
      </c>
      <c r="J34" s="65" t="str">
        <f>IFERROR(IF(VLOOKUP(TableHandbook[[#This Row],[UDC]],TableAvailabilities[],5,FALSE)&gt;0,"Y",""),"")</f>
        <v/>
      </c>
      <c r="K34" s="44"/>
      <c r="L34" s="66" t="str">
        <f>IFERROR(VLOOKUP(TableHandbook[[#This Row],[UDC]],TableOMARCH[],7,FALSE),"")</f>
        <v>Core</v>
      </c>
      <c r="M34" s="66" t="str">
        <f>IFERROR(VLOOKUP(TableHandbook[[#This Row],[UDC]],TableOWARCH[],7,FALSE),"")</f>
        <v>Core</v>
      </c>
    </row>
    <row r="35" spans="1:13" x14ac:dyDescent="0.25">
      <c r="A35" t="s">
        <v>48</v>
      </c>
      <c r="B35" s="3">
        <v>1</v>
      </c>
      <c r="C35" s="3" t="s">
        <v>188</v>
      </c>
      <c r="D35" t="s">
        <v>189</v>
      </c>
      <c r="E35" s="3">
        <v>25</v>
      </c>
      <c r="F35" s="63" t="s">
        <v>190</v>
      </c>
      <c r="G35" s="65" t="str">
        <f>IFERROR(IF(VLOOKUP(TableHandbook[[#This Row],[UDC]],TableAvailabilities[],2,FALSE)&gt;0,"Y",""),"")</f>
        <v/>
      </c>
      <c r="H35" s="65" t="str">
        <f>IFERROR(IF(VLOOKUP(TableHandbook[[#This Row],[UDC]],TableAvailabilities[],3,FALSE)&gt;0,"Y",""),"")</f>
        <v/>
      </c>
      <c r="I35" s="65" t="str">
        <f>IFERROR(IF(VLOOKUP(TableHandbook[[#This Row],[UDC]],TableAvailabilities[],4,FALSE)&gt;0,"Y",""),"")</f>
        <v/>
      </c>
      <c r="J35" s="65" t="str">
        <f>IFERROR(IF(VLOOKUP(TableHandbook[[#This Row],[UDC]],TableAvailabilities[],5,FALSE)&gt;0,"Y",""),"")</f>
        <v/>
      </c>
      <c r="K35" s="44"/>
      <c r="L35" s="66" t="str">
        <f>IFERROR(VLOOKUP(TableHandbook[[#This Row],[UDC]],TableOMARCH[],7,FALSE),"")</f>
        <v>Option</v>
      </c>
      <c r="M35" s="66" t="str">
        <f>IFERROR(VLOOKUP(TableHandbook[[#This Row],[UDC]],TableOWARCH[],7,FALSE),"")</f>
        <v>Option</v>
      </c>
    </row>
    <row r="36" spans="1:13" x14ac:dyDescent="0.25">
      <c r="A36" t="s">
        <v>49</v>
      </c>
      <c r="B36" s="3">
        <v>1</v>
      </c>
      <c r="C36" s="3" t="s">
        <v>191</v>
      </c>
      <c r="D36" t="s">
        <v>192</v>
      </c>
      <c r="E36" s="3">
        <v>25</v>
      </c>
      <c r="F36" s="63" t="s">
        <v>190</v>
      </c>
      <c r="G36" s="65" t="str">
        <f>IFERROR(IF(VLOOKUP(TableHandbook[[#This Row],[UDC]],TableAvailabilities[],2,FALSE)&gt;0,"Y",""),"")</f>
        <v/>
      </c>
      <c r="H36" s="65" t="str">
        <f>IFERROR(IF(VLOOKUP(TableHandbook[[#This Row],[UDC]],TableAvailabilities[],3,FALSE)&gt;0,"Y",""),"")</f>
        <v/>
      </c>
      <c r="I36" s="65" t="str">
        <f>IFERROR(IF(VLOOKUP(TableHandbook[[#This Row],[UDC]],TableAvailabilities[],4,FALSE)&gt;0,"Y",""),"")</f>
        <v/>
      </c>
      <c r="J36" s="65" t="str">
        <f>IFERROR(IF(VLOOKUP(TableHandbook[[#This Row],[UDC]],TableAvailabilities[],5,FALSE)&gt;0,"Y",""),"")</f>
        <v/>
      </c>
      <c r="K36" s="44"/>
      <c r="L36" s="66" t="str">
        <f>IFERROR(VLOOKUP(TableHandbook[[#This Row],[UDC]],TableOMARCH[],7,FALSE),"")</f>
        <v>Option</v>
      </c>
      <c r="M36" s="66" t="str">
        <f>IFERROR(VLOOKUP(TableHandbook[[#This Row],[UDC]],TableOWARCH[],7,FALSE),"")</f>
        <v>Option</v>
      </c>
    </row>
    <row r="37" spans="1:13" x14ac:dyDescent="0.25">
      <c r="B37"/>
    </row>
    <row r="38" spans="1:13" x14ac:dyDescent="0.25">
      <c r="B38"/>
    </row>
    <row r="39" spans="1:13" x14ac:dyDescent="0.25">
      <c r="B39"/>
    </row>
    <row r="40" spans="1:13" x14ac:dyDescent="0.25">
      <c r="B40"/>
    </row>
    <row r="41" spans="1:13" x14ac:dyDescent="0.25">
      <c r="B41"/>
    </row>
    <row r="42" spans="1:13" x14ac:dyDescent="0.25">
      <c r="B42"/>
    </row>
    <row r="43" spans="1:13" x14ac:dyDescent="0.25">
      <c r="B43"/>
    </row>
    <row r="44" spans="1:13" x14ac:dyDescent="0.25">
      <c r="B44"/>
    </row>
    <row r="45" spans="1:13" x14ac:dyDescent="0.25">
      <c r="B45"/>
    </row>
    <row r="46" spans="1:13" x14ac:dyDescent="0.25">
      <c r="B46"/>
    </row>
    <row r="47" spans="1:13" x14ac:dyDescent="0.25">
      <c r="B47"/>
    </row>
    <row r="48" spans="1:13"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sheetData>
  <sortState xmlns:xlrd2="http://schemas.microsoft.com/office/spreadsheetml/2017/richdata2" ref="A27:D39">
    <sortCondition ref="A27"/>
  </sortState>
  <conditionalFormatting sqref="A3:A36">
    <cfRule type="duplicateValues" dxfId="11" priority="20"/>
  </conditionalFormatting>
  <conditionalFormatting sqref="C34">
    <cfRule type="duplicateValues" dxfId="10" priority="3"/>
  </conditionalFormatting>
  <conditionalFormatting sqref="C35">
    <cfRule type="duplicateValues" dxfId="9" priority="2"/>
  </conditionalFormatting>
  <conditionalFormatting sqref="C36">
    <cfRule type="duplicateValues" dxfId="8" priority="1"/>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3"/>
  <sheetViews>
    <sheetView zoomScale="70" zoomScaleNormal="70" workbookViewId="0">
      <selection activeCell="B29" sqref="B29"/>
    </sheetView>
  </sheetViews>
  <sheetFormatPr defaultRowHeight="15.75" x14ac:dyDescent="0.25"/>
  <cols>
    <col min="1" max="1" width="10.625" bestFit="1" customWidth="1"/>
    <col min="2" max="2" width="10.5" bestFit="1" customWidth="1"/>
    <col min="3" max="3" width="12.5" bestFit="1" customWidth="1"/>
    <col min="4" max="4" width="56.375" bestFit="1" customWidth="1"/>
    <col min="5"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56.375" bestFit="1" customWidth="1"/>
    <col min="13" max="13" width="14.75" bestFit="1" customWidth="1"/>
    <col min="14" max="14" width="12.5" bestFit="1" customWidth="1"/>
    <col min="15" max="15" width="10.875" bestFit="1" customWidth="1"/>
    <col min="17" max="17" width="11.5" bestFit="1" customWidth="1"/>
    <col min="18" max="18" width="11.5" customWidth="1"/>
  </cols>
  <sheetData>
    <row r="1" spans="1:18" ht="18.75" x14ac:dyDescent="0.3">
      <c r="F1" s="48"/>
      <c r="G1" s="58" t="s">
        <v>193</v>
      </c>
      <c r="H1" s="69">
        <v>43282</v>
      </c>
      <c r="I1" s="59"/>
      <c r="J1" s="70" t="s">
        <v>78</v>
      </c>
      <c r="K1" s="71" t="s">
        <v>79</v>
      </c>
      <c r="L1" s="59" t="s">
        <v>11</v>
      </c>
      <c r="M1" s="59"/>
      <c r="N1" s="60" t="s">
        <v>194</v>
      </c>
      <c r="O1" s="57">
        <v>45523</v>
      </c>
      <c r="P1" s="72">
        <v>45292</v>
      </c>
    </row>
    <row r="2" spans="1:18" x14ac:dyDescent="0.25">
      <c r="A2" t="s">
        <v>0</v>
      </c>
      <c r="B2" t="s">
        <v>195</v>
      </c>
      <c r="C2" t="s">
        <v>18</v>
      </c>
      <c r="D2" t="s">
        <v>3</v>
      </c>
      <c r="E2" s="46" t="s">
        <v>196</v>
      </c>
      <c r="F2" t="s">
        <v>197</v>
      </c>
      <c r="G2" t="s">
        <v>198</v>
      </c>
      <c r="H2" t="s">
        <v>199</v>
      </c>
      <c r="I2" t="s">
        <v>19</v>
      </c>
      <c r="J2" t="s">
        <v>200</v>
      </c>
      <c r="K2" t="s">
        <v>1</v>
      </c>
      <c r="L2" t="s">
        <v>201</v>
      </c>
      <c r="M2" t="s">
        <v>76</v>
      </c>
      <c r="N2" t="s">
        <v>202</v>
      </c>
      <c r="O2" s="57" t="s">
        <v>203</v>
      </c>
      <c r="Q2" t="s">
        <v>204</v>
      </c>
      <c r="R2" t="s">
        <v>205</v>
      </c>
    </row>
    <row r="3" spans="1:18" x14ac:dyDescent="0.25">
      <c r="A3" s="44" t="str">
        <f>TableOMARCH[[#This Row],[Study Package Code]]</f>
        <v>ARCH5017</v>
      </c>
      <c r="B3" s="3">
        <f>TableOMARCH[[#This Row],[Ver]]</f>
        <v>3</v>
      </c>
      <c r="C3" t="str">
        <f>LEFT(TableOMARCH[[#This Row],[Structure Line]],(FIND(" ",TableOMARCH[[#This Row],[Structure Line]],1)-1))</f>
        <v>MAA401</v>
      </c>
      <c r="D3" t="str">
        <f>MID(TableOMARCH[[#This Row],[Structure Line]],FIND(" ",TableOMARCH[[#This Row],[Structure Line]])+1,256)</f>
        <v>Architecture and Culture Research Topics and Methods</v>
      </c>
      <c r="E3" s="47">
        <f>TableOMARCH[[#This Row],[Credit Points]]</f>
        <v>25</v>
      </c>
      <c r="F3">
        <v>1</v>
      </c>
      <c r="G3" t="s">
        <v>206</v>
      </c>
      <c r="H3">
        <v>1</v>
      </c>
      <c r="I3" t="s">
        <v>207</v>
      </c>
      <c r="J3" t="s">
        <v>61</v>
      </c>
      <c r="K3">
        <v>3</v>
      </c>
      <c r="L3" t="s">
        <v>208</v>
      </c>
      <c r="M3">
        <v>25</v>
      </c>
      <c r="N3" s="61">
        <v>45108</v>
      </c>
      <c r="O3" s="61"/>
      <c r="Q3" t="s">
        <v>61</v>
      </c>
      <c r="R3">
        <v>3</v>
      </c>
    </row>
    <row r="4" spans="1:18" x14ac:dyDescent="0.25">
      <c r="A4" s="44" t="str">
        <f>TableOMARCH[[#This Row],[Study Package Code]]</f>
        <v>URDE6007</v>
      </c>
      <c r="B4" s="3">
        <f>TableOMARCH[[#This Row],[Ver]]</f>
        <v>1</v>
      </c>
      <c r="C4" t="str">
        <f>LEFT(TableOMARCH[[#This Row],[Structure Line]],(FIND(" ",TableOMARCH[[#This Row],[Structure Line]],1)-1))</f>
        <v>DBE600</v>
      </c>
      <c r="D4" t="str">
        <f>MID(TableOMARCH[[#This Row],[Structure Line]],FIND(" ",TableOMARCH[[#This Row],[Structure Line]])+1,256)</f>
        <v>Design and Built Environment Research Methods</v>
      </c>
      <c r="E4" s="47">
        <f>TableOMARCH[[#This Row],[Credit Points]]</f>
        <v>25</v>
      </c>
      <c r="F4">
        <v>2</v>
      </c>
      <c r="G4" t="s">
        <v>206</v>
      </c>
      <c r="H4">
        <v>1</v>
      </c>
      <c r="I4" t="s">
        <v>207</v>
      </c>
      <c r="J4" t="s">
        <v>68</v>
      </c>
      <c r="K4">
        <v>1</v>
      </c>
      <c r="L4" t="s">
        <v>209</v>
      </c>
      <c r="M4">
        <v>25</v>
      </c>
      <c r="N4" s="61">
        <v>44562</v>
      </c>
      <c r="O4" s="61"/>
      <c r="Q4" t="s">
        <v>68</v>
      </c>
      <c r="R4">
        <v>1</v>
      </c>
    </row>
    <row r="5" spans="1:18" x14ac:dyDescent="0.25">
      <c r="A5" s="44" t="str">
        <f>TableOMARCH[[#This Row],[Study Package Code]]</f>
        <v>ARCH5034</v>
      </c>
      <c r="B5" s="3">
        <f>TableOMARCH[[#This Row],[Ver]]</f>
        <v>1</v>
      </c>
      <c r="C5" t="str">
        <f>LEFT(TableOMARCH[[#This Row],[Structure Line]],(FIND(" ",TableOMARCH[[#This Row],[Structure Line]],1)-1))</f>
        <v>MAA530</v>
      </c>
      <c r="D5" t="str">
        <f>MID(TableOMARCH[[#This Row],[Structure Line]],FIND(" ",TableOMARCH[[#This Row],[Structure Line]])+1,256)</f>
        <v>Complex Buildings Studio</v>
      </c>
      <c r="E5" s="47">
        <f>TableOMARCH[[#This Row],[Credit Points]]</f>
        <v>50</v>
      </c>
      <c r="F5">
        <v>3</v>
      </c>
      <c r="G5" t="s">
        <v>206</v>
      </c>
      <c r="H5">
        <v>1</v>
      </c>
      <c r="I5" t="s">
        <v>207</v>
      </c>
      <c r="J5" t="s">
        <v>63</v>
      </c>
      <c r="K5">
        <v>1</v>
      </c>
      <c r="L5" t="s">
        <v>210</v>
      </c>
      <c r="M5">
        <v>50</v>
      </c>
      <c r="N5" s="61">
        <v>44927</v>
      </c>
      <c r="O5" s="61"/>
      <c r="Q5" t="s">
        <v>63</v>
      </c>
      <c r="R5">
        <v>1</v>
      </c>
    </row>
    <row r="6" spans="1:18" x14ac:dyDescent="0.25">
      <c r="A6" s="44" t="str">
        <f>TableOMARCH[[#This Row],[Study Package Code]]</f>
        <v>ARCH5032</v>
      </c>
      <c r="B6" s="3">
        <f>TableOMARCH[[#This Row],[Ver]]</f>
        <v>1</v>
      </c>
      <c r="C6" t="str">
        <f>LEFT(TableOMARCH[[#This Row],[Structure Line]],(FIND(" ",TableOMARCH[[#This Row],[Structure Line]],1)-1))</f>
        <v>MAA520</v>
      </c>
      <c r="D6" t="str">
        <f>MID(TableOMARCH[[#This Row],[Structure Line]],FIND(" ",TableOMARCH[[#This Row],[Structure Line]])+1,256)</f>
        <v>Urban Design Studio</v>
      </c>
      <c r="E6" s="47">
        <f>TableOMARCH[[#This Row],[Credit Points]]</f>
        <v>50</v>
      </c>
      <c r="F6">
        <v>4</v>
      </c>
      <c r="G6" t="s">
        <v>206</v>
      </c>
      <c r="H6">
        <v>1</v>
      </c>
      <c r="I6" t="s">
        <v>207</v>
      </c>
      <c r="J6" t="s">
        <v>86</v>
      </c>
      <c r="K6">
        <v>1</v>
      </c>
      <c r="L6" t="s">
        <v>211</v>
      </c>
      <c r="M6">
        <v>50</v>
      </c>
      <c r="N6" s="61">
        <v>44927</v>
      </c>
      <c r="O6" s="61"/>
      <c r="Q6" t="s">
        <v>86</v>
      </c>
      <c r="R6">
        <v>1</v>
      </c>
    </row>
    <row r="7" spans="1:18" x14ac:dyDescent="0.25">
      <c r="A7" s="44" t="str">
        <f>TableOMARCH[[#This Row],[Study Package Code]]</f>
        <v>ARCH5018</v>
      </c>
      <c r="B7" s="3">
        <f>TableOMARCH[[#This Row],[Ver]]</f>
        <v>2</v>
      </c>
      <c r="C7" t="str">
        <f>LEFT(TableOMARCH[[#This Row],[Structure Line]],(FIND(" ",TableOMARCH[[#This Row],[Structure Line]],1)-1))</f>
        <v>MAA402</v>
      </c>
      <c r="D7" t="str">
        <f>MID(TableOMARCH[[#This Row],[Structure Line]],FIND(" ",TableOMARCH[[#This Row],[Structure Line]])+1,256)</f>
        <v>Architectural Systems and Research Methods</v>
      </c>
      <c r="E7" s="47">
        <f>TableOMARCH[[#This Row],[Credit Points]]</f>
        <v>25</v>
      </c>
      <c r="F7">
        <v>5</v>
      </c>
      <c r="G7" t="s">
        <v>206</v>
      </c>
      <c r="H7">
        <v>1</v>
      </c>
      <c r="I7" t="s">
        <v>207</v>
      </c>
      <c r="J7" t="s">
        <v>82</v>
      </c>
      <c r="K7">
        <v>2</v>
      </c>
      <c r="L7" t="s">
        <v>212</v>
      </c>
      <c r="M7">
        <v>25</v>
      </c>
      <c r="N7" s="61">
        <v>43101</v>
      </c>
      <c r="O7" s="61"/>
      <c r="Q7" t="s">
        <v>82</v>
      </c>
      <c r="R7">
        <v>2</v>
      </c>
    </row>
    <row r="8" spans="1:18" x14ac:dyDescent="0.25">
      <c r="A8" s="44" t="str">
        <f>TableOMARCH[[#This Row],[Study Package Code]]</f>
        <v>Option</v>
      </c>
      <c r="B8" s="3">
        <f>TableOMARCH[[#This Row],[Ver]]</f>
        <v>0</v>
      </c>
      <c r="D8" t="str">
        <f>TableOMARCH[[#This Row],[Structure Line]]</f>
        <v>Choose an Option</v>
      </c>
      <c r="E8" s="47" t="str">
        <f>TableOMARCH[[#This Row],[Credit Points]]</f>
        <v/>
      </c>
      <c r="F8">
        <v>6</v>
      </c>
      <c r="G8" t="s">
        <v>70</v>
      </c>
      <c r="H8">
        <v>1</v>
      </c>
      <c r="I8" t="s">
        <v>207</v>
      </c>
      <c r="J8" t="s">
        <v>70</v>
      </c>
      <c r="K8">
        <v>0</v>
      </c>
      <c r="L8" t="s">
        <v>213</v>
      </c>
      <c r="M8" t="s">
        <v>214</v>
      </c>
      <c r="N8" s="61"/>
      <c r="O8" s="61"/>
      <c r="Q8" t="s">
        <v>70</v>
      </c>
      <c r="R8">
        <v>0</v>
      </c>
    </row>
    <row r="9" spans="1:18" x14ac:dyDescent="0.25">
      <c r="A9" s="44" t="str">
        <f>TableOMARCH[[#This Row],[Study Package Code]]</f>
        <v>ARCH6022</v>
      </c>
      <c r="B9" s="3">
        <f>TableOMARCH[[#This Row],[Ver]]</f>
        <v>1</v>
      </c>
      <c r="C9" t="str">
        <f>LEFT(TableOMARCH[[#This Row],[Structure Line]],(FIND(" ",TableOMARCH[[#This Row],[Structure Line]],1)-1))</f>
        <v>MAA620</v>
      </c>
      <c r="D9" t="str">
        <f>MID(TableOMARCH[[#This Row],[Structure Line]],FIND(" ",TableOMARCH[[#This Row],[Structure Line]])+1,256)</f>
        <v>Architectural Practical Experience</v>
      </c>
      <c r="E9" s="47">
        <f>TableOMARCH[[#This Row],[Credit Points]]</f>
        <v>25</v>
      </c>
      <c r="F9">
        <v>7</v>
      </c>
      <c r="G9" t="s">
        <v>206</v>
      </c>
      <c r="H9">
        <v>2</v>
      </c>
      <c r="I9" t="s">
        <v>207</v>
      </c>
      <c r="J9" t="s">
        <v>101</v>
      </c>
      <c r="K9">
        <v>1</v>
      </c>
      <c r="L9" t="s">
        <v>215</v>
      </c>
      <c r="M9">
        <v>25</v>
      </c>
      <c r="N9" s="61">
        <v>44927</v>
      </c>
      <c r="O9" s="61"/>
      <c r="Q9" t="s">
        <v>101</v>
      </c>
      <c r="R9">
        <v>1</v>
      </c>
    </row>
    <row r="10" spans="1:18" x14ac:dyDescent="0.25">
      <c r="A10" s="44" t="str">
        <f>TableOMARCH[[#This Row],[Study Package Code]]</f>
        <v>ARCH6018</v>
      </c>
      <c r="B10" s="3">
        <f>TableOMARCH[[#This Row],[Ver]]</f>
        <v>1</v>
      </c>
      <c r="C10" t="str">
        <f>LEFT(TableOMARCH[[#This Row],[Structure Line]],(FIND(" ",TableOMARCH[[#This Row],[Structure Line]],1)-1))</f>
        <v>MAA600</v>
      </c>
      <c r="D10" t="str">
        <f>MID(TableOMARCH[[#This Row],[Structure Line]],FIND(" ",TableOMARCH[[#This Row],[Structure Line]])+1,256)</f>
        <v>Praxis Studio</v>
      </c>
      <c r="E10" s="47">
        <f>TableOMARCH[[#This Row],[Credit Points]]</f>
        <v>50</v>
      </c>
      <c r="F10">
        <v>8</v>
      </c>
      <c r="G10" t="s">
        <v>206</v>
      </c>
      <c r="H10">
        <v>2</v>
      </c>
      <c r="I10" t="s">
        <v>207</v>
      </c>
      <c r="J10" t="s">
        <v>65</v>
      </c>
      <c r="K10">
        <v>1</v>
      </c>
      <c r="L10" t="s">
        <v>216</v>
      </c>
      <c r="M10">
        <v>50</v>
      </c>
      <c r="N10" s="61">
        <v>44927</v>
      </c>
      <c r="O10" s="61"/>
      <c r="Q10" t="s">
        <v>65</v>
      </c>
      <c r="R10">
        <v>1</v>
      </c>
    </row>
    <row r="11" spans="1:18" x14ac:dyDescent="0.25">
      <c r="A11" s="44" t="str">
        <f>TableOMARCH[[#This Row],[Study Package Code]]</f>
        <v>ARCH6025</v>
      </c>
      <c r="B11" s="3">
        <f>TableOMARCH[[#This Row],[Ver]]</f>
        <v>1</v>
      </c>
      <c r="C11" t="str">
        <f>LEFT(TableOMARCH[[#This Row],[Structure Line]],(FIND(" ",TableOMARCH[[#This Row],[Structure Line]],1)-1))</f>
        <v>MAA650</v>
      </c>
      <c r="D11" t="str">
        <f>MID(TableOMARCH[[#This Row],[Structure Line]],FIND(" ",TableOMARCH[[#This Row],[Structure Line]])+1,256)</f>
        <v>Architectural Practice Management</v>
      </c>
      <c r="E11" s="47">
        <f>TableOMARCH[[#This Row],[Credit Points]]</f>
        <v>25</v>
      </c>
      <c r="F11">
        <v>9</v>
      </c>
      <c r="G11" t="s">
        <v>206</v>
      </c>
      <c r="H11">
        <v>2</v>
      </c>
      <c r="I11" t="s">
        <v>207</v>
      </c>
      <c r="J11" t="s">
        <v>96</v>
      </c>
      <c r="K11">
        <v>1</v>
      </c>
      <c r="L11" t="s">
        <v>217</v>
      </c>
      <c r="M11">
        <v>25</v>
      </c>
      <c r="N11" s="61">
        <v>44927</v>
      </c>
      <c r="O11" s="61"/>
      <c r="Q11" t="s">
        <v>96</v>
      </c>
      <c r="R11">
        <v>1</v>
      </c>
    </row>
    <row r="12" spans="1:18" x14ac:dyDescent="0.25">
      <c r="A12" s="44" t="str">
        <f>TableOMARCH[[#This Row],[Study Package Code]]</f>
        <v>ARCH6024</v>
      </c>
      <c r="B12" s="3">
        <f>TableOMARCH[[#This Row],[Ver]]</f>
        <v>2</v>
      </c>
      <c r="C12" t="str">
        <f>LEFT(TableOMARCH[[#This Row],[Structure Line]],(FIND(" ",TableOMARCH[[#This Row],[Structure Line]],1)-1))</f>
        <v>MAA640</v>
      </c>
      <c r="D12" t="str">
        <f>MID(TableOMARCH[[#This Row],[Structure Line]],FIND(" ",TableOMARCH[[#This Row],[Structure Line]])+1,256)</f>
        <v>Architectural Thesis Project 1</v>
      </c>
      <c r="E12" s="47">
        <f>TableOMARCH[[#This Row],[Credit Points]]</f>
        <v>25</v>
      </c>
      <c r="F12">
        <v>10</v>
      </c>
      <c r="G12" t="s">
        <v>206</v>
      </c>
      <c r="H12">
        <v>2</v>
      </c>
      <c r="I12" t="s">
        <v>207</v>
      </c>
      <c r="J12" t="s">
        <v>93</v>
      </c>
      <c r="K12">
        <v>2</v>
      </c>
      <c r="L12" t="s">
        <v>218</v>
      </c>
      <c r="M12">
        <v>25</v>
      </c>
      <c r="N12" s="61">
        <v>45292</v>
      </c>
      <c r="O12" s="61"/>
      <c r="Q12" t="s">
        <v>93</v>
      </c>
      <c r="R12">
        <v>2</v>
      </c>
    </row>
    <row r="13" spans="1:18" x14ac:dyDescent="0.25">
      <c r="A13" s="44" t="str">
        <f>TableOMARCH[[#This Row],[Study Package Code]]</f>
        <v>ARCH6020</v>
      </c>
      <c r="B13" s="3">
        <f>TableOMARCH[[#This Row],[Ver]]</f>
        <v>1</v>
      </c>
      <c r="C13" t="str">
        <f>LEFT(TableOMARCH[[#This Row],[Structure Line]],(FIND(" ",TableOMARCH[[#This Row],[Structure Line]],1)-1))</f>
        <v>MAA610</v>
      </c>
      <c r="D13" t="str">
        <f>MID(TableOMARCH[[#This Row],[Structure Line]],FIND(" ",TableOMARCH[[#This Row],[Structure Line]])+1,256)</f>
        <v>Architectural Thesis Project 2</v>
      </c>
      <c r="E13" s="47">
        <f>TableOMARCH[[#This Row],[Credit Points]]</f>
        <v>50</v>
      </c>
      <c r="F13">
        <v>11</v>
      </c>
      <c r="G13" t="s">
        <v>206</v>
      </c>
      <c r="H13">
        <v>2</v>
      </c>
      <c r="I13" t="s">
        <v>207</v>
      </c>
      <c r="J13" t="s">
        <v>104</v>
      </c>
      <c r="K13">
        <v>1</v>
      </c>
      <c r="L13" t="s">
        <v>219</v>
      </c>
      <c r="M13">
        <v>50</v>
      </c>
      <c r="N13" s="61">
        <v>44927</v>
      </c>
      <c r="O13" s="61"/>
      <c r="Q13" t="s">
        <v>104</v>
      </c>
      <c r="R13">
        <v>1</v>
      </c>
    </row>
    <row r="14" spans="1:18" x14ac:dyDescent="0.25">
      <c r="A14" s="44" t="str">
        <f>TableOMARCH[[#This Row],[Study Package Code]]</f>
        <v>ARCH6023</v>
      </c>
      <c r="B14" s="3">
        <f>TableOMARCH[[#This Row],[Ver]]</f>
        <v>1</v>
      </c>
      <c r="C14" t="str">
        <f>LEFT(TableOMARCH[[#This Row],[Structure Line]],(FIND(" ",TableOMARCH[[#This Row],[Structure Line]],1)-1))</f>
        <v>MAA630</v>
      </c>
      <c r="D14" t="str">
        <f>MID(TableOMARCH[[#This Row],[Structure Line]],FIND(" ",TableOMARCH[[#This Row],[Structure Line]])+1,256)</f>
        <v>Architectural Professional Project Delivery</v>
      </c>
      <c r="E14" s="47">
        <f>TableOMARCH[[#This Row],[Credit Points]]</f>
        <v>25</v>
      </c>
      <c r="F14">
        <v>12</v>
      </c>
      <c r="G14" t="s">
        <v>206</v>
      </c>
      <c r="H14">
        <v>2</v>
      </c>
      <c r="I14" t="s">
        <v>207</v>
      </c>
      <c r="J14" t="s">
        <v>100</v>
      </c>
      <c r="K14">
        <v>1</v>
      </c>
      <c r="L14" t="s">
        <v>220</v>
      </c>
      <c r="M14">
        <v>25</v>
      </c>
      <c r="N14" s="61">
        <v>44927</v>
      </c>
      <c r="O14" s="61"/>
      <c r="Q14" t="s">
        <v>100</v>
      </c>
      <c r="R14">
        <v>1</v>
      </c>
    </row>
    <row r="15" spans="1:18" x14ac:dyDescent="0.25">
      <c r="A15" s="44" t="str">
        <f>TableOMARCH[[#This Row],[Study Package Code]]</f>
        <v>ARCH5019</v>
      </c>
      <c r="B15" s="3">
        <f>TableOMARCH[[#This Row],[Ver]]</f>
        <v>2</v>
      </c>
      <c r="C15" t="str">
        <f>LEFT(TableOMARCH[[#This Row],[Structure Line]],(FIND(" ",TableOMARCH[[#This Row],[Structure Line]],1)-1))</f>
        <v>MAA404</v>
      </c>
      <c r="D15" t="str">
        <f>MID(TableOMARCH[[#This Row],[Structure Line]],FIND(" ",TableOMARCH[[#This Row],[Structure Line]])+1,256)</f>
        <v>Advanced Architectural Systems Research Applications</v>
      </c>
      <c r="E15" s="47">
        <f>TableOMARCH[[#This Row],[Credit Points]]</f>
        <v>25</v>
      </c>
      <c r="F15">
        <v>6</v>
      </c>
      <c r="G15" t="s">
        <v>70</v>
      </c>
      <c r="H15">
        <v>1</v>
      </c>
      <c r="I15" t="s">
        <v>207</v>
      </c>
      <c r="J15" t="s">
        <v>125</v>
      </c>
      <c r="K15">
        <v>2</v>
      </c>
      <c r="L15" t="s">
        <v>221</v>
      </c>
      <c r="M15">
        <v>25</v>
      </c>
      <c r="N15" s="61">
        <v>43101</v>
      </c>
      <c r="O15" s="61"/>
      <c r="Q15" t="s">
        <v>125</v>
      </c>
      <c r="R15">
        <v>2</v>
      </c>
    </row>
    <row r="16" spans="1:18" x14ac:dyDescent="0.25">
      <c r="A16" s="44" t="str">
        <f>TableOMARCH[[#This Row],[Study Package Code]]</f>
        <v>ARCH5020</v>
      </c>
      <c r="B16" s="3">
        <f>TableOMARCH[[#This Row],[Ver]]</f>
        <v>2</v>
      </c>
      <c r="C16" t="str">
        <f>LEFT(TableOMARCH[[#This Row],[Structure Line]],(FIND(" ",TableOMARCH[[#This Row],[Structure Line]],1)-1))</f>
        <v>MAA405</v>
      </c>
      <c r="D16" t="str">
        <f>MID(TableOMARCH[[#This Row],[Structure Line]],FIND(" ",TableOMARCH[[#This Row],[Structure Line]])+1,256)</f>
        <v>Architecture and Culture Research Applications</v>
      </c>
      <c r="E16" s="47">
        <f>TableOMARCH[[#This Row],[Credit Points]]</f>
        <v>25</v>
      </c>
      <c r="F16">
        <v>6</v>
      </c>
      <c r="G16" t="s">
        <v>70</v>
      </c>
      <c r="H16">
        <v>1</v>
      </c>
      <c r="I16" t="s">
        <v>207</v>
      </c>
      <c r="J16" t="s">
        <v>129</v>
      </c>
      <c r="K16">
        <v>2</v>
      </c>
      <c r="L16" t="s">
        <v>222</v>
      </c>
      <c r="M16">
        <v>25</v>
      </c>
      <c r="N16" s="61">
        <v>43101</v>
      </c>
      <c r="O16" s="61"/>
      <c r="Q16" t="s">
        <v>129</v>
      </c>
      <c r="R16">
        <v>2</v>
      </c>
    </row>
    <row r="17" spans="1:18" x14ac:dyDescent="0.25">
      <c r="A17" s="44" t="str">
        <f>TableOMARCH[[#This Row],[Study Package Code]]</f>
        <v>PRJM6013</v>
      </c>
      <c r="B17" s="3">
        <f>TableOMARCH[[#This Row],[Ver]]</f>
        <v>2</v>
      </c>
      <c r="C17" t="str">
        <f>LEFT(TableOMARCH[[#This Row],[Structure Line]],(FIND(" ",TableOMARCH[[#This Row],[Structure Line]],1)-1))</f>
        <v>PRM500</v>
      </c>
      <c r="D17" t="str">
        <f>MID(TableOMARCH[[#This Row],[Structure Line]],FIND(" ",TableOMARCH[[#This Row],[Structure Line]])+1,256)</f>
        <v>Project Management Overview</v>
      </c>
      <c r="E17" s="47">
        <f>TableOMARCH[[#This Row],[Credit Points]]</f>
        <v>25</v>
      </c>
      <c r="F17">
        <v>6</v>
      </c>
      <c r="G17" t="s">
        <v>70</v>
      </c>
      <c r="H17">
        <v>1</v>
      </c>
      <c r="I17" t="s">
        <v>207</v>
      </c>
      <c r="J17" s="45" t="s">
        <v>160</v>
      </c>
      <c r="K17" s="45">
        <v>2</v>
      </c>
      <c r="L17" s="45" t="s">
        <v>223</v>
      </c>
      <c r="M17">
        <v>25</v>
      </c>
      <c r="N17" s="61">
        <v>42917</v>
      </c>
      <c r="O17" s="61"/>
      <c r="Q17" t="s">
        <v>160</v>
      </c>
      <c r="R17">
        <v>2</v>
      </c>
    </row>
    <row r="18" spans="1:18" x14ac:dyDescent="0.25">
      <c r="A18" s="44" t="str">
        <f>TableOMARCH[[#This Row],[Study Package Code]]</f>
        <v>PRJM6015</v>
      </c>
      <c r="B18" s="3">
        <f>TableOMARCH[[#This Row],[Ver]]</f>
        <v>1</v>
      </c>
      <c r="C18" t="str">
        <f>LEFT(TableOMARCH[[#This Row],[Structure Line]],(FIND(" ",TableOMARCH[[#This Row],[Structure Line]],1)-1))</f>
        <v>PRM510</v>
      </c>
      <c r="D18" t="str">
        <f>MID(TableOMARCH[[#This Row],[Structure Line]],FIND(" ",TableOMARCH[[#This Row],[Structure Line]])+1,256)</f>
        <v>Project and People</v>
      </c>
      <c r="E18" s="47">
        <f>TableOMARCH[[#This Row],[Credit Points]]</f>
        <v>25</v>
      </c>
      <c r="F18">
        <v>6</v>
      </c>
      <c r="G18" t="s">
        <v>70</v>
      </c>
      <c r="H18">
        <v>1</v>
      </c>
      <c r="I18" t="s">
        <v>207</v>
      </c>
      <c r="J18" s="45" t="s">
        <v>162</v>
      </c>
      <c r="K18" s="45">
        <v>1</v>
      </c>
      <c r="L18" s="45" t="s">
        <v>224</v>
      </c>
      <c r="M18">
        <v>25</v>
      </c>
      <c r="N18" s="61">
        <v>42917</v>
      </c>
      <c r="O18" s="61"/>
      <c r="Q18" t="s">
        <v>162</v>
      </c>
      <c r="R18">
        <v>1</v>
      </c>
    </row>
    <row r="19" spans="1:18" x14ac:dyDescent="0.25">
      <c r="A19" s="44" t="str">
        <f>TableOMARCH[[#This Row],[Study Package Code]]</f>
        <v>PRJM6016</v>
      </c>
      <c r="B19" s="3">
        <f>TableOMARCH[[#This Row],[Ver]]</f>
        <v>1</v>
      </c>
      <c r="C19" t="str">
        <f>LEFT(TableOMARCH[[#This Row],[Structure Line]],(FIND(" ",TableOMARCH[[#This Row],[Structure Line]],1)-1))</f>
        <v>PRM520</v>
      </c>
      <c r="D19" t="str">
        <f>MID(TableOMARCH[[#This Row],[Structure Line]],FIND(" ",TableOMARCH[[#This Row],[Structure Line]])+1,256)</f>
        <v>Project Cost Management</v>
      </c>
      <c r="E19" s="47">
        <f>TableOMARCH[[#This Row],[Credit Points]]</f>
        <v>25</v>
      </c>
      <c r="F19">
        <v>6</v>
      </c>
      <c r="G19" t="s">
        <v>70</v>
      </c>
      <c r="H19">
        <v>1</v>
      </c>
      <c r="I19" t="s">
        <v>207</v>
      </c>
      <c r="J19" s="45" t="s">
        <v>164</v>
      </c>
      <c r="K19" s="45">
        <v>1</v>
      </c>
      <c r="L19" s="45" t="s">
        <v>225</v>
      </c>
      <c r="M19">
        <v>25</v>
      </c>
      <c r="N19" s="61">
        <v>42917</v>
      </c>
      <c r="O19" s="61"/>
      <c r="Q19" t="s">
        <v>164</v>
      </c>
      <c r="R19">
        <v>1</v>
      </c>
    </row>
    <row r="20" spans="1:18" x14ac:dyDescent="0.25">
      <c r="A20" s="44" t="str">
        <f>TableOMARCH[[#This Row],[Study Package Code]]</f>
        <v>PRJM6021</v>
      </c>
      <c r="B20" s="3">
        <f>TableOMARCH[[#This Row],[Ver]]</f>
        <v>2</v>
      </c>
      <c r="C20" t="str">
        <f>LEFT(TableOMARCH[[#This Row],[Structure Line]],(FIND(" ",TableOMARCH[[#This Row],[Structure Line]],1)-1))</f>
        <v>PRM530</v>
      </c>
      <c r="D20" t="str">
        <f>MID(TableOMARCH[[#This Row],[Structure Line]],FIND(" ",TableOMARCH[[#This Row],[Structure Line]])+1,256)</f>
        <v>Project Planning and Schedule Management</v>
      </c>
      <c r="E20" s="47">
        <f>TableOMARCH[[#This Row],[Credit Points]]</f>
        <v>25</v>
      </c>
      <c r="F20">
        <v>6</v>
      </c>
      <c r="G20" t="s">
        <v>70</v>
      </c>
      <c r="H20">
        <v>1</v>
      </c>
      <c r="I20" t="s">
        <v>207</v>
      </c>
      <c r="J20" s="45" t="s">
        <v>166</v>
      </c>
      <c r="K20" s="45">
        <v>2</v>
      </c>
      <c r="L20" s="45" t="s">
        <v>226</v>
      </c>
      <c r="M20">
        <v>25</v>
      </c>
      <c r="N20" s="61">
        <v>45383</v>
      </c>
      <c r="O20" s="61"/>
      <c r="Q20" t="s">
        <v>166</v>
      </c>
      <c r="R20">
        <v>2</v>
      </c>
    </row>
    <row r="21" spans="1:18" x14ac:dyDescent="0.25">
      <c r="A21" s="44" t="str">
        <f>TableOMARCH[[#This Row],[Study Package Code]]</f>
        <v>SUST5010</v>
      </c>
      <c r="B21" s="3">
        <f>TableOMARCH[[#This Row],[Ver]]</f>
        <v>2</v>
      </c>
      <c r="C21" t="str">
        <f>LEFT(TableOMARCH[[#This Row],[Structure Line]],(FIND(" ",TableOMARCH[[#This Row],[Structure Line]],1)-1))</f>
        <v>SCP522</v>
      </c>
      <c r="D21" t="str">
        <f>MID(TableOMARCH[[#This Row],[Structure Line]],FIND(" ",TableOMARCH[[#This Row],[Structure Line]])+1,256)</f>
        <v>Pathways to a Climate Resilient Society</v>
      </c>
      <c r="E21" s="47">
        <f>TableOMARCH[[#This Row],[Credit Points]]</f>
        <v>25</v>
      </c>
      <c r="F21">
        <v>6</v>
      </c>
      <c r="G21" t="s">
        <v>70</v>
      </c>
      <c r="H21">
        <v>1</v>
      </c>
      <c r="I21" t="s">
        <v>207</v>
      </c>
      <c r="J21" t="s">
        <v>36</v>
      </c>
      <c r="K21">
        <v>2</v>
      </c>
      <c r="L21" t="s">
        <v>227</v>
      </c>
      <c r="M21">
        <v>25</v>
      </c>
      <c r="N21" s="61">
        <v>44013</v>
      </c>
      <c r="O21" s="61"/>
      <c r="Q21" t="s">
        <v>36</v>
      </c>
      <c r="R21">
        <v>2</v>
      </c>
    </row>
    <row r="22" spans="1:18" x14ac:dyDescent="0.25">
      <c r="A22" s="44" t="str">
        <f>TableOMARCH[[#This Row],[Study Package Code]]</f>
        <v>SUST5013</v>
      </c>
      <c r="B22" s="3">
        <f>TableOMARCH[[#This Row],[Ver]]</f>
        <v>2</v>
      </c>
      <c r="C22" t="str">
        <f>LEFT(TableOMARCH[[#This Row],[Structure Line]],(FIND(" ",TableOMARCH[[#This Row],[Structure Line]],1)-1))</f>
        <v>SCP543</v>
      </c>
      <c r="D22" t="str">
        <f>MID(TableOMARCH[[#This Row],[Structure Line]],FIND(" ",TableOMARCH[[#This Row],[Structure Line]])+1,256)</f>
        <v>Future Cities</v>
      </c>
      <c r="E22" s="47">
        <f>TableOMARCH[[#This Row],[Credit Points]]</f>
        <v>25</v>
      </c>
      <c r="F22">
        <v>6</v>
      </c>
      <c r="G22" t="s">
        <v>70</v>
      </c>
      <c r="H22">
        <v>1</v>
      </c>
      <c r="I22" t="s">
        <v>207</v>
      </c>
      <c r="J22" t="s">
        <v>38</v>
      </c>
      <c r="K22">
        <v>2</v>
      </c>
      <c r="L22" t="s">
        <v>228</v>
      </c>
      <c r="M22">
        <v>25</v>
      </c>
      <c r="N22" s="61">
        <v>44013</v>
      </c>
      <c r="O22" s="61"/>
      <c r="Q22" t="s">
        <v>38</v>
      </c>
      <c r="R22">
        <v>2</v>
      </c>
    </row>
    <row r="23" spans="1:18" x14ac:dyDescent="0.25">
      <c r="A23" s="44" t="str">
        <f>TableOMARCH[[#This Row],[Study Package Code]]</f>
        <v>SUST5016</v>
      </c>
      <c r="B23" s="3">
        <f>TableOMARCH[[#This Row],[Ver]]</f>
        <v>1</v>
      </c>
      <c r="C23" t="str">
        <f>LEFT(TableOMARCH[[#This Row],[Structure Line]],(FIND(" ",TableOMARCH[[#This Row],[Structure Line]],1)-1))</f>
        <v>SCP547</v>
      </c>
      <c r="D23" t="str">
        <f>MID(TableOMARCH[[#This Row],[Structure Line]],FIND(" ",TableOMARCH[[#This Row],[Structure Line]])+1,256)</f>
        <v>Climate Policy</v>
      </c>
      <c r="E23" s="47">
        <f>TableOMARCH[[#This Row],[Credit Points]]</f>
        <v>25</v>
      </c>
      <c r="F23">
        <v>6</v>
      </c>
      <c r="G23" t="s">
        <v>70</v>
      </c>
      <c r="H23">
        <v>1</v>
      </c>
      <c r="I23" t="s">
        <v>207</v>
      </c>
      <c r="J23" t="s">
        <v>40</v>
      </c>
      <c r="K23">
        <v>1</v>
      </c>
      <c r="L23" t="s">
        <v>229</v>
      </c>
      <c r="M23">
        <v>25</v>
      </c>
      <c r="N23" s="61">
        <v>42005</v>
      </c>
      <c r="O23" s="61"/>
      <c r="Q23" t="s">
        <v>40</v>
      </c>
      <c r="R23">
        <v>1</v>
      </c>
    </row>
    <row r="24" spans="1:18" x14ac:dyDescent="0.25">
      <c r="A24" s="44" t="str">
        <f>TableOMARCH[[#This Row],[Study Package Code]]</f>
        <v>SUST5019</v>
      </c>
      <c r="B24" s="3">
        <f>TableOMARCH[[#This Row],[Ver]]</f>
        <v>2</v>
      </c>
      <c r="C24" t="str">
        <f>LEFT(TableOMARCH[[#This Row],[Structure Line]],(FIND(" ",TableOMARCH[[#This Row],[Structure Line]],1)-1))</f>
        <v>SCP548</v>
      </c>
      <c r="D24" t="str">
        <f>MID(TableOMARCH[[#This Row],[Structure Line]],FIND(" ",TableOMARCH[[#This Row],[Structure Line]])+1,256)</f>
        <v>People and Planet</v>
      </c>
      <c r="E24" s="47">
        <f>TableOMARCH[[#This Row],[Credit Points]]</f>
        <v>25</v>
      </c>
      <c r="F24">
        <v>6</v>
      </c>
      <c r="G24" t="s">
        <v>70</v>
      </c>
      <c r="H24">
        <v>1</v>
      </c>
      <c r="I24" t="s">
        <v>207</v>
      </c>
      <c r="J24" t="s">
        <v>41</v>
      </c>
      <c r="K24">
        <v>2</v>
      </c>
      <c r="L24" t="s">
        <v>230</v>
      </c>
      <c r="M24">
        <v>25</v>
      </c>
      <c r="N24" s="61">
        <v>44013</v>
      </c>
      <c r="O24" s="61"/>
      <c r="Q24" t="s">
        <v>41</v>
      </c>
      <c r="R24">
        <v>2</v>
      </c>
    </row>
    <row r="25" spans="1:18" x14ac:dyDescent="0.25">
      <c r="A25" s="44" t="str">
        <f>TableOMARCH[[#This Row],[Study Package Code]]</f>
        <v>URDE5015</v>
      </c>
      <c r="B25" s="3">
        <f>TableOMARCH[[#This Row],[Ver]]</f>
        <v>3</v>
      </c>
      <c r="C25" t="str">
        <f>LEFT(TableOMARCH[[#This Row],[Structure Line]],(FIND(" ",TableOMARCH[[#This Row],[Structure Line]],1)-1))</f>
        <v>URP530</v>
      </c>
      <c r="D25" t="str">
        <f>MID(TableOMARCH[[#This Row],[Structure Line]],FIND(" ",TableOMARCH[[#This Row],[Structure Line]])+1,256)</f>
        <v>Planning Theory and Context</v>
      </c>
      <c r="E25" s="47">
        <f>TableOMARCH[[#This Row],[Credit Points]]</f>
        <v>25</v>
      </c>
      <c r="F25">
        <v>6</v>
      </c>
      <c r="G25" t="s">
        <v>70</v>
      </c>
      <c r="H25">
        <v>1</v>
      </c>
      <c r="I25" t="s">
        <v>207</v>
      </c>
      <c r="J25" t="s">
        <v>43</v>
      </c>
      <c r="K25">
        <v>3</v>
      </c>
      <c r="L25" t="s">
        <v>231</v>
      </c>
      <c r="M25">
        <v>25</v>
      </c>
      <c r="N25" s="61">
        <v>44562</v>
      </c>
      <c r="O25" s="61"/>
      <c r="Q25" t="s">
        <v>43</v>
      </c>
      <c r="R25">
        <v>3</v>
      </c>
    </row>
    <row r="26" spans="1:18" x14ac:dyDescent="0.25">
      <c r="A26" s="44" t="str">
        <f>TableOMARCH[[#This Row],[Study Package Code]]</f>
        <v>URDE5016</v>
      </c>
      <c r="B26" s="3">
        <f>TableOMARCH[[#This Row],[Ver]]</f>
        <v>1</v>
      </c>
      <c r="C26" t="str">
        <f>LEFT(TableOMARCH[[#This Row],[Structure Line]],(FIND(" ",TableOMARCH[[#This Row],[Structure Line]],1)-1))</f>
        <v>URP500</v>
      </c>
      <c r="D26" t="str">
        <f>MID(TableOMARCH[[#This Row],[Structure Line]],FIND(" ",TableOMARCH[[#This Row],[Structure Line]])+1,256)</f>
        <v>Planning Law</v>
      </c>
      <c r="E26" s="47">
        <f>TableOMARCH[[#This Row],[Credit Points]]</f>
        <v>25</v>
      </c>
      <c r="F26">
        <v>6</v>
      </c>
      <c r="G26" t="s">
        <v>70</v>
      </c>
      <c r="H26">
        <v>1</v>
      </c>
      <c r="I26" t="s">
        <v>207</v>
      </c>
      <c r="J26" t="s">
        <v>44</v>
      </c>
      <c r="K26">
        <v>1</v>
      </c>
      <c r="L26" t="s">
        <v>232</v>
      </c>
      <c r="M26">
        <v>25</v>
      </c>
      <c r="N26" s="61">
        <v>42005</v>
      </c>
      <c r="O26" s="61"/>
      <c r="Q26" t="s">
        <v>44</v>
      </c>
      <c r="R26">
        <v>1</v>
      </c>
    </row>
    <row r="27" spans="1:18" x14ac:dyDescent="0.25">
      <c r="A27" s="44" t="str">
        <f>TableOMARCH[[#This Row],[Study Package Code]]</f>
        <v>URDE5031</v>
      </c>
      <c r="B27" s="3">
        <f>TableOMARCH[[#This Row],[Ver]]</f>
        <v>2</v>
      </c>
      <c r="C27" t="str">
        <f>LEFT(TableOMARCH[[#This Row],[Structure Line]],(FIND(" ",TableOMARCH[[#This Row],[Structure Line]],1)-1))</f>
        <v>URP515</v>
      </c>
      <c r="D27" t="str">
        <f>MID(TableOMARCH[[#This Row],[Structure Line]],FIND(" ",TableOMARCH[[#This Row],[Structure Line]])+1,256)</f>
        <v>Development Outcomes</v>
      </c>
      <c r="E27" s="47">
        <f>TableOMARCH[[#This Row],[Credit Points]]</f>
        <v>25</v>
      </c>
      <c r="F27">
        <v>6</v>
      </c>
      <c r="G27" t="s">
        <v>70</v>
      </c>
      <c r="H27">
        <v>1</v>
      </c>
      <c r="I27" t="s">
        <v>207</v>
      </c>
      <c r="J27" t="s">
        <v>45</v>
      </c>
      <c r="K27">
        <v>2</v>
      </c>
      <c r="L27" t="s">
        <v>233</v>
      </c>
      <c r="M27">
        <v>25</v>
      </c>
      <c r="N27" s="61">
        <v>45383</v>
      </c>
      <c r="O27" s="61"/>
      <c r="Q27" t="s">
        <v>45</v>
      </c>
      <c r="R27">
        <v>2</v>
      </c>
    </row>
    <row r="28" spans="1:18" x14ac:dyDescent="0.25">
      <c r="A28" s="44" t="str">
        <f>TableOMARCH[[#This Row],[Study Package Code]]</f>
        <v>URDE6003</v>
      </c>
      <c r="B28" s="3">
        <f>TableOMARCH[[#This Row],[Ver]]</f>
        <v>2</v>
      </c>
      <c r="C28" t="str">
        <f>LEFT(TableOMARCH[[#This Row],[Structure Line]],(FIND(" ",TableOMARCH[[#This Row],[Structure Line]],1)-1))</f>
        <v>URP600</v>
      </c>
      <c r="D28" t="str">
        <f>MID(TableOMARCH[[#This Row],[Structure Line]],FIND(" ",TableOMARCH[[#This Row],[Structure Line]])+1,256)</f>
        <v>Urban Transport Systems</v>
      </c>
      <c r="E28" s="47">
        <f>TableOMARCH[[#This Row],[Credit Points]]</f>
        <v>25</v>
      </c>
      <c r="F28">
        <v>6</v>
      </c>
      <c r="G28" t="s">
        <v>70</v>
      </c>
      <c r="H28">
        <v>1</v>
      </c>
      <c r="I28" t="s">
        <v>207</v>
      </c>
      <c r="J28" t="s">
        <v>46</v>
      </c>
      <c r="K28">
        <v>2</v>
      </c>
      <c r="L28" t="s">
        <v>234</v>
      </c>
      <c r="M28">
        <v>25</v>
      </c>
      <c r="N28" s="61">
        <v>44197</v>
      </c>
      <c r="O28" s="61"/>
      <c r="Q28" t="s">
        <v>46</v>
      </c>
      <c r="R28">
        <v>2</v>
      </c>
    </row>
    <row r="29" spans="1:18" x14ac:dyDescent="0.25">
      <c r="A29" s="44" t="str">
        <f>TableOMARCH[[#This Row],[Study Package Code]]</f>
        <v>URDE6004</v>
      </c>
      <c r="B29" s="3">
        <f>TableOMARCH[[#This Row],[Ver]]</f>
        <v>1</v>
      </c>
      <c r="C29" t="str">
        <f>LEFT(TableOMARCH[[#This Row],[Structure Line]],(FIND(" ",TableOMARCH[[#This Row],[Structure Line]],1)-1))</f>
        <v>URP640</v>
      </c>
      <c r="D29" t="str">
        <f>MID(TableOMARCH[[#This Row],[Structure Line]],FIND(" ",TableOMARCH[[#This Row],[Structure Line]])+1,256)</f>
        <v>Participatory Planning</v>
      </c>
      <c r="E29" s="47">
        <f>TableOMARCH[[#This Row],[Credit Points]]</f>
        <v>25</v>
      </c>
      <c r="F29">
        <v>6</v>
      </c>
      <c r="G29" t="s">
        <v>70</v>
      </c>
      <c r="H29">
        <v>1</v>
      </c>
      <c r="I29" t="s">
        <v>207</v>
      </c>
      <c r="J29" t="s">
        <v>47</v>
      </c>
      <c r="K29">
        <v>1</v>
      </c>
      <c r="L29" t="s">
        <v>235</v>
      </c>
      <c r="M29">
        <v>25</v>
      </c>
      <c r="N29" s="61">
        <v>42005</v>
      </c>
      <c r="O29" s="61"/>
      <c r="Q29" t="s">
        <v>47</v>
      </c>
      <c r="R29">
        <v>1</v>
      </c>
    </row>
    <row r="30" spans="1:18" x14ac:dyDescent="0.25">
      <c r="A30" s="44" t="str">
        <f>TableOMARCH[[#This Row],[Study Package Code]]</f>
        <v>WORK5001</v>
      </c>
      <c r="B30" s="3">
        <f>TableOMARCH[[#This Row],[Ver]]</f>
        <v>1</v>
      </c>
      <c r="C30" t="str">
        <f>LEFT(TableOMARCH[[#This Row],[Structure Line]],(FIND(" ",TableOMARCH[[#This Row],[Structure Line]],1)-1))</f>
        <v>WBP500</v>
      </c>
      <c r="D30" t="str">
        <f>MID(TableOMARCH[[#This Row],[Structure Line]],FIND(" ",TableOMARCH[[#This Row],[Structure Line]])+1,256)</f>
        <v>Work Based Project</v>
      </c>
      <c r="E30" s="47">
        <f>TableOMARCH[[#This Row],[Credit Points]]</f>
        <v>25</v>
      </c>
      <c r="F30">
        <v>6</v>
      </c>
      <c r="G30" t="s">
        <v>70</v>
      </c>
      <c r="H30">
        <v>1</v>
      </c>
      <c r="I30" t="s">
        <v>207</v>
      </c>
      <c r="J30" t="s">
        <v>48</v>
      </c>
      <c r="K30">
        <v>1</v>
      </c>
      <c r="L30" t="s">
        <v>236</v>
      </c>
      <c r="M30">
        <v>25</v>
      </c>
      <c r="N30" s="61">
        <v>44287</v>
      </c>
      <c r="O30" s="61"/>
      <c r="Q30" t="s">
        <v>48</v>
      </c>
      <c r="R30">
        <v>1</v>
      </c>
    </row>
    <row r="31" spans="1:18" x14ac:dyDescent="0.25">
      <c r="A31" s="44" t="str">
        <f>TableOMARCH[[#This Row],[Study Package Code]]</f>
        <v>XINO5020</v>
      </c>
      <c r="B31" s="3">
        <f>TableOMARCH[[#This Row],[Ver]]</f>
        <v>1</v>
      </c>
      <c r="C31" t="str">
        <f>LEFT(TableOMARCH[[#This Row],[Structure Line]],(FIND(" ",TableOMARCH[[#This Row],[Structure Line]],1)-1))</f>
        <v>SBE500</v>
      </c>
      <c r="D31" t="str">
        <f>MID(TableOMARCH[[#This Row],[Structure Line]],FIND(" ",TableOMARCH[[#This Row],[Structure Line]])+1,256)</f>
        <v>International Study Tour</v>
      </c>
      <c r="E31" s="47">
        <f>TableOMARCH[[#This Row],[Credit Points]]</f>
        <v>25</v>
      </c>
      <c r="F31">
        <v>6</v>
      </c>
      <c r="G31" t="s">
        <v>70</v>
      </c>
      <c r="H31">
        <v>1</v>
      </c>
      <c r="I31" t="s">
        <v>207</v>
      </c>
      <c r="J31" t="s">
        <v>49</v>
      </c>
      <c r="K31">
        <v>1</v>
      </c>
      <c r="L31" t="s">
        <v>237</v>
      </c>
      <c r="M31">
        <v>25</v>
      </c>
      <c r="N31" s="61">
        <v>43009</v>
      </c>
      <c r="O31" s="61"/>
      <c r="Q31" t="s">
        <v>49</v>
      </c>
      <c r="R31">
        <v>1</v>
      </c>
    </row>
    <row r="33" spans="1:18" ht="18.75" x14ac:dyDescent="0.3">
      <c r="F33" s="48"/>
      <c r="G33" s="58" t="s">
        <v>193</v>
      </c>
      <c r="H33" s="69">
        <v>44927</v>
      </c>
      <c r="I33" s="59"/>
      <c r="J33" s="70" t="s">
        <v>84</v>
      </c>
      <c r="K33" s="71" t="s">
        <v>85</v>
      </c>
      <c r="L33" s="59" t="s">
        <v>83</v>
      </c>
      <c r="M33" s="59"/>
      <c r="N33" s="60" t="s">
        <v>194</v>
      </c>
      <c r="O33" s="57">
        <v>45523</v>
      </c>
    </row>
    <row r="34" spans="1:18" x14ac:dyDescent="0.25">
      <c r="A34" t="s">
        <v>0</v>
      </c>
      <c r="B34" t="s">
        <v>195</v>
      </c>
      <c r="C34" t="s">
        <v>18</v>
      </c>
      <c r="D34" t="s">
        <v>3</v>
      </c>
      <c r="E34" s="46" t="s">
        <v>196</v>
      </c>
      <c r="F34" t="s">
        <v>197</v>
      </c>
      <c r="G34" t="s">
        <v>198</v>
      </c>
      <c r="H34" t="s">
        <v>199</v>
      </c>
      <c r="I34" t="s">
        <v>19</v>
      </c>
      <c r="J34" t="s">
        <v>200</v>
      </c>
      <c r="K34" t="s">
        <v>1</v>
      </c>
      <c r="L34" t="s">
        <v>201</v>
      </c>
      <c r="M34" t="s">
        <v>76</v>
      </c>
      <c r="N34" t="s">
        <v>202</v>
      </c>
      <c r="O34" s="57" t="s">
        <v>203</v>
      </c>
      <c r="Q34" t="s">
        <v>204</v>
      </c>
      <c r="R34" t="s">
        <v>205</v>
      </c>
    </row>
    <row r="35" spans="1:18" x14ac:dyDescent="0.25">
      <c r="A35" s="44" t="str">
        <f>TableOWARCH[[#This Row],[Study Package Code]]</f>
        <v>URDE6007</v>
      </c>
      <c r="B35" s="3">
        <f>TableOWARCH[[#This Row],[Ver]]</f>
        <v>1</v>
      </c>
      <c r="C35" t="str">
        <f>LEFT(TableOWARCH[[#This Row],[Structure Line]],(FIND(" ",TableOWARCH[[#This Row],[Structure Line]],1)-1))</f>
        <v>DBE600</v>
      </c>
      <c r="D35" t="str">
        <f>MID(TableOWARCH[[#This Row],[Structure Line]],FIND(" ",TableOWARCH[[#This Row],[Structure Line]])+1,256)</f>
        <v>Design and Built Environment Research Methods</v>
      </c>
      <c r="E35" s="47">
        <f>TableOWARCH[[#This Row],[Credit Points]]</f>
        <v>25</v>
      </c>
      <c r="F35">
        <v>1</v>
      </c>
      <c r="G35" t="s">
        <v>206</v>
      </c>
      <c r="H35">
        <v>1</v>
      </c>
      <c r="I35" t="s">
        <v>207</v>
      </c>
      <c r="J35" t="s">
        <v>68</v>
      </c>
      <c r="K35">
        <v>1</v>
      </c>
      <c r="L35" t="s">
        <v>209</v>
      </c>
      <c r="M35">
        <v>25</v>
      </c>
      <c r="N35" s="61">
        <v>44562</v>
      </c>
      <c r="O35" s="61"/>
      <c r="Q35" t="s">
        <v>68</v>
      </c>
      <c r="R35">
        <v>1</v>
      </c>
    </row>
    <row r="36" spans="1:18" x14ac:dyDescent="0.25">
      <c r="A36" s="44" t="str">
        <f>TableOWARCH[[#This Row],[Study Package Code]]</f>
        <v>ARCH5017</v>
      </c>
      <c r="B36" s="3">
        <f>TableOWARCH[[#This Row],[Ver]]</f>
        <v>3</v>
      </c>
      <c r="C36" t="str">
        <f>LEFT(TableOWARCH[[#This Row],[Structure Line]],(FIND(" ",TableOWARCH[[#This Row],[Structure Line]],1)-1))</f>
        <v>MAA401</v>
      </c>
      <c r="D36" t="str">
        <f>MID(TableOWARCH[[#This Row],[Structure Line]],FIND(" ",TableOWARCH[[#This Row],[Structure Line]])+1,256)</f>
        <v>Architecture and Culture Research Topics and Methods</v>
      </c>
      <c r="E36" s="47">
        <f>TableOWARCH[[#This Row],[Credit Points]]</f>
        <v>25</v>
      </c>
      <c r="F36">
        <v>2</v>
      </c>
      <c r="G36" t="s">
        <v>206</v>
      </c>
      <c r="H36">
        <v>1</v>
      </c>
      <c r="I36" t="s">
        <v>207</v>
      </c>
      <c r="J36" t="s">
        <v>61</v>
      </c>
      <c r="K36">
        <v>3</v>
      </c>
      <c r="L36" t="s">
        <v>208</v>
      </c>
      <c r="M36">
        <v>25</v>
      </c>
      <c r="N36" s="61">
        <v>45108</v>
      </c>
      <c r="O36" s="61"/>
      <c r="Q36" t="s">
        <v>61</v>
      </c>
      <c r="R36">
        <v>3</v>
      </c>
    </row>
    <row r="37" spans="1:18" x14ac:dyDescent="0.25">
      <c r="A37" s="44" t="str">
        <f>TableOWARCH[[#This Row],[Study Package Code]]</f>
        <v>ARCH5018</v>
      </c>
      <c r="B37" s="3">
        <f>TableOWARCH[[#This Row],[Ver]]</f>
        <v>2</v>
      </c>
      <c r="C37" t="str">
        <f>LEFT(TableOWARCH[[#This Row],[Structure Line]],(FIND(" ",TableOWARCH[[#This Row],[Structure Line]],1)-1))</f>
        <v>MAA402</v>
      </c>
      <c r="D37" t="str">
        <f>MID(TableOWARCH[[#This Row],[Structure Line]],FIND(" ",TableOWARCH[[#This Row],[Structure Line]])+1,256)</f>
        <v>Architectural Systems and Research Methods</v>
      </c>
      <c r="E37" s="47">
        <f>TableOWARCH[[#This Row],[Credit Points]]</f>
        <v>25</v>
      </c>
      <c r="F37">
        <v>3</v>
      </c>
      <c r="G37" t="s">
        <v>206</v>
      </c>
      <c r="H37">
        <v>1</v>
      </c>
      <c r="I37" t="s">
        <v>207</v>
      </c>
      <c r="J37" t="s">
        <v>82</v>
      </c>
      <c r="K37">
        <v>2</v>
      </c>
      <c r="L37" t="s">
        <v>212</v>
      </c>
      <c r="M37">
        <v>25</v>
      </c>
      <c r="N37" s="61">
        <v>43101</v>
      </c>
      <c r="O37" s="61"/>
      <c r="Q37" t="s">
        <v>82</v>
      </c>
      <c r="R37">
        <v>2</v>
      </c>
    </row>
    <row r="38" spans="1:18" x14ac:dyDescent="0.25">
      <c r="A38" s="44" t="str">
        <f>TableOWARCH[[#This Row],[Study Package Code]]</f>
        <v>ARCH5032</v>
      </c>
      <c r="B38" s="3">
        <f>TableOWARCH[[#This Row],[Ver]]</f>
        <v>1</v>
      </c>
      <c r="C38" t="str">
        <f>LEFT(TableOWARCH[[#This Row],[Structure Line]],(FIND(" ",TableOWARCH[[#This Row],[Structure Line]],1)-1))</f>
        <v>MAA520</v>
      </c>
      <c r="D38" t="str">
        <f>MID(TableOWARCH[[#This Row],[Structure Line]],FIND(" ",TableOWARCH[[#This Row],[Structure Line]])+1,256)</f>
        <v>Urban Design Studio</v>
      </c>
      <c r="E38" s="47">
        <f>TableOWARCH[[#This Row],[Credit Points]]</f>
        <v>50</v>
      </c>
      <c r="F38">
        <v>4</v>
      </c>
      <c r="G38" t="s">
        <v>206</v>
      </c>
      <c r="H38">
        <v>1</v>
      </c>
      <c r="I38" t="s">
        <v>207</v>
      </c>
      <c r="J38" t="s">
        <v>86</v>
      </c>
      <c r="K38">
        <v>1</v>
      </c>
      <c r="L38" t="s">
        <v>211</v>
      </c>
      <c r="M38">
        <v>50</v>
      </c>
      <c r="N38" s="61">
        <v>44927</v>
      </c>
      <c r="O38" s="61"/>
      <c r="Q38" t="s">
        <v>86</v>
      </c>
      <c r="R38">
        <v>1</v>
      </c>
    </row>
    <row r="39" spans="1:18" x14ac:dyDescent="0.25">
      <c r="A39" s="44" t="str">
        <f>TableOWARCH[[#This Row],[Study Package Code]]</f>
        <v>ARCH5034</v>
      </c>
      <c r="B39" s="3">
        <f>TableOWARCH[[#This Row],[Ver]]</f>
        <v>1</v>
      </c>
      <c r="C39" t="str">
        <f>LEFT(TableOWARCH[[#This Row],[Structure Line]],(FIND(" ",TableOWARCH[[#This Row],[Structure Line]],1)-1))</f>
        <v>MAA530</v>
      </c>
      <c r="D39" t="str">
        <f>MID(TableOWARCH[[#This Row],[Structure Line]],FIND(" ",TableOWARCH[[#This Row],[Structure Line]])+1,256)</f>
        <v>Complex Buildings Studio</v>
      </c>
      <c r="E39" s="47">
        <f>TableOWARCH[[#This Row],[Credit Points]]</f>
        <v>50</v>
      </c>
      <c r="F39">
        <v>5</v>
      </c>
      <c r="G39" t="s">
        <v>206</v>
      </c>
      <c r="H39">
        <v>1</v>
      </c>
      <c r="I39" t="s">
        <v>207</v>
      </c>
      <c r="J39" t="s">
        <v>63</v>
      </c>
      <c r="K39">
        <v>1</v>
      </c>
      <c r="L39" t="s">
        <v>210</v>
      </c>
      <c r="M39">
        <v>50</v>
      </c>
      <c r="N39" s="61">
        <v>44927</v>
      </c>
      <c r="O39" s="61"/>
      <c r="Q39" t="s">
        <v>63</v>
      </c>
      <c r="R39">
        <v>1</v>
      </c>
    </row>
    <row r="40" spans="1:18" x14ac:dyDescent="0.25">
      <c r="A40" s="44" t="str">
        <f>TableOWARCH[[#This Row],[Study Package Code]]</f>
        <v>ARCH6024</v>
      </c>
      <c r="B40" s="3">
        <f>TableOWARCH[[#This Row],[Ver]]</f>
        <v>2</v>
      </c>
      <c r="C40" t="str">
        <f>LEFT(TableOWARCH[[#This Row],[Structure Line]],(FIND(" ",TableOWARCH[[#This Row],[Structure Line]],1)-1))</f>
        <v>MAA640</v>
      </c>
      <c r="D40" t="str">
        <f>MID(TableOWARCH[[#This Row],[Structure Line]],FIND(" ",TableOWARCH[[#This Row],[Structure Line]])+1,256)</f>
        <v>Architectural Thesis Project 1</v>
      </c>
      <c r="E40" s="47">
        <f>TableOWARCH[[#This Row],[Credit Points]]</f>
        <v>25</v>
      </c>
      <c r="F40">
        <v>6</v>
      </c>
      <c r="G40" t="s">
        <v>206</v>
      </c>
      <c r="H40">
        <v>2</v>
      </c>
      <c r="I40" t="s">
        <v>207</v>
      </c>
      <c r="J40" t="s">
        <v>93</v>
      </c>
      <c r="K40">
        <v>2</v>
      </c>
      <c r="L40" t="s">
        <v>218</v>
      </c>
      <c r="M40">
        <v>25</v>
      </c>
      <c r="N40" s="61">
        <v>45292</v>
      </c>
      <c r="O40" s="61"/>
      <c r="Q40" t="s">
        <v>93</v>
      </c>
      <c r="R40">
        <v>2</v>
      </c>
    </row>
    <row r="41" spans="1:18" x14ac:dyDescent="0.25">
      <c r="A41" s="44" t="str">
        <f>TableOWARCH[[#This Row],[Study Package Code]]</f>
        <v>ARCH6018</v>
      </c>
      <c r="B41" s="3">
        <f>TableOWARCH[[#This Row],[Ver]]</f>
        <v>1</v>
      </c>
      <c r="C41" t="str">
        <f>LEFT(TableOWARCH[[#This Row],[Structure Line]],(FIND(" ",TableOWARCH[[#This Row],[Structure Line]],1)-1))</f>
        <v>MAA600</v>
      </c>
      <c r="D41" t="str">
        <f>MID(TableOWARCH[[#This Row],[Structure Line]],FIND(" ",TableOWARCH[[#This Row],[Structure Line]])+1,256)</f>
        <v>Praxis Studio</v>
      </c>
      <c r="E41" s="47">
        <f>TableOWARCH[[#This Row],[Credit Points]]</f>
        <v>50</v>
      </c>
      <c r="F41">
        <v>7</v>
      </c>
      <c r="G41" t="s">
        <v>206</v>
      </c>
      <c r="H41">
        <v>2</v>
      </c>
      <c r="I41" t="s">
        <v>207</v>
      </c>
      <c r="J41" t="s">
        <v>65</v>
      </c>
      <c r="K41">
        <v>1</v>
      </c>
      <c r="L41" t="s">
        <v>216</v>
      </c>
      <c r="M41">
        <v>50</v>
      </c>
      <c r="N41" s="61">
        <v>44927</v>
      </c>
      <c r="O41" s="61"/>
      <c r="Q41" t="s">
        <v>65</v>
      </c>
      <c r="R41">
        <v>1</v>
      </c>
    </row>
    <row r="42" spans="1:18" x14ac:dyDescent="0.25">
      <c r="A42" s="44" t="str">
        <f>TableOWARCH[[#This Row],[Study Package Code]]</f>
        <v>ARCH6020</v>
      </c>
      <c r="B42" s="3">
        <f>TableOWARCH[[#This Row],[Ver]]</f>
        <v>1</v>
      </c>
      <c r="C42" t="str">
        <f>LEFT(TableOWARCH[[#This Row],[Structure Line]],(FIND(" ",TableOWARCH[[#This Row],[Structure Line]],1)-1))</f>
        <v>MAA610</v>
      </c>
      <c r="D42" t="str">
        <f>MID(TableOWARCH[[#This Row],[Structure Line]],FIND(" ",TableOWARCH[[#This Row],[Structure Line]])+1,256)</f>
        <v>Architectural Thesis Project 2</v>
      </c>
      <c r="E42" s="47">
        <f>TableOWARCH[[#This Row],[Credit Points]]</f>
        <v>50</v>
      </c>
      <c r="F42">
        <v>8</v>
      </c>
      <c r="G42" t="s">
        <v>206</v>
      </c>
      <c r="H42">
        <v>2</v>
      </c>
      <c r="I42" t="s">
        <v>207</v>
      </c>
      <c r="J42" t="s">
        <v>104</v>
      </c>
      <c r="K42">
        <v>1</v>
      </c>
      <c r="L42" t="s">
        <v>219</v>
      </c>
      <c r="M42">
        <v>50</v>
      </c>
      <c r="N42" s="61">
        <v>44927</v>
      </c>
      <c r="O42" s="61"/>
      <c r="Q42" t="s">
        <v>104</v>
      </c>
      <c r="R42">
        <v>1</v>
      </c>
    </row>
    <row r="43" spans="1:18" x14ac:dyDescent="0.25">
      <c r="A43" s="44" t="str">
        <f>TableOWARCH[[#This Row],[Study Package Code]]</f>
        <v>ARCH6022</v>
      </c>
      <c r="B43" s="3">
        <f>TableOWARCH[[#This Row],[Ver]]</f>
        <v>1</v>
      </c>
      <c r="C43" t="str">
        <f>LEFT(TableOWARCH[[#This Row],[Structure Line]],(FIND(" ",TableOWARCH[[#This Row],[Structure Line]],1)-1))</f>
        <v>MAA620</v>
      </c>
      <c r="D43" t="str">
        <f>MID(TableOWARCH[[#This Row],[Structure Line]],FIND(" ",TableOWARCH[[#This Row],[Structure Line]])+1,256)</f>
        <v>Architectural Practical Experience</v>
      </c>
      <c r="E43" s="47">
        <f>TableOWARCH[[#This Row],[Credit Points]]</f>
        <v>25</v>
      </c>
      <c r="F43">
        <v>9</v>
      </c>
      <c r="G43" t="s">
        <v>206</v>
      </c>
      <c r="H43">
        <v>2</v>
      </c>
      <c r="I43" t="s">
        <v>207</v>
      </c>
      <c r="J43" t="s">
        <v>101</v>
      </c>
      <c r="K43">
        <v>1</v>
      </c>
      <c r="L43" t="s">
        <v>215</v>
      </c>
      <c r="M43">
        <v>25</v>
      </c>
      <c r="N43" s="61">
        <v>44927</v>
      </c>
      <c r="O43" s="61"/>
      <c r="Q43" t="s">
        <v>101</v>
      </c>
      <c r="R43">
        <v>1</v>
      </c>
    </row>
    <row r="44" spans="1:18" x14ac:dyDescent="0.25">
      <c r="A44" s="44" t="str">
        <f>TableOWARCH[[#This Row],[Study Package Code]]</f>
        <v>ARCH6023</v>
      </c>
      <c r="B44" s="3">
        <f>TableOWARCH[[#This Row],[Ver]]</f>
        <v>1</v>
      </c>
      <c r="C44" t="str">
        <f>LEFT(TableOWARCH[[#This Row],[Structure Line]],(FIND(" ",TableOWARCH[[#This Row],[Structure Line]],1)-1))</f>
        <v>MAA630</v>
      </c>
      <c r="D44" t="str">
        <f>MID(TableOWARCH[[#This Row],[Structure Line]],FIND(" ",TableOWARCH[[#This Row],[Structure Line]])+1,256)</f>
        <v>Architectural Professional Project Delivery</v>
      </c>
      <c r="E44" s="47">
        <f>TableOWARCH[[#This Row],[Credit Points]]</f>
        <v>25</v>
      </c>
      <c r="F44">
        <v>10</v>
      </c>
      <c r="G44" t="s">
        <v>206</v>
      </c>
      <c r="H44">
        <v>2</v>
      </c>
      <c r="I44" t="s">
        <v>207</v>
      </c>
      <c r="J44" t="s">
        <v>100</v>
      </c>
      <c r="K44">
        <v>1</v>
      </c>
      <c r="L44" t="s">
        <v>220</v>
      </c>
      <c r="M44">
        <v>25</v>
      </c>
      <c r="N44" s="61">
        <v>44927</v>
      </c>
      <c r="O44" s="61"/>
      <c r="Q44" t="s">
        <v>100</v>
      </c>
      <c r="R44">
        <v>1</v>
      </c>
    </row>
    <row r="45" spans="1:18" x14ac:dyDescent="0.25">
      <c r="A45" s="44" t="str">
        <f>TableOWARCH[[#This Row],[Study Package Code]]</f>
        <v>ARCH6025</v>
      </c>
      <c r="B45" s="3">
        <f>TableOWARCH[[#This Row],[Ver]]</f>
        <v>1</v>
      </c>
      <c r="C45" t="str">
        <f>LEFT(TableOWARCH[[#This Row],[Structure Line]],(FIND(" ",TableOWARCH[[#This Row],[Structure Line]],1)-1))</f>
        <v>MAA650</v>
      </c>
      <c r="D45" t="str">
        <f>MID(TableOWARCH[[#This Row],[Structure Line]],FIND(" ",TableOWARCH[[#This Row],[Structure Line]])+1,256)</f>
        <v>Architectural Practice Management</v>
      </c>
      <c r="E45" s="47">
        <f>TableOWARCH[[#This Row],[Credit Points]]</f>
        <v>25</v>
      </c>
      <c r="F45">
        <v>11</v>
      </c>
      <c r="G45" t="s">
        <v>206</v>
      </c>
      <c r="H45">
        <v>2</v>
      </c>
      <c r="I45" t="s">
        <v>207</v>
      </c>
      <c r="J45" t="s">
        <v>96</v>
      </c>
      <c r="K45">
        <v>1</v>
      </c>
      <c r="L45" t="s">
        <v>217</v>
      </c>
      <c r="M45">
        <v>25</v>
      </c>
      <c r="N45" s="61">
        <v>44927</v>
      </c>
      <c r="O45" s="61"/>
      <c r="Q45" t="s">
        <v>96</v>
      </c>
      <c r="R45">
        <v>1</v>
      </c>
    </row>
    <row r="46" spans="1:18" x14ac:dyDescent="0.25">
      <c r="A46" s="44" t="str">
        <f>TableOWARCH[[#This Row],[Study Package Code]]</f>
        <v>Option</v>
      </c>
      <c r="B46" s="3">
        <f>TableOWARCH[[#This Row],[Ver]]</f>
        <v>0</v>
      </c>
      <c r="D46" t="str">
        <f>TableOWARCH[[#This Row],[Structure Line]]</f>
        <v>Choose an Option</v>
      </c>
      <c r="E46" s="47" t="str">
        <f>TableOWARCH[[#This Row],[Credit Points]]</f>
        <v/>
      </c>
      <c r="F46">
        <v>12</v>
      </c>
      <c r="G46" t="s">
        <v>70</v>
      </c>
      <c r="H46">
        <v>1</v>
      </c>
      <c r="I46" t="s">
        <v>207</v>
      </c>
      <c r="J46" t="s">
        <v>70</v>
      </c>
      <c r="K46">
        <v>0</v>
      </c>
      <c r="L46" t="s">
        <v>213</v>
      </c>
      <c r="M46" t="s">
        <v>214</v>
      </c>
      <c r="N46" s="61"/>
      <c r="O46" s="61"/>
      <c r="Q46" t="s">
        <v>70</v>
      </c>
      <c r="R46">
        <v>0</v>
      </c>
    </row>
    <row r="47" spans="1:18" x14ac:dyDescent="0.25">
      <c r="A47" s="44" t="str">
        <f>TableOWARCH[[#This Row],[Study Package Code]]</f>
        <v>ARCH5019</v>
      </c>
      <c r="B47" s="3">
        <f>TableOWARCH[[#This Row],[Ver]]</f>
        <v>2</v>
      </c>
      <c r="C47" t="str">
        <f>LEFT(TableOWARCH[[#This Row],[Structure Line]],(FIND(" ",TableOWARCH[[#This Row],[Structure Line]],1)-1))</f>
        <v>MAA404</v>
      </c>
      <c r="D47" t="str">
        <f>MID(TableOWARCH[[#This Row],[Structure Line]],FIND(" ",TableOWARCH[[#This Row],[Structure Line]])+1,256)</f>
        <v>Advanced Architectural Systems Research Applications</v>
      </c>
      <c r="E47" s="47">
        <f>TableOWARCH[[#This Row],[Credit Points]]</f>
        <v>25</v>
      </c>
      <c r="F47">
        <v>12</v>
      </c>
      <c r="G47" t="s">
        <v>70</v>
      </c>
      <c r="H47">
        <v>1</v>
      </c>
      <c r="I47" t="s">
        <v>207</v>
      </c>
      <c r="J47" t="s">
        <v>125</v>
      </c>
      <c r="K47">
        <v>2</v>
      </c>
      <c r="L47" t="s">
        <v>221</v>
      </c>
      <c r="M47">
        <v>25</v>
      </c>
      <c r="N47" s="61">
        <v>43101</v>
      </c>
      <c r="O47" s="61"/>
      <c r="Q47" t="s">
        <v>125</v>
      </c>
      <c r="R47">
        <v>2</v>
      </c>
    </row>
    <row r="48" spans="1:18" x14ac:dyDescent="0.25">
      <c r="A48" s="44" t="str">
        <f>TableOWARCH[[#This Row],[Study Package Code]]</f>
        <v>ARCH5020</v>
      </c>
      <c r="B48" s="3">
        <f>TableOWARCH[[#This Row],[Ver]]</f>
        <v>2</v>
      </c>
      <c r="C48" t="str">
        <f>LEFT(TableOWARCH[[#This Row],[Structure Line]],(FIND(" ",TableOWARCH[[#This Row],[Structure Line]],1)-1))</f>
        <v>MAA405</v>
      </c>
      <c r="D48" t="str">
        <f>MID(TableOWARCH[[#This Row],[Structure Line]],FIND(" ",TableOWARCH[[#This Row],[Structure Line]])+1,256)</f>
        <v>Architecture and Culture Research Applications</v>
      </c>
      <c r="E48" s="47">
        <f>TableOWARCH[[#This Row],[Credit Points]]</f>
        <v>25</v>
      </c>
      <c r="F48">
        <v>12</v>
      </c>
      <c r="G48" t="s">
        <v>70</v>
      </c>
      <c r="H48">
        <v>1</v>
      </c>
      <c r="I48" t="s">
        <v>207</v>
      </c>
      <c r="J48" t="s">
        <v>129</v>
      </c>
      <c r="K48">
        <v>2</v>
      </c>
      <c r="L48" t="s">
        <v>222</v>
      </c>
      <c r="M48">
        <v>25</v>
      </c>
      <c r="N48" s="61">
        <v>43101</v>
      </c>
      <c r="O48" s="61"/>
      <c r="Q48" t="s">
        <v>129</v>
      </c>
      <c r="R48">
        <v>2</v>
      </c>
    </row>
    <row r="49" spans="1:18" x14ac:dyDescent="0.25">
      <c r="A49" s="44" t="str">
        <f>TableOWARCH[[#This Row],[Study Package Code]]</f>
        <v>PRJM6013</v>
      </c>
      <c r="B49" s="3">
        <f>TableOWARCH[[#This Row],[Ver]]</f>
        <v>2</v>
      </c>
      <c r="C49" t="str">
        <f>LEFT(TableOWARCH[[#This Row],[Structure Line]],(FIND(" ",TableOWARCH[[#This Row],[Structure Line]],1)-1))</f>
        <v>PRM500</v>
      </c>
      <c r="D49" t="str">
        <f>MID(TableOWARCH[[#This Row],[Structure Line]],FIND(" ",TableOWARCH[[#This Row],[Structure Line]])+1,256)</f>
        <v>Project Management Overview</v>
      </c>
      <c r="E49" s="47">
        <f>TableOWARCH[[#This Row],[Credit Points]]</f>
        <v>25</v>
      </c>
      <c r="F49">
        <v>12</v>
      </c>
      <c r="G49" t="s">
        <v>70</v>
      </c>
      <c r="H49">
        <v>1</v>
      </c>
      <c r="I49" t="s">
        <v>207</v>
      </c>
      <c r="J49" s="45" t="s">
        <v>160</v>
      </c>
      <c r="K49" s="45">
        <v>2</v>
      </c>
      <c r="L49" s="45" t="s">
        <v>223</v>
      </c>
      <c r="M49">
        <v>25</v>
      </c>
      <c r="N49" s="61">
        <v>42917</v>
      </c>
      <c r="O49" s="61"/>
      <c r="Q49" t="s">
        <v>160</v>
      </c>
      <c r="R49">
        <v>2</v>
      </c>
    </row>
    <row r="50" spans="1:18" x14ac:dyDescent="0.25">
      <c r="A50" s="44" t="str">
        <f>TableOWARCH[[#This Row],[Study Package Code]]</f>
        <v>PRJM6015</v>
      </c>
      <c r="B50" s="3">
        <f>TableOWARCH[[#This Row],[Ver]]</f>
        <v>1</v>
      </c>
      <c r="C50" t="str">
        <f>LEFT(TableOWARCH[[#This Row],[Structure Line]],(FIND(" ",TableOWARCH[[#This Row],[Structure Line]],1)-1))</f>
        <v>PRM510</v>
      </c>
      <c r="D50" t="str">
        <f>MID(TableOWARCH[[#This Row],[Structure Line]],FIND(" ",TableOWARCH[[#This Row],[Structure Line]])+1,256)</f>
        <v>Project and People</v>
      </c>
      <c r="E50" s="47">
        <f>TableOWARCH[[#This Row],[Credit Points]]</f>
        <v>25</v>
      </c>
      <c r="F50">
        <v>12</v>
      </c>
      <c r="G50" t="s">
        <v>70</v>
      </c>
      <c r="H50">
        <v>1</v>
      </c>
      <c r="I50" t="s">
        <v>207</v>
      </c>
      <c r="J50" s="45" t="s">
        <v>162</v>
      </c>
      <c r="K50" s="45">
        <v>1</v>
      </c>
      <c r="L50" s="45" t="s">
        <v>224</v>
      </c>
      <c r="M50">
        <v>25</v>
      </c>
      <c r="N50" s="61">
        <v>42917</v>
      </c>
      <c r="O50" s="61"/>
      <c r="Q50" t="s">
        <v>162</v>
      </c>
      <c r="R50">
        <v>1</v>
      </c>
    </row>
    <row r="51" spans="1:18" x14ac:dyDescent="0.25">
      <c r="A51" s="44" t="str">
        <f>TableOWARCH[[#This Row],[Study Package Code]]</f>
        <v>PRJM6016</v>
      </c>
      <c r="B51" s="3">
        <f>TableOWARCH[[#This Row],[Ver]]</f>
        <v>1</v>
      </c>
      <c r="C51" t="str">
        <f>LEFT(TableOWARCH[[#This Row],[Structure Line]],(FIND(" ",TableOWARCH[[#This Row],[Structure Line]],1)-1))</f>
        <v>PRM520</v>
      </c>
      <c r="D51" t="str">
        <f>MID(TableOWARCH[[#This Row],[Structure Line]],FIND(" ",TableOWARCH[[#This Row],[Structure Line]])+1,256)</f>
        <v>Project Cost Management</v>
      </c>
      <c r="E51" s="47">
        <f>TableOWARCH[[#This Row],[Credit Points]]</f>
        <v>25</v>
      </c>
      <c r="F51">
        <v>12</v>
      </c>
      <c r="G51" t="s">
        <v>70</v>
      </c>
      <c r="H51">
        <v>1</v>
      </c>
      <c r="I51" t="s">
        <v>207</v>
      </c>
      <c r="J51" s="45" t="s">
        <v>164</v>
      </c>
      <c r="K51" s="45">
        <v>1</v>
      </c>
      <c r="L51" s="45" t="s">
        <v>225</v>
      </c>
      <c r="M51">
        <v>25</v>
      </c>
      <c r="N51" s="61">
        <v>42917</v>
      </c>
      <c r="O51" s="61"/>
      <c r="Q51" t="s">
        <v>164</v>
      </c>
      <c r="R51">
        <v>1</v>
      </c>
    </row>
    <row r="52" spans="1:18" x14ac:dyDescent="0.25">
      <c r="A52" s="44" t="str">
        <f>TableOWARCH[[#This Row],[Study Package Code]]</f>
        <v>PRJM6021</v>
      </c>
      <c r="B52" s="3">
        <f>TableOWARCH[[#This Row],[Ver]]</f>
        <v>2</v>
      </c>
      <c r="C52" t="str">
        <f>LEFT(TableOWARCH[[#This Row],[Structure Line]],(FIND(" ",TableOWARCH[[#This Row],[Structure Line]],1)-1))</f>
        <v>PRM530</v>
      </c>
      <c r="D52" t="str">
        <f>MID(TableOWARCH[[#This Row],[Structure Line]],FIND(" ",TableOWARCH[[#This Row],[Structure Line]])+1,256)</f>
        <v>Project Planning and Schedule Management</v>
      </c>
      <c r="E52" s="47">
        <f>TableOWARCH[[#This Row],[Credit Points]]</f>
        <v>25</v>
      </c>
      <c r="F52">
        <v>12</v>
      </c>
      <c r="G52" t="s">
        <v>70</v>
      </c>
      <c r="H52">
        <v>1</v>
      </c>
      <c r="I52" t="s">
        <v>207</v>
      </c>
      <c r="J52" s="45" t="s">
        <v>166</v>
      </c>
      <c r="K52" s="45">
        <v>2</v>
      </c>
      <c r="L52" s="45" t="s">
        <v>226</v>
      </c>
      <c r="M52">
        <v>25</v>
      </c>
      <c r="N52" s="61">
        <v>45383</v>
      </c>
      <c r="O52" s="61"/>
      <c r="Q52" t="s">
        <v>166</v>
      </c>
      <c r="R52">
        <v>2</v>
      </c>
    </row>
    <row r="53" spans="1:18" x14ac:dyDescent="0.25">
      <c r="A53" s="44" t="str">
        <f>TableOWARCH[[#This Row],[Study Package Code]]</f>
        <v>SUST5010</v>
      </c>
      <c r="B53" s="3">
        <f>TableOWARCH[[#This Row],[Ver]]</f>
        <v>2</v>
      </c>
      <c r="C53" t="str">
        <f>LEFT(TableOWARCH[[#This Row],[Structure Line]],(FIND(" ",TableOWARCH[[#This Row],[Structure Line]],1)-1))</f>
        <v>SCP522</v>
      </c>
      <c r="D53" t="str">
        <f>MID(TableOWARCH[[#This Row],[Structure Line]],FIND(" ",TableOWARCH[[#This Row],[Structure Line]])+1,256)</f>
        <v>Pathways to a Climate Resilient Society</v>
      </c>
      <c r="E53" s="47">
        <f>TableOWARCH[[#This Row],[Credit Points]]</f>
        <v>25</v>
      </c>
      <c r="F53">
        <v>12</v>
      </c>
      <c r="G53" t="s">
        <v>70</v>
      </c>
      <c r="H53">
        <v>1</v>
      </c>
      <c r="I53" t="s">
        <v>207</v>
      </c>
      <c r="J53" t="s">
        <v>36</v>
      </c>
      <c r="K53">
        <v>2</v>
      </c>
      <c r="L53" t="s">
        <v>227</v>
      </c>
      <c r="M53">
        <v>25</v>
      </c>
      <c r="N53" s="61">
        <v>44013</v>
      </c>
      <c r="O53" s="61"/>
      <c r="Q53" t="s">
        <v>36</v>
      </c>
      <c r="R53">
        <v>2</v>
      </c>
    </row>
    <row r="54" spans="1:18" x14ac:dyDescent="0.25">
      <c r="A54" s="44" t="str">
        <f>TableOWARCH[[#This Row],[Study Package Code]]</f>
        <v>SUST5013</v>
      </c>
      <c r="B54" s="3">
        <f>TableOWARCH[[#This Row],[Ver]]</f>
        <v>2</v>
      </c>
      <c r="C54" t="str">
        <f>LEFT(TableOWARCH[[#This Row],[Structure Line]],(FIND(" ",TableOWARCH[[#This Row],[Structure Line]],1)-1))</f>
        <v>SCP543</v>
      </c>
      <c r="D54" t="str">
        <f>MID(TableOWARCH[[#This Row],[Structure Line]],FIND(" ",TableOWARCH[[#This Row],[Structure Line]])+1,256)</f>
        <v>Future Cities</v>
      </c>
      <c r="E54" s="47">
        <f>TableOWARCH[[#This Row],[Credit Points]]</f>
        <v>25</v>
      </c>
      <c r="F54">
        <v>12</v>
      </c>
      <c r="G54" t="s">
        <v>70</v>
      </c>
      <c r="H54">
        <v>1</v>
      </c>
      <c r="I54" t="s">
        <v>207</v>
      </c>
      <c r="J54" t="s">
        <v>38</v>
      </c>
      <c r="K54">
        <v>2</v>
      </c>
      <c r="L54" t="s">
        <v>228</v>
      </c>
      <c r="M54">
        <v>25</v>
      </c>
      <c r="N54" s="61">
        <v>44013</v>
      </c>
      <c r="O54" s="61"/>
      <c r="Q54" t="s">
        <v>38</v>
      </c>
      <c r="R54">
        <v>2</v>
      </c>
    </row>
    <row r="55" spans="1:18" x14ac:dyDescent="0.25">
      <c r="A55" s="44" t="str">
        <f>TableOWARCH[[#This Row],[Study Package Code]]</f>
        <v>SUST5016</v>
      </c>
      <c r="B55" s="3">
        <f>TableOWARCH[[#This Row],[Ver]]</f>
        <v>1</v>
      </c>
      <c r="C55" t="str">
        <f>LEFT(TableOWARCH[[#This Row],[Structure Line]],(FIND(" ",TableOWARCH[[#This Row],[Structure Line]],1)-1))</f>
        <v>SCP547</v>
      </c>
      <c r="D55" t="str">
        <f>MID(TableOWARCH[[#This Row],[Structure Line]],FIND(" ",TableOWARCH[[#This Row],[Structure Line]])+1,256)</f>
        <v>Climate Policy</v>
      </c>
      <c r="E55" s="47">
        <f>TableOWARCH[[#This Row],[Credit Points]]</f>
        <v>25</v>
      </c>
      <c r="F55">
        <v>12</v>
      </c>
      <c r="G55" t="s">
        <v>70</v>
      </c>
      <c r="H55">
        <v>1</v>
      </c>
      <c r="I55" t="s">
        <v>207</v>
      </c>
      <c r="J55" t="s">
        <v>40</v>
      </c>
      <c r="K55">
        <v>1</v>
      </c>
      <c r="L55" t="s">
        <v>229</v>
      </c>
      <c r="M55">
        <v>25</v>
      </c>
      <c r="N55" s="61">
        <v>42005</v>
      </c>
      <c r="O55" s="61"/>
      <c r="Q55" t="s">
        <v>40</v>
      </c>
      <c r="R55">
        <v>1</v>
      </c>
    </row>
    <row r="56" spans="1:18" x14ac:dyDescent="0.25">
      <c r="A56" s="44" t="str">
        <f>TableOWARCH[[#This Row],[Study Package Code]]</f>
        <v>SUST5019</v>
      </c>
      <c r="B56" s="3">
        <f>TableOWARCH[[#This Row],[Ver]]</f>
        <v>2</v>
      </c>
      <c r="C56" t="str">
        <f>LEFT(TableOWARCH[[#This Row],[Structure Line]],(FIND(" ",TableOWARCH[[#This Row],[Structure Line]],1)-1))</f>
        <v>SCP548</v>
      </c>
      <c r="D56" t="str">
        <f>MID(TableOWARCH[[#This Row],[Structure Line]],FIND(" ",TableOWARCH[[#This Row],[Structure Line]])+1,256)</f>
        <v>People and Planet</v>
      </c>
      <c r="E56" s="47">
        <f>TableOWARCH[[#This Row],[Credit Points]]</f>
        <v>25</v>
      </c>
      <c r="F56">
        <v>12</v>
      </c>
      <c r="G56" t="s">
        <v>70</v>
      </c>
      <c r="H56">
        <v>1</v>
      </c>
      <c r="I56" t="s">
        <v>207</v>
      </c>
      <c r="J56" t="s">
        <v>41</v>
      </c>
      <c r="K56">
        <v>2</v>
      </c>
      <c r="L56" t="s">
        <v>230</v>
      </c>
      <c r="M56">
        <v>25</v>
      </c>
      <c r="N56" s="61">
        <v>44013</v>
      </c>
      <c r="O56" s="61"/>
      <c r="Q56" t="s">
        <v>41</v>
      </c>
      <c r="R56">
        <v>2</v>
      </c>
    </row>
    <row r="57" spans="1:18" x14ac:dyDescent="0.25">
      <c r="A57" s="44" t="str">
        <f>TableOWARCH[[#This Row],[Study Package Code]]</f>
        <v>URDE5015</v>
      </c>
      <c r="B57" s="3">
        <f>TableOWARCH[[#This Row],[Ver]]</f>
        <v>3</v>
      </c>
      <c r="C57" t="str">
        <f>LEFT(TableOWARCH[[#This Row],[Structure Line]],(FIND(" ",TableOWARCH[[#This Row],[Structure Line]],1)-1))</f>
        <v>URP530</v>
      </c>
      <c r="D57" t="str">
        <f>MID(TableOWARCH[[#This Row],[Structure Line]],FIND(" ",TableOWARCH[[#This Row],[Structure Line]])+1,256)</f>
        <v>Planning Theory and Context</v>
      </c>
      <c r="E57" s="47">
        <f>TableOWARCH[[#This Row],[Credit Points]]</f>
        <v>25</v>
      </c>
      <c r="F57">
        <v>12</v>
      </c>
      <c r="G57" t="s">
        <v>70</v>
      </c>
      <c r="H57">
        <v>1</v>
      </c>
      <c r="I57" t="s">
        <v>207</v>
      </c>
      <c r="J57" t="s">
        <v>43</v>
      </c>
      <c r="K57">
        <v>3</v>
      </c>
      <c r="L57" t="s">
        <v>231</v>
      </c>
      <c r="M57">
        <v>25</v>
      </c>
      <c r="N57" s="61">
        <v>44562</v>
      </c>
      <c r="O57" s="61"/>
      <c r="Q57" t="s">
        <v>43</v>
      </c>
      <c r="R57">
        <v>3</v>
      </c>
    </row>
    <row r="58" spans="1:18" x14ac:dyDescent="0.25">
      <c r="A58" s="44" t="str">
        <f>TableOWARCH[[#This Row],[Study Package Code]]</f>
        <v>URDE5016</v>
      </c>
      <c r="B58" s="3">
        <f>TableOWARCH[[#This Row],[Ver]]</f>
        <v>1</v>
      </c>
      <c r="C58" t="str">
        <f>LEFT(TableOWARCH[[#This Row],[Structure Line]],(FIND(" ",TableOWARCH[[#This Row],[Structure Line]],1)-1))</f>
        <v>URP500</v>
      </c>
      <c r="D58" t="str">
        <f>MID(TableOWARCH[[#This Row],[Structure Line]],FIND(" ",TableOWARCH[[#This Row],[Structure Line]])+1,256)</f>
        <v>Planning Law</v>
      </c>
      <c r="E58" s="47">
        <f>TableOWARCH[[#This Row],[Credit Points]]</f>
        <v>25</v>
      </c>
      <c r="F58">
        <v>12</v>
      </c>
      <c r="G58" t="s">
        <v>70</v>
      </c>
      <c r="H58">
        <v>1</v>
      </c>
      <c r="I58" t="s">
        <v>207</v>
      </c>
      <c r="J58" t="s">
        <v>44</v>
      </c>
      <c r="K58">
        <v>1</v>
      </c>
      <c r="L58" t="s">
        <v>232</v>
      </c>
      <c r="M58">
        <v>25</v>
      </c>
      <c r="N58" s="61">
        <v>42005</v>
      </c>
      <c r="O58" s="61"/>
      <c r="Q58" t="s">
        <v>44</v>
      </c>
      <c r="R58">
        <v>1</v>
      </c>
    </row>
    <row r="59" spans="1:18" x14ac:dyDescent="0.25">
      <c r="A59" s="44" t="str">
        <f>TableOWARCH[[#This Row],[Study Package Code]]</f>
        <v>URDE5031</v>
      </c>
      <c r="B59" s="3">
        <f>TableOWARCH[[#This Row],[Ver]]</f>
        <v>2</v>
      </c>
      <c r="C59" t="str">
        <f>LEFT(TableOWARCH[[#This Row],[Structure Line]],(FIND(" ",TableOWARCH[[#This Row],[Structure Line]],1)-1))</f>
        <v>URP515</v>
      </c>
      <c r="D59" t="str">
        <f>MID(TableOWARCH[[#This Row],[Structure Line]],FIND(" ",TableOWARCH[[#This Row],[Structure Line]])+1,256)</f>
        <v>Development Outcomes</v>
      </c>
      <c r="E59" s="47">
        <f>TableOWARCH[[#This Row],[Credit Points]]</f>
        <v>25</v>
      </c>
      <c r="F59">
        <v>12</v>
      </c>
      <c r="G59" t="s">
        <v>70</v>
      </c>
      <c r="H59">
        <v>1</v>
      </c>
      <c r="I59" t="s">
        <v>207</v>
      </c>
      <c r="J59" t="s">
        <v>45</v>
      </c>
      <c r="K59">
        <v>2</v>
      </c>
      <c r="L59" t="s">
        <v>233</v>
      </c>
      <c r="M59">
        <v>25</v>
      </c>
      <c r="N59" s="61">
        <v>45383</v>
      </c>
      <c r="O59" s="61"/>
      <c r="Q59" t="s">
        <v>45</v>
      </c>
      <c r="R59">
        <v>2</v>
      </c>
    </row>
    <row r="60" spans="1:18" x14ac:dyDescent="0.25">
      <c r="A60" s="44" t="str">
        <f>TableOWARCH[[#This Row],[Study Package Code]]</f>
        <v>URDE6003</v>
      </c>
      <c r="B60" s="3">
        <f>TableOWARCH[[#This Row],[Ver]]</f>
        <v>2</v>
      </c>
      <c r="C60" t="str">
        <f>LEFT(TableOWARCH[[#This Row],[Structure Line]],(FIND(" ",TableOWARCH[[#This Row],[Structure Line]],1)-1))</f>
        <v>URP600</v>
      </c>
      <c r="D60" t="str">
        <f>MID(TableOWARCH[[#This Row],[Structure Line]],FIND(" ",TableOWARCH[[#This Row],[Structure Line]])+1,256)</f>
        <v>Urban Transport Systems</v>
      </c>
      <c r="E60" s="47">
        <f>TableOWARCH[[#This Row],[Credit Points]]</f>
        <v>25</v>
      </c>
      <c r="F60">
        <v>12</v>
      </c>
      <c r="G60" t="s">
        <v>70</v>
      </c>
      <c r="H60">
        <v>1</v>
      </c>
      <c r="I60" t="s">
        <v>207</v>
      </c>
      <c r="J60" t="s">
        <v>46</v>
      </c>
      <c r="K60">
        <v>2</v>
      </c>
      <c r="L60" t="s">
        <v>234</v>
      </c>
      <c r="M60">
        <v>25</v>
      </c>
      <c r="N60" s="61">
        <v>44197</v>
      </c>
      <c r="O60" s="61"/>
      <c r="Q60" t="s">
        <v>46</v>
      </c>
      <c r="R60">
        <v>2</v>
      </c>
    </row>
    <row r="61" spans="1:18" x14ac:dyDescent="0.25">
      <c r="A61" s="44" t="str">
        <f>TableOWARCH[[#This Row],[Study Package Code]]</f>
        <v>URDE6004</v>
      </c>
      <c r="B61" s="3">
        <f>TableOWARCH[[#This Row],[Ver]]</f>
        <v>1</v>
      </c>
      <c r="C61" t="str">
        <f>LEFT(TableOWARCH[[#This Row],[Structure Line]],(FIND(" ",TableOWARCH[[#This Row],[Structure Line]],1)-1))</f>
        <v>URP640</v>
      </c>
      <c r="D61" t="str">
        <f>MID(TableOWARCH[[#This Row],[Structure Line]],FIND(" ",TableOWARCH[[#This Row],[Structure Line]])+1,256)</f>
        <v>Participatory Planning</v>
      </c>
      <c r="E61" s="47">
        <f>TableOWARCH[[#This Row],[Credit Points]]</f>
        <v>25</v>
      </c>
      <c r="F61">
        <v>12</v>
      </c>
      <c r="G61" t="s">
        <v>70</v>
      </c>
      <c r="H61">
        <v>1</v>
      </c>
      <c r="I61" t="s">
        <v>207</v>
      </c>
      <c r="J61" t="s">
        <v>47</v>
      </c>
      <c r="K61">
        <v>1</v>
      </c>
      <c r="L61" t="s">
        <v>235</v>
      </c>
      <c r="M61">
        <v>25</v>
      </c>
      <c r="N61" s="61">
        <v>42005</v>
      </c>
      <c r="O61" s="61"/>
      <c r="Q61" t="s">
        <v>47</v>
      </c>
      <c r="R61">
        <v>1</v>
      </c>
    </row>
    <row r="62" spans="1:18" x14ac:dyDescent="0.25">
      <c r="A62" s="44" t="str">
        <f>TableOWARCH[[#This Row],[Study Package Code]]</f>
        <v>WORK5001</v>
      </c>
      <c r="B62" s="3">
        <f>TableOWARCH[[#This Row],[Ver]]</f>
        <v>1</v>
      </c>
      <c r="C62" t="str">
        <f>LEFT(TableOWARCH[[#This Row],[Structure Line]],(FIND(" ",TableOWARCH[[#This Row],[Structure Line]],1)-1))</f>
        <v>WBP500</v>
      </c>
      <c r="D62" t="str">
        <f>MID(TableOWARCH[[#This Row],[Structure Line]],FIND(" ",TableOWARCH[[#This Row],[Structure Line]])+1,256)</f>
        <v>Work Based Project</v>
      </c>
      <c r="E62" s="47">
        <f>TableOWARCH[[#This Row],[Credit Points]]</f>
        <v>25</v>
      </c>
      <c r="F62">
        <v>12</v>
      </c>
      <c r="G62" t="s">
        <v>70</v>
      </c>
      <c r="H62">
        <v>1</v>
      </c>
      <c r="I62" t="s">
        <v>207</v>
      </c>
      <c r="J62" t="s">
        <v>48</v>
      </c>
      <c r="K62">
        <v>1</v>
      </c>
      <c r="L62" t="s">
        <v>236</v>
      </c>
      <c r="M62">
        <v>25</v>
      </c>
      <c r="N62" s="61">
        <v>44287</v>
      </c>
      <c r="O62" s="61"/>
      <c r="Q62" t="s">
        <v>48</v>
      </c>
      <c r="R62">
        <v>1</v>
      </c>
    </row>
    <row r="63" spans="1:18" x14ac:dyDescent="0.25">
      <c r="A63" s="44" t="str">
        <f>TableOWARCH[[#This Row],[Study Package Code]]</f>
        <v>XINO5020</v>
      </c>
      <c r="B63" s="3">
        <f>TableOWARCH[[#This Row],[Ver]]</f>
        <v>1</v>
      </c>
      <c r="C63" t="str">
        <f>LEFT(TableOWARCH[[#This Row],[Structure Line]],(FIND(" ",TableOWARCH[[#This Row],[Structure Line]],1)-1))</f>
        <v>SBE500</v>
      </c>
      <c r="D63" t="str">
        <f>MID(TableOWARCH[[#This Row],[Structure Line]],FIND(" ",TableOWARCH[[#This Row],[Structure Line]])+1,256)</f>
        <v>International Study Tour</v>
      </c>
      <c r="E63" s="47">
        <f>TableOWARCH[[#This Row],[Credit Points]]</f>
        <v>25</v>
      </c>
      <c r="F63">
        <v>12</v>
      </c>
      <c r="G63" t="s">
        <v>70</v>
      </c>
      <c r="H63">
        <v>1</v>
      </c>
      <c r="I63" t="s">
        <v>207</v>
      </c>
      <c r="J63" t="s">
        <v>49</v>
      </c>
      <c r="K63">
        <v>1</v>
      </c>
      <c r="L63" t="s">
        <v>237</v>
      </c>
      <c r="M63">
        <v>25</v>
      </c>
      <c r="N63" s="61">
        <v>43009</v>
      </c>
      <c r="O63" s="61"/>
      <c r="Q63" t="s">
        <v>49</v>
      </c>
      <c r="R63">
        <v>1</v>
      </c>
    </row>
  </sheetData>
  <conditionalFormatting sqref="J3:J14 J16:J31">
    <cfRule type="duplicateValues" dxfId="7" priority="5"/>
  </conditionalFormatting>
  <conditionalFormatting sqref="J15">
    <cfRule type="duplicateValues" dxfId="6" priority="1"/>
  </conditionalFormatting>
  <conditionalFormatting sqref="J35:J63">
    <cfRule type="duplicateValues" dxfId="5" priority="2"/>
  </conditionalFormatting>
  <conditionalFormatting sqref="N3:N31 N35:N63">
    <cfRule type="cellIs" dxfId="4" priority="18" operator="greaterThan">
      <formula>$P$1</formula>
    </cfRule>
  </conditionalFormatting>
  <conditionalFormatting sqref="O3:O31">
    <cfRule type="notContainsBlanks" dxfId="3" priority="10">
      <formula>LEN(TRIM(O3))&gt;0</formula>
    </cfRule>
  </conditionalFormatting>
  <conditionalFormatting sqref="O35:O63">
    <cfRule type="notContainsBlanks" dxfId="2" priority="4">
      <formula>LEN(TRIM(O35))&gt;0</formula>
    </cfRule>
  </conditionalFormatting>
  <conditionalFormatting sqref="Q3:R31">
    <cfRule type="expression" dxfId="1" priority="11">
      <formula>Q3&lt;&gt;J3</formula>
    </cfRule>
  </conditionalFormatting>
  <conditionalFormatting sqref="Q35:R63">
    <cfRule type="expression" dxfId="0" priority="9">
      <formula>Q35&lt;&gt;J35</formula>
    </cfRule>
  </conditionalFormatting>
  <pageMargins left="0.7" right="0.7" top="0.75" bottom="0.75" header="0.3" footer="0.3"/>
  <pageSetup paperSize="9"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
  <sheetViews>
    <sheetView workbookViewId="0">
      <selection activeCell="B29" sqref="B29"/>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10.125" bestFit="1" customWidth="1"/>
    <col min="9" max="12" width="1.875" bestFit="1" customWidth="1"/>
  </cols>
  <sheetData>
    <row r="1" spans="1:12" x14ac:dyDescent="0.25">
      <c r="F1" s="45" t="s">
        <v>194</v>
      </c>
      <c r="G1" s="62">
        <v>45638</v>
      </c>
    </row>
    <row r="2" spans="1:12" ht="83.25" customHeight="1" x14ac:dyDescent="0.25">
      <c r="A2" t="s">
        <v>238</v>
      </c>
      <c r="B2" s="64" t="s">
        <v>239</v>
      </c>
      <c r="C2" s="64" t="s">
        <v>240</v>
      </c>
      <c r="D2" s="64" t="s">
        <v>241</v>
      </c>
      <c r="E2" s="64" t="s">
        <v>242</v>
      </c>
    </row>
    <row r="3" spans="1:12" x14ac:dyDescent="0.25">
      <c r="A3" t="s">
        <v>61</v>
      </c>
      <c r="B3" s="3">
        <v>1</v>
      </c>
      <c r="C3" s="3"/>
      <c r="D3" s="3"/>
      <c r="E3" s="3">
        <v>1</v>
      </c>
      <c r="H3" t="s">
        <v>61</v>
      </c>
      <c r="I3">
        <v>1</v>
      </c>
      <c r="L3">
        <v>1</v>
      </c>
    </row>
    <row r="4" spans="1:12" x14ac:dyDescent="0.25">
      <c r="A4" t="s">
        <v>82</v>
      </c>
      <c r="B4" s="3">
        <v>1</v>
      </c>
      <c r="C4" s="3"/>
      <c r="D4" s="3"/>
      <c r="E4" s="3">
        <v>1</v>
      </c>
      <c r="H4" t="s">
        <v>82</v>
      </c>
      <c r="I4">
        <v>1</v>
      </c>
      <c r="L4">
        <v>1</v>
      </c>
    </row>
    <row r="5" spans="1:12" x14ac:dyDescent="0.25">
      <c r="A5" t="s">
        <v>125</v>
      </c>
      <c r="B5" s="3"/>
      <c r="C5" s="3"/>
      <c r="D5" s="3"/>
      <c r="E5" s="3">
        <v>1</v>
      </c>
      <c r="H5" t="s">
        <v>125</v>
      </c>
      <c r="L5">
        <v>1</v>
      </c>
    </row>
    <row r="6" spans="1:12" x14ac:dyDescent="0.25">
      <c r="A6" t="s">
        <v>129</v>
      </c>
      <c r="B6" s="3"/>
      <c r="C6" s="3"/>
      <c r="D6" s="3"/>
      <c r="E6" s="3">
        <v>1</v>
      </c>
      <c r="H6" t="s">
        <v>129</v>
      </c>
      <c r="L6">
        <v>1</v>
      </c>
    </row>
    <row r="7" spans="1:12" x14ac:dyDescent="0.25">
      <c r="A7" t="s">
        <v>86</v>
      </c>
      <c r="B7" s="3">
        <v>1</v>
      </c>
      <c r="C7" s="3"/>
      <c r="D7" s="3"/>
      <c r="E7" s="3"/>
      <c r="H7" t="s">
        <v>86</v>
      </c>
      <c r="I7">
        <v>1</v>
      </c>
    </row>
    <row r="8" spans="1:12" x14ac:dyDescent="0.25">
      <c r="A8" t="s">
        <v>63</v>
      </c>
      <c r="B8" s="3"/>
      <c r="C8" s="3">
        <v>1</v>
      </c>
      <c r="D8" s="3"/>
      <c r="E8" s="3"/>
      <c r="H8" t="s">
        <v>63</v>
      </c>
      <c r="J8">
        <v>1</v>
      </c>
    </row>
    <row r="9" spans="1:12" x14ac:dyDescent="0.25">
      <c r="A9" t="s">
        <v>65</v>
      </c>
      <c r="B9" s="3"/>
      <c r="C9" s="3"/>
      <c r="D9" s="3">
        <v>1</v>
      </c>
      <c r="E9" s="3"/>
      <c r="H9" t="s">
        <v>65</v>
      </c>
      <c r="K9">
        <v>1</v>
      </c>
    </row>
    <row r="10" spans="1:12" x14ac:dyDescent="0.25">
      <c r="A10" t="s">
        <v>104</v>
      </c>
      <c r="B10" s="3">
        <v>1</v>
      </c>
      <c r="C10" s="3"/>
      <c r="D10" s="3">
        <v>1</v>
      </c>
      <c r="E10" s="3"/>
      <c r="H10" t="s">
        <v>104</v>
      </c>
      <c r="I10">
        <v>1</v>
      </c>
      <c r="K10">
        <v>1</v>
      </c>
    </row>
    <row r="11" spans="1:12" x14ac:dyDescent="0.25">
      <c r="A11" t="s">
        <v>101</v>
      </c>
      <c r="B11" s="3"/>
      <c r="C11" s="3"/>
      <c r="D11" s="3">
        <v>1</v>
      </c>
      <c r="E11" s="3">
        <v>1</v>
      </c>
      <c r="H11" t="s">
        <v>101</v>
      </c>
      <c r="L11">
        <v>1</v>
      </c>
    </row>
    <row r="12" spans="1:12" x14ac:dyDescent="0.25">
      <c r="A12" t="s">
        <v>100</v>
      </c>
      <c r="B12" s="3"/>
      <c r="C12" s="3">
        <v>1</v>
      </c>
      <c r="D12" s="3"/>
      <c r="E12" s="3">
        <v>1</v>
      </c>
      <c r="H12" t="s">
        <v>100</v>
      </c>
      <c r="J12">
        <v>1</v>
      </c>
      <c r="L12">
        <v>1</v>
      </c>
    </row>
    <row r="13" spans="1:12" x14ac:dyDescent="0.25">
      <c r="A13" t="s">
        <v>93</v>
      </c>
      <c r="B13" s="3"/>
      <c r="C13" s="3">
        <v>1</v>
      </c>
      <c r="D13" s="3">
        <v>1</v>
      </c>
      <c r="E13" s="3">
        <v>1</v>
      </c>
      <c r="H13" t="s">
        <v>93</v>
      </c>
      <c r="J13">
        <v>1</v>
      </c>
      <c r="K13">
        <v>1</v>
      </c>
      <c r="L13">
        <v>1</v>
      </c>
    </row>
    <row r="14" spans="1:12" x14ac:dyDescent="0.25">
      <c r="A14" t="s">
        <v>96</v>
      </c>
      <c r="B14" s="3"/>
      <c r="C14" s="3">
        <v>1</v>
      </c>
      <c r="D14" s="3"/>
      <c r="E14" s="3">
        <v>1</v>
      </c>
      <c r="H14" t="s">
        <v>96</v>
      </c>
      <c r="J14">
        <v>1</v>
      </c>
      <c r="L14">
        <v>1</v>
      </c>
    </row>
    <row r="15" spans="1:12" x14ac:dyDescent="0.25">
      <c r="A15" t="s">
        <v>160</v>
      </c>
      <c r="B15" s="3">
        <v>1</v>
      </c>
      <c r="C15" s="3"/>
      <c r="D15" s="3">
        <v>1</v>
      </c>
      <c r="E15" s="3"/>
      <c r="H15" t="s">
        <v>160</v>
      </c>
      <c r="I15">
        <v>1</v>
      </c>
      <c r="K15">
        <v>1</v>
      </c>
    </row>
    <row r="16" spans="1:12" x14ac:dyDescent="0.25">
      <c r="A16" t="s">
        <v>162</v>
      </c>
      <c r="B16" s="3"/>
      <c r="C16" s="3">
        <v>1</v>
      </c>
      <c r="D16" s="3"/>
      <c r="E16" s="3">
        <v>1</v>
      </c>
      <c r="H16" t="s">
        <v>162</v>
      </c>
      <c r="J16">
        <v>1</v>
      </c>
      <c r="L16">
        <v>1</v>
      </c>
    </row>
    <row r="17" spans="1:12" x14ac:dyDescent="0.25">
      <c r="A17" t="s">
        <v>164</v>
      </c>
      <c r="B17" s="3">
        <v>1</v>
      </c>
      <c r="C17" s="3"/>
      <c r="D17" s="3">
        <v>1</v>
      </c>
      <c r="E17" s="3"/>
      <c r="H17" t="s">
        <v>164</v>
      </c>
      <c r="I17">
        <v>1</v>
      </c>
      <c r="K17">
        <v>1</v>
      </c>
    </row>
    <row r="18" spans="1:12" x14ac:dyDescent="0.25">
      <c r="A18" t="s">
        <v>166</v>
      </c>
      <c r="B18" s="3"/>
      <c r="C18" s="3">
        <v>1</v>
      </c>
      <c r="D18" s="3"/>
      <c r="E18" s="3">
        <v>1</v>
      </c>
      <c r="H18" t="s">
        <v>166</v>
      </c>
      <c r="J18">
        <v>2</v>
      </c>
      <c r="L18">
        <v>2</v>
      </c>
    </row>
    <row r="19" spans="1:12" x14ac:dyDescent="0.25">
      <c r="A19" t="s">
        <v>36</v>
      </c>
      <c r="B19" s="3"/>
      <c r="C19" s="3">
        <v>1</v>
      </c>
      <c r="D19" s="3"/>
      <c r="E19" s="3">
        <v>1</v>
      </c>
      <c r="H19" t="s">
        <v>36</v>
      </c>
      <c r="J19">
        <v>1</v>
      </c>
      <c r="L19">
        <v>1</v>
      </c>
    </row>
    <row r="20" spans="1:12" x14ac:dyDescent="0.25">
      <c r="A20" t="s">
        <v>38</v>
      </c>
      <c r="B20" s="3"/>
      <c r="C20" s="3">
        <v>1</v>
      </c>
      <c r="D20" s="3"/>
      <c r="E20" s="3">
        <v>1</v>
      </c>
      <c r="H20" t="s">
        <v>38</v>
      </c>
      <c r="J20">
        <v>1</v>
      </c>
      <c r="L20">
        <v>1</v>
      </c>
    </row>
    <row r="21" spans="1:12" x14ac:dyDescent="0.25">
      <c r="A21" t="s">
        <v>40</v>
      </c>
      <c r="B21" s="3">
        <v>1</v>
      </c>
      <c r="C21" s="3"/>
      <c r="D21" s="3">
        <v>1</v>
      </c>
      <c r="E21" s="3"/>
      <c r="H21" t="s">
        <v>40</v>
      </c>
      <c r="I21">
        <v>1</v>
      </c>
      <c r="K21">
        <v>1</v>
      </c>
    </row>
    <row r="22" spans="1:12" x14ac:dyDescent="0.25">
      <c r="A22" t="s">
        <v>41</v>
      </c>
      <c r="B22" s="3"/>
      <c r="C22" s="3">
        <v>1</v>
      </c>
      <c r="D22" s="3"/>
      <c r="E22" s="3">
        <v>1</v>
      </c>
      <c r="H22" t="s">
        <v>41</v>
      </c>
      <c r="J22">
        <v>1</v>
      </c>
      <c r="L22">
        <v>1</v>
      </c>
    </row>
    <row r="23" spans="1:12" x14ac:dyDescent="0.25">
      <c r="A23" t="s">
        <v>43</v>
      </c>
      <c r="B23" s="3"/>
      <c r="C23" s="3">
        <v>1</v>
      </c>
      <c r="D23" s="3"/>
      <c r="E23" s="3">
        <v>1</v>
      </c>
      <c r="H23" t="s">
        <v>43</v>
      </c>
      <c r="J23">
        <v>1</v>
      </c>
      <c r="L23">
        <v>1</v>
      </c>
    </row>
    <row r="24" spans="1:12" x14ac:dyDescent="0.25">
      <c r="A24" t="s">
        <v>44</v>
      </c>
      <c r="B24" s="3">
        <v>1</v>
      </c>
      <c r="C24" s="3"/>
      <c r="D24" s="3">
        <v>1</v>
      </c>
      <c r="E24" s="3"/>
      <c r="H24" t="s">
        <v>44</v>
      </c>
      <c r="I24">
        <v>1</v>
      </c>
      <c r="K24">
        <v>1</v>
      </c>
    </row>
    <row r="25" spans="1:12" x14ac:dyDescent="0.25">
      <c r="A25" t="s">
        <v>45</v>
      </c>
      <c r="B25" s="3"/>
      <c r="C25" s="3">
        <v>1</v>
      </c>
      <c r="D25" s="3"/>
      <c r="E25" s="3">
        <v>1</v>
      </c>
      <c r="H25" t="s">
        <v>45</v>
      </c>
      <c r="J25">
        <v>1</v>
      </c>
      <c r="L25">
        <v>1</v>
      </c>
    </row>
    <row r="26" spans="1:12" x14ac:dyDescent="0.25">
      <c r="A26" t="s">
        <v>46</v>
      </c>
      <c r="B26" s="3"/>
      <c r="C26" s="3"/>
      <c r="D26" s="3"/>
      <c r="E26" s="3">
        <v>1</v>
      </c>
      <c r="H26" t="s">
        <v>46</v>
      </c>
      <c r="L26">
        <v>1</v>
      </c>
    </row>
    <row r="27" spans="1:12" x14ac:dyDescent="0.25">
      <c r="A27" t="s">
        <v>47</v>
      </c>
      <c r="B27" s="3"/>
      <c r="C27" s="3">
        <v>1</v>
      </c>
      <c r="D27" s="3"/>
      <c r="E27" s="3">
        <v>1</v>
      </c>
      <c r="H27" t="s">
        <v>47</v>
      </c>
      <c r="J27">
        <v>1</v>
      </c>
      <c r="L27">
        <v>1</v>
      </c>
    </row>
    <row r="28" spans="1:12" x14ac:dyDescent="0.25">
      <c r="A28" t="s">
        <v>68</v>
      </c>
      <c r="B28" s="3">
        <v>1</v>
      </c>
      <c r="C28" s="3"/>
      <c r="D28" s="3">
        <v>1</v>
      </c>
      <c r="E28" s="3"/>
      <c r="H28" t="s">
        <v>68</v>
      </c>
      <c r="I28">
        <v>1</v>
      </c>
      <c r="K28">
        <v>1</v>
      </c>
    </row>
    <row r="29" spans="1:12" x14ac:dyDescent="0.25">
      <c r="A29" t="s">
        <v>48</v>
      </c>
      <c r="B29" s="3"/>
      <c r="C29" s="3"/>
      <c r="D29" s="3"/>
      <c r="E29" s="3"/>
      <c r="H29" t="s">
        <v>48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http://schemas.microsoft.com/office/2006/documentManagement/types"/>
    <ds:schemaRef ds:uri="http://purl.org/dc/terms/"/>
    <ds:schemaRef ds:uri="http://schemas.microsoft.com/office/infopath/2007/PartnerControls"/>
    <ds:schemaRef ds:uri="ba69df13-0c3c-4942-8695-6ca01564010c"/>
    <ds:schemaRef ds:uri="2380bd5d-8f09-40a9-a9cb-2482ec2cd2ca"/>
  </ds:schemaRefs>
</ds:datastoreItem>
</file>

<file path=customXml/itemProps2.xml><?xml version="1.0" encoding="utf-8"?>
<ds:datastoreItem xmlns:ds="http://schemas.openxmlformats.org/officeDocument/2006/customXml" ds:itemID="{C208D1C1-23D9-4C2A-98AA-5C8BEEE61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Master of Architecture Planner</vt:lpstr>
      <vt:lpstr>Unitsets</vt:lpstr>
      <vt:lpstr>Handbook</vt:lpstr>
      <vt:lpstr>Structures</vt:lpstr>
      <vt:lpstr>Availabilities</vt:lpstr>
      <vt:lpstr>'Master of Architecture Planner'!Print_Area</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2024-12-12T04:39:03Z</cp:lastPrinted>
  <dcterms:created xsi:type="dcterms:W3CDTF">2022-02-28T04:48:12Z</dcterms:created>
  <dcterms:modified xsi:type="dcterms:W3CDTF">2024-12-12T04:40:09Z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