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updateLinks="never"/>
  <mc:AlternateContent xmlns:mc="http://schemas.openxmlformats.org/markup-compatibility/2006">
    <mc:Choice Requires="x15">
      <x15ac:absPath xmlns:x15ac="http://schemas.microsoft.com/office/spreadsheetml/2010/11/ac" url="C:\Users\259378F\Downloads\"/>
    </mc:Choice>
  </mc:AlternateContent>
  <xr:revisionPtr revIDLastSave="0" documentId="13_ncr:1_{DE068AE7-14BE-4A38-908F-4A3939D47326}" xr6:coauthVersionLast="47" xr6:coauthVersionMax="47" xr10:uidLastSave="{00000000-0000-0000-0000-000000000000}"/>
  <workbookProtection workbookAlgorithmName="SHA-512" workbookHashValue="r5nG9fh6zd3cG58SW9ARDDdB1uW9alyUj1BTk4z74Ils7ph1Jh7FS5wnd8q+AZe8oNex/D6NeyRPLZ81dfIOqQ==" workbookSaltValue="GORDhtcrwHzkWdt4FtGgYw==" workbookSpinCount="100000" lockStructure="1"/>
  <bookViews>
    <workbookView xWindow="-120" yWindow="-120" windowWidth="29040" windowHeight="17520" firstSheet="1" activeTab="1" xr2:uid="{00000000-000D-0000-FFFF-FFFF00000000}"/>
  </bookViews>
  <sheets>
    <sheet name="GC Proj Man (OUA)" sheetId="10" state="hidden" r:id="rId1"/>
    <sheet name="GD Proj Man (OUA)" sheetId="11" r:id="rId2"/>
    <sheet name="MSc (Proj Man) (OUA)" sheetId="5" state="hidden" r:id="rId3"/>
    <sheet name="Unitsets" sheetId="2" state="hidden" r:id="rId4"/>
    <sheet name="Handbook" sheetId="3" state="hidden" r:id="rId5"/>
    <sheet name="Structures" sheetId="8" state="hidden" r:id="rId6"/>
    <sheet name="Availabilities" sheetId="9" state="hidden" r:id="rId7"/>
  </sheets>
  <definedNames>
    <definedName name="_xlnm._FilterDatabase" localSheetId="4" hidden="1">Handbook!#REF!</definedName>
    <definedName name="_xlnm.Print_Area" localSheetId="0">'GC Proj Man (OUA)'!$A$3:$L$17</definedName>
    <definedName name="_xlnm.Print_Area" localSheetId="1">'GD Proj Man (OUA)'!$A$3:$L$29</definedName>
    <definedName name="_xlnm.Print_Area" localSheetId="2">'MSc (Proj Man) (OUA)'!$A$3:$L$30</definedName>
    <definedName name="RangeAltCores">Unitsets!$K$19:$AP$23</definedName>
    <definedName name="RangeUnitsets">Unitsets!$K$3:$AP$15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 i="5" l="1"/>
  <c r="G6" i="5"/>
  <c r="Z11" i="2"/>
  <c r="Z10" i="2"/>
  <c r="Z9" i="2"/>
  <c r="Z8" i="2"/>
  <c r="Z7" i="2"/>
  <c r="Z6" i="2"/>
  <c r="Z5" i="2"/>
  <c r="Z4" i="2"/>
  <c r="X8" i="2"/>
  <c r="X9" i="2"/>
  <c r="X10" i="2"/>
  <c r="X11" i="2"/>
  <c r="X7" i="2"/>
  <c r="X6" i="2"/>
  <c r="X5" i="2"/>
  <c r="X4" i="2"/>
  <c r="R7" i="2"/>
  <c r="R6" i="2"/>
  <c r="R5" i="2"/>
  <c r="R4" i="2"/>
  <c r="P5" i="2"/>
  <c r="P6" i="2"/>
  <c r="P7" i="2"/>
  <c r="P4" i="2"/>
  <c r="G31" i="3" l="1"/>
  <c r="H31" i="3"/>
  <c r="I31" i="3"/>
  <c r="J31" i="3"/>
  <c r="G5" i="3"/>
  <c r="G6" i="3"/>
  <c r="G7" i="3"/>
  <c r="G10" i="3"/>
  <c r="G11" i="3"/>
  <c r="G14" i="3"/>
  <c r="G15" i="3"/>
  <c r="G16" i="3"/>
  <c r="G17" i="3"/>
  <c r="G18" i="3"/>
  <c r="G19" i="3"/>
  <c r="G20" i="3"/>
  <c r="G21" i="3"/>
  <c r="G22" i="3"/>
  <c r="G32" i="3"/>
  <c r="G34" i="3"/>
  <c r="G35" i="3"/>
  <c r="G36" i="3"/>
  <c r="G37" i="3"/>
  <c r="G38" i="3"/>
  <c r="H5" i="3"/>
  <c r="H6" i="3"/>
  <c r="H7" i="3"/>
  <c r="H10" i="3"/>
  <c r="H11" i="3"/>
  <c r="H14" i="3"/>
  <c r="H15" i="3"/>
  <c r="H16" i="3"/>
  <c r="H17" i="3"/>
  <c r="H18" i="3"/>
  <c r="H19" i="3"/>
  <c r="H20" i="3"/>
  <c r="H21" i="3"/>
  <c r="H22" i="3"/>
  <c r="H32" i="3"/>
  <c r="H34" i="3"/>
  <c r="H35" i="3"/>
  <c r="H36" i="3"/>
  <c r="H37" i="3"/>
  <c r="H38" i="3"/>
  <c r="I5" i="3"/>
  <c r="I6" i="3"/>
  <c r="I7" i="3"/>
  <c r="I10" i="3"/>
  <c r="I11" i="3"/>
  <c r="I14" i="3"/>
  <c r="I15" i="3"/>
  <c r="I16" i="3"/>
  <c r="I17" i="3"/>
  <c r="I18" i="3"/>
  <c r="I19" i="3"/>
  <c r="I20" i="3"/>
  <c r="I21" i="3"/>
  <c r="I22" i="3"/>
  <c r="I32" i="3"/>
  <c r="I34" i="3"/>
  <c r="I35" i="3"/>
  <c r="I36" i="3"/>
  <c r="I37" i="3"/>
  <c r="I38" i="3"/>
  <c r="J5" i="3"/>
  <c r="J6" i="3"/>
  <c r="J7" i="3"/>
  <c r="J10" i="3"/>
  <c r="J11" i="3"/>
  <c r="J14" i="3"/>
  <c r="J15" i="3"/>
  <c r="J16" i="3"/>
  <c r="J17" i="3"/>
  <c r="J18" i="3"/>
  <c r="J19" i="3"/>
  <c r="J20" i="3"/>
  <c r="J21" i="3"/>
  <c r="J22" i="3"/>
  <c r="J32" i="3"/>
  <c r="J34" i="3"/>
  <c r="J35" i="3"/>
  <c r="J36" i="3"/>
  <c r="J37" i="3"/>
  <c r="J38" i="3"/>
  <c r="G7" i="5" l="1"/>
  <c r="G6" i="11"/>
  <c r="G6" i="10"/>
  <c r="C43" i="8"/>
  <c r="C44" i="8"/>
  <c r="C45" i="8"/>
  <c r="C46" i="8"/>
  <c r="C47" i="8"/>
  <c r="C48" i="8"/>
  <c r="C49" i="8"/>
  <c r="C50" i="8"/>
  <c r="C51" i="8"/>
  <c r="C52" i="8"/>
  <c r="C53" i="8"/>
  <c r="D43" i="8"/>
  <c r="D44" i="8"/>
  <c r="D45" i="8"/>
  <c r="D46" i="8"/>
  <c r="D47" i="8"/>
  <c r="D48" i="8"/>
  <c r="D49" i="8"/>
  <c r="D50" i="8"/>
  <c r="D51" i="8"/>
  <c r="D52" i="8"/>
  <c r="D53" i="8"/>
  <c r="D30" i="8"/>
  <c r="D31" i="8"/>
  <c r="D32" i="8"/>
  <c r="D33" i="8"/>
  <c r="D34" i="8"/>
  <c r="D35" i="8"/>
  <c r="D36" i="8"/>
  <c r="D37" i="8"/>
  <c r="D38" i="8"/>
  <c r="D39" i="8"/>
  <c r="D40" i="8"/>
  <c r="C30" i="8"/>
  <c r="C31" i="8"/>
  <c r="C32" i="8"/>
  <c r="C33" i="8"/>
  <c r="C34" i="8"/>
  <c r="C35" i="8"/>
  <c r="C36" i="8"/>
  <c r="C37" i="8"/>
  <c r="C38" i="8"/>
  <c r="C39" i="8"/>
  <c r="C40" i="8"/>
  <c r="D11" i="8"/>
  <c r="D12" i="8"/>
  <c r="D13" i="8"/>
  <c r="D14" i="8"/>
  <c r="D15" i="8"/>
  <c r="D16" i="8"/>
  <c r="D17" i="8"/>
  <c r="D18" i="8"/>
  <c r="D19" i="8"/>
  <c r="D20" i="8"/>
  <c r="C11" i="8"/>
  <c r="C12" i="8"/>
  <c r="C13" i="8"/>
  <c r="C14" i="8"/>
  <c r="C15" i="8"/>
  <c r="C16" i="8"/>
  <c r="C17" i="8"/>
  <c r="C18" i="8"/>
  <c r="C19" i="8"/>
  <c r="C20" i="8"/>
  <c r="D3" i="8" l="1"/>
  <c r="D4" i="8"/>
  <c r="D5" i="8"/>
  <c r="D6" i="8"/>
  <c r="C3" i="8"/>
  <c r="C4" i="8"/>
  <c r="C5" i="8"/>
  <c r="C6" i="8"/>
  <c r="D25" i="8"/>
  <c r="D26" i="8"/>
  <c r="D27" i="8"/>
  <c r="C26" i="8"/>
  <c r="C27" i="8"/>
  <c r="C25" i="8"/>
  <c r="A1" i="3" l="1"/>
  <c r="B1" i="3"/>
  <c r="C1" i="3"/>
  <c r="D1" i="3"/>
  <c r="E1" i="3"/>
  <c r="F1" i="3"/>
  <c r="G1" i="3"/>
  <c r="H1" i="3"/>
  <c r="I1" i="3"/>
  <c r="J1" i="3"/>
  <c r="K1" i="3"/>
  <c r="L1" i="3"/>
  <c r="M1" i="3"/>
  <c r="N1" i="3"/>
  <c r="O1" i="3"/>
  <c r="P1" i="3"/>
  <c r="L21" i="5" l="1"/>
  <c r="K21" i="5"/>
  <c r="J21" i="5"/>
  <c r="I21" i="5"/>
  <c r="H21" i="5"/>
  <c r="L22" i="11"/>
  <c r="K22" i="11"/>
  <c r="J22" i="11"/>
  <c r="I22" i="11"/>
  <c r="H22" i="11"/>
  <c r="H21" i="11"/>
  <c r="G5" i="11" l="1"/>
  <c r="L5" i="11"/>
  <c r="G5" i="10"/>
  <c r="L5" i="10"/>
  <c r="A9" i="11" l="1"/>
  <c r="A13" i="11"/>
  <c r="A12" i="11"/>
  <c r="A10" i="11"/>
  <c r="A15" i="11"/>
  <c r="A18" i="11"/>
  <c r="A19" i="11"/>
  <c r="A24" i="11"/>
  <c r="A23" i="11"/>
  <c r="A25" i="11"/>
  <c r="A16" i="11"/>
  <c r="A13" i="10"/>
  <c r="C13" i="10" s="1"/>
  <c r="A10" i="10"/>
  <c r="C10" i="10" s="1"/>
  <c r="A12" i="10"/>
  <c r="C12" i="10" s="1"/>
  <c r="A9" i="10"/>
  <c r="C9" i="10" s="1"/>
  <c r="G30" i="3"/>
  <c r="H30" i="3"/>
  <c r="I30" i="3"/>
  <c r="J30" i="3"/>
  <c r="G12" i="3"/>
  <c r="G13" i="3"/>
  <c r="H12" i="3"/>
  <c r="H13" i="3"/>
  <c r="I12" i="3"/>
  <c r="I13" i="3"/>
  <c r="J12" i="3"/>
  <c r="J13" i="3"/>
  <c r="E9" i="11" l="1"/>
  <c r="E10" i="11" s="1"/>
  <c r="G9" i="11"/>
  <c r="B9" i="11"/>
  <c r="C9" i="11"/>
  <c r="D9" i="11"/>
  <c r="F9" i="11"/>
  <c r="H13" i="11"/>
  <c r="I13" i="11"/>
  <c r="B13" i="11"/>
  <c r="K13" i="11"/>
  <c r="D13" i="11"/>
  <c r="J13" i="11"/>
  <c r="C13" i="11"/>
  <c r="G13" i="11"/>
  <c r="F13" i="11"/>
  <c r="E15" i="11"/>
  <c r="E16" i="11" s="1"/>
  <c r="F15" i="11"/>
  <c r="G15" i="11"/>
  <c r="C15" i="11"/>
  <c r="B15" i="11"/>
  <c r="D15" i="11"/>
  <c r="F10" i="11"/>
  <c r="C10" i="11"/>
  <c r="G10" i="11"/>
  <c r="B10" i="11"/>
  <c r="D10" i="11"/>
  <c r="C12" i="11"/>
  <c r="D12" i="11"/>
  <c r="B12" i="11"/>
  <c r="E12" i="11"/>
  <c r="E13" i="11" s="1"/>
  <c r="J12" i="11"/>
  <c r="F12" i="11"/>
  <c r="G12" i="11"/>
  <c r="I12" i="11"/>
  <c r="B25" i="11"/>
  <c r="F25" i="11"/>
  <c r="D25" i="11"/>
  <c r="C25" i="11"/>
  <c r="G25" i="11"/>
  <c r="D24" i="11"/>
  <c r="K24" i="11"/>
  <c r="C24" i="11"/>
  <c r="B24" i="11"/>
  <c r="J24" i="11"/>
  <c r="I24" i="11"/>
  <c r="H24" i="11"/>
  <c r="G24" i="11"/>
  <c r="F24" i="11"/>
  <c r="G23" i="11"/>
  <c r="D23" i="11"/>
  <c r="F23" i="11"/>
  <c r="C23" i="11"/>
  <c r="B23" i="11"/>
  <c r="F18" i="11"/>
  <c r="G18" i="11"/>
  <c r="E18" i="11"/>
  <c r="E19" i="11" s="1"/>
  <c r="D18" i="11"/>
  <c r="C18" i="11"/>
  <c r="B18" i="11"/>
  <c r="K16" i="11"/>
  <c r="C16" i="11"/>
  <c r="J16" i="11"/>
  <c r="B16" i="11"/>
  <c r="F16" i="11"/>
  <c r="D16" i="11"/>
  <c r="G16" i="11"/>
  <c r="D19" i="11"/>
  <c r="C19" i="11"/>
  <c r="J19" i="11"/>
  <c r="B19" i="11"/>
  <c r="G19" i="11"/>
  <c r="F19" i="11"/>
  <c r="I9" i="10"/>
  <c r="H9" i="10"/>
  <c r="G9" i="10"/>
  <c r="F9" i="10"/>
  <c r="E9" i="10"/>
  <c r="E10" i="10" s="1"/>
  <c r="D9" i="10"/>
  <c r="K9" i="10"/>
  <c r="J9" i="10"/>
  <c r="B9" i="10"/>
  <c r="F10" i="10"/>
  <c r="D10" i="10"/>
  <c r="K10" i="10"/>
  <c r="J10" i="10"/>
  <c r="B10" i="10"/>
  <c r="I10" i="10"/>
  <c r="H10" i="10"/>
  <c r="G10" i="10"/>
  <c r="H13" i="10"/>
  <c r="G13" i="10"/>
  <c r="F13" i="10"/>
  <c r="D13" i="10"/>
  <c r="K13" i="10"/>
  <c r="J13" i="10"/>
  <c r="B13" i="10"/>
  <c r="I13" i="10"/>
  <c r="K12" i="10"/>
  <c r="J12" i="10"/>
  <c r="B12" i="10"/>
  <c r="I12" i="10"/>
  <c r="H12" i="10"/>
  <c r="G12" i="10"/>
  <c r="F12" i="10"/>
  <c r="E12" i="10"/>
  <c r="E13" i="10" s="1"/>
  <c r="D12" i="10"/>
  <c r="J39" i="3"/>
  <c r="K25" i="11" s="1"/>
  <c r="I39" i="3"/>
  <c r="J25" i="11" s="1"/>
  <c r="H39" i="3"/>
  <c r="I25" i="11" s="1"/>
  <c r="G39" i="3"/>
  <c r="H25" i="11" s="1"/>
  <c r="J33" i="3"/>
  <c r="I33" i="3"/>
  <c r="H33" i="3"/>
  <c r="G33" i="3"/>
  <c r="J29" i="3"/>
  <c r="K19" i="11" s="1"/>
  <c r="I29" i="3"/>
  <c r="H29" i="3"/>
  <c r="I19" i="11" s="1"/>
  <c r="G29" i="3"/>
  <c r="H19" i="11" s="1"/>
  <c r="J28" i="3"/>
  <c r="K15" i="11" s="1"/>
  <c r="I28" i="3"/>
  <c r="J15" i="11" s="1"/>
  <c r="H28" i="3"/>
  <c r="I15" i="11" s="1"/>
  <c r="G28" i="3"/>
  <c r="H15" i="11" s="1"/>
  <c r="J27" i="3"/>
  <c r="I27" i="3"/>
  <c r="H27" i="3"/>
  <c r="G27" i="3"/>
  <c r="J26" i="3"/>
  <c r="K10" i="11" s="1"/>
  <c r="I26" i="3"/>
  <c r="J10" i="11" s="1"/>
  <c r="H26" i="3"/>
  <c r="I10" i="11" s="1"/>
  <c r="G26" i="3"/>
  <c r="H10" i="11" s="1"/>
  <c r="J25" i="3"/>
  <c r="K12" i="11" s="1"/>
  <c r="I25" i="3"/>
  <c r="H25" i="3"/>
  <c r="G25" i="3"/>
  <c r="H12" i="11" s="1"/>
  <c r="J24" i="3"/>
  <c r="K18" i="11" s="1"/>
  <c r="I24" i="3"/>
  <c r="J18" i="11" s="1"/>
  <c r="H24" i="3"/>
  <c r="I18" i="11" s="1"/>
  <c r="G24" i="3"/>
  <c r="H18" i="11" s="1"/>
  <c r="J23" i="3"/>
  <c r="K9" i="11" s="1"/>
  <c r="I23" i="3"/>
  <c r="J9" i="11" s="1"/>
  <c r="H23" i="3"/>
  <c r="I9" i="11" s="1"/>
  <c r="G23" i="3"/>
  <c r="H9" i="11" s="1"/>
  <c r="J9" i="3"/>
  <c r="I9" i="3"/>
  <c r="H9" i="3"/>
  <c r="G9" i="3"/>
  <c r="J8" i="3"/>
  <c r="K23" i="11" s="1"/>
  <c r="I8" i="3"/>
  <c r="J23" i="11" s="1"/>
  <c r="H8" i="3"/>
  <c r="I23" i="11" s="1"/>
  <c r="G8" i="3"/>
  <c r="H23" i="11" s="1"/>
  <c r="J4" i="3"/>
  <c r="I4" i="3"/>
  <c r="H4" i="3"/>
  <c r="G4" i="3"/>
  <c r="J3" i="3"/>
  <c r="I3" i="3"/>
  <c r="H3" i="3"/>
  <c r="G3" i="3"/>
  <c r="H16" i="11" l="1"/>
  <c r="I16" i="11"/>
  <c r="G5" i="5"/>
  <c r="E43" i="8" l="1"/>
  <c r="E44" i="8"/>
  <c r="E45" i="8"/>
  <c r="E46" i="8"/>
  <c r="E47" i="8"/>
  <c r="E48" i="8"/>
  <c r="E49" i="8"/>
  <c r="E50" i="8"/>
  <c r="E51" i="8"/>
  <c r="E52" i="8"/>
  <c r="E53" i="8"/>
  <c r="B43" i="8"/>
  <c r="B44" i="8"/>
  <c r="B45" i="8"/>
  <c r="B46" i="8"/>
  <c r="B47" i="8"/>
  <c r="B48" i="8"/>
  <c r="B49" i="8"/>
  <c r="B50" i="8"/>
  <c r="B51" i="8"/>
  <c r="B52" i="8"/>
  <c r="B53" i="8"/>
  <c r="A43" i="8"/>
  <c r="A44" i="8"/>
  <c r="A45" i="8"/>
  <c r="A46" i="8"/>
  <c r="A47" i="8"/>
  <c r="A48" i="8"/>
  <c r="A49" i="8"/>
  <c r="A50" i="8"/>
  <c r="A51" i="8"/>
  <c r="A52" i="8"/>
  <c r="A53" i="8"/>
  <c r="E30" i="8"/>
  <c r="E31" i="8"/>
  <c r="E32" i="8"/>
  <c r="E33" i="8"/>
  <c r="E34" i="8"/>
  <c r="E35" i="8"/>
  <c r="E36" i="8"/>
  <c r="E37" i="8"/>
  <c r="E38" i="8"/>
  <c r="E39" i="8"/>
  <c r="E40" i="8"/>
  <c r="B30" i="8"/>
  <c r="B31" i="8"/>
  <c r="B32" i="8"/>
  <c r="B33" i="8"/>
  <c r="B34" i="8"/>
  <c r="B35" i="8"/>
  <c r="B36" i="8"/>
  <c r="B37" i="8"/>
  <c r="B38" i="8"/>
  <c r="B39" i="8"/>
  <c r="B40" i="8"/>
  <c r="A30" i="8"/>
  <c r="A31" i="8"/>
  <c r="A32" i="8"/>
  <c r="A33" i="8"/>
  <c r="A34" i="8"/>
  <c r="A35" i="8"/>
  <c r="A36" i="8"/>
  <c r="A37" i="8"/>
  <c r="A38" i="8"/>
  <c r="A39" i="8"/>
  <c r="A40" i="8"/>
  <c r="E25" i="8"/>
  <c r="E26" i="8"/>
  <c r="E27" i="8"/>
  <c r="B25" i="8"/>
  <c r="B26" i="8"/>
  <c r="B27" i="8"/>
  <c r="A25" i="8"/>
  <c r="A26" i="8"/>
  <c r="A27" i="8"/>
  <c r="E11" i="8"/>
  <c r="E12" i="8"/>
  <c r="E13" i="8"/>
  <c r="E14" i="8"/>
  <c r="E15" i="8"/>
  <c r="E16" i="8"/>
  <c r="E17" i="8"/>
  <c r="E18" i="8"/>
  <c r="E19" i="8"/>
  <c r="E20" i="8"/>
  <c r="B11" i="8"/>
  <c r="B12" i="8"/>
  <c r="B13" i="8"/>
  <c r="B14" i="8"/>
  <c r="B15" i="8"/>
  <c r="B16" i="8"/>
  <c r="B17" i="8"/>
  <c r="B18" i="8"/>
  <c r="B19" i="8"/>
  <c r="B20" i="8"/>
  <c r="A11" i="8"/>
  <c r="A12" i="8"/>
  <c r="A13" i="8"/>
  <c r="A14" i="8"/>
  <c r="A15" i="8"/>
  <c r="A16" i="8"/>
  <c r="A17" i="8"/>
  <c r="A18" i="8"/>
  <c r="A19" i="8"/>
  <c r="A20" i="8"/>
  <c r="E3" i="8"/>
  <c r="E4" i="8"/>
  <c r="E5" i="8"/>
  <c r="E6" i="8"/>
  <c r="B3" i="8"/>
  <c r="B4" i="8"/>
  <c r="B5" i="8"/>
  <c r="B6" i="8"/>
  <c r="A3" i="8"/>
  <c r="A4" i="8"/>
  <c r="A5" i="8"/>
  <c r="A6" i="8"/>
  <c r="L31" i="3" l="1"/>
  <c r="L5" i="3"/>
  <c r="L6" i="3"/>
  <c r="L7" i="3"/>
  <c r="L10" i="3"/>
  <c r="L11" i="3"/>
  <c r="L14" i="3"/>
  <c r="L15" i="3"/>
  <c r="L16" i="3"/>
  <c r="L17" i="3"/>
  <c r="L18" i="3"/>
  <c r="L19" i="3"/>
  <c r="L20" i="3"/>
  <c r="L21" i="3"/>
  <c r="L22" i="3"/>
  <c r="L32" i="3"/>
  <c r="L34" i="3"/>
  <c r="L35" i="3"/>
  <c r="L36" i="3"/>
  <c r="L37" i="3"/>
  <c r="L38" i="3"/>
  <c r="P15" i="3"/>
  <c r="P32" i="3"/>
  <c r="P10" i="3"/>
  <c r="P16" i="3"/>
  <c r="P34" i="3"/>
  <c r="P31" i="3"/>
  <c r="P5" i="3"/>
  <c r="P17" i="3"/>
  <c r="P35" i="3"/>
  <c r="P20" i="3"/>
  <c r="P6" i="3"/>
  <c r="P18" i="3"/>
  <c r="P36" i="3"/>
  <c r="P38" i="3"/>
  <c r="P7" i="3"/>
  <c r="P19" i="3"/>
  <c r="P37" i="3"/>
  <c r="P21" i="3"/>
  <c r="P14" i="3"/>
  <c r="P22" i="3"/>
  <c r="P11" i="3"/>
  <c r="O15" i="3"/>
  <c r="O16" i="3"/>
  <c r="O34" i="3"/>
  <c r="O18" i="3"/>
  <c r="O36" i="3"/>
  <c r="O5" i="3"/>
  <c r="O17" i="3"/>
  <c r="O35" i="3"/>
  <c r="O6" i="3"/>
  <c r="O31" i="3"/>
  <c r="O7" i="3"/>
  <c r="O19" i="3"/>
  <c r="O37" i="3"/>
  <c r="O32" i="3"/>
  <c r="O10" i="3"/>
  <c r="O20" i="3"/>
  <c r="O38" i="3"/>
  <c r="O14" i="3"/>
  <c r="O11" i="3"/>
  <c r="O21" i="3"/>
  <c r="O22" i="3"/>
  <c r="N15" i="3"/>
  <c r="N32" i="3"/>
  <c r="N16" i="3"/>
  <c r="N34" i="3"/>
  <c r="N22" i="3"/>
  <c r="N5" i="3"/>
  <c r="N17" i="3"/>
  <c r="N35" i="3"/>
  <c r="N19" i="3"/>
  <c r="N31" i="3"/>
  <c r="N6" i="3"/>
  <c r="N18" i="3"/>
  <c r="N36" i="3"/>
  <c r="N7" i="3"/>
  <c r="N37" i="3"/>
  <c r="N14" i="3"/>
  <c r="N10" i="3"/>
  <c r="N20" i="3"/>
  <c r="N38" i="3"/>
  <c r="N11" i="3"/>
  <c r="N21" i="3"/>
  <c r="M10" i="3"/>
  <c r="M11" i="3"/>
  <c r="M21" i="3"/>
  <c r="M19" i="3"/>
  <c r="M14" i="3"/>
  <c r="M22" i="3"/>
  <c r="M37" i="3"/>
  <c r="M15" i="3"/>
  <c r="M32" i="3"/>
  <c r="M7" i="3"/>
  <c r="M16" i="3"/>
  <c r="M34" i="3"/>
  <c r="M36" i="3"/>
  <c r="M20" i="3"/>
  <c r="M31" i="3"/>
  <c r="M5" i="3"/>
  <c r="M17" i="3"/>
  <c r="M35" i="3"/>
  <c r="M18" i="3"/>
  <c r="M38" i="3"/>
  <c r="M6" i="3"/>
  <c r="M12" i="3"/>
  <c r="M13" i="3"/>
  <c r="M30" i="3"/>
  <c r="L30" i="3"/>
  <c r="L12" i="3"/>
  <c r="L13" i="3"/>
  <c r="P12" i="3"/>
  <c r="P13" i="3"/>
  <c r="P30" i="3"/>
  <c r="O13" i="3"/>
  <c r="O12" i="3"/>
  <c r="O30" i="3"/>
  <c r="N9" i="3"/>
  <c r="N23" i="3"/>
  <c r="N4" i="3"/>
  <c r="N24" i="3"/>
  <c r="N33" i="3"/>
  <c r="N25" i="3"/>
  <c r="N39" i="3"/>
  <c r="N28" i="3"/>
  <c r="N26" i="3"/>
  <c r="N12" i="3"/>
  <c r="N3" i="3"/>
  <c r="N27" i="3"/>
  <c r="N30" i="3"/>
  <c r="N8" i="3"/>
  <c r="N29" i="3"/>
  <c r="N13" i="3"/>
  <c r="L4" i="3"/>
  <c r="M4" i="3"/>
  <c r="O4" i="3"/>
  <c r="P4" i="3"/>
  <c r="L23" i="3"/>
  <c r="L24" i="3"/>
  <c r="L25" i="3"/>
  <c r="L26" i="3"/>
  <c r="L27" i="3"/>
  <c r="L28" i="3"/>
  <c r="L29" i="3"/>
  <c r="L33" i="3"/>
  <c r="L39" i="3"/>
  <c r="L8" i="3"/>
  <c r="L9" i="3"/>
  <c r="L3" i="3"/>
  <c r="M3" i="3"/>
  <c r="M8" i="3"/>
  <c r="M9" i="3"/>
  <c r="M23" i="3"/>
  <c r="M24" i="3"/>
  <c r="M25" i="3"/>
  <c r="M26" i="3"/>
  <c r="M27" i="3"/>
  <c r="M28" i="3"/>
  <c r="M29" i="3"/>
  <c r="M33" i="3"/>
  <c r="M39" i="3"/>
  <c r="O3" i="3"/>
  <c r="O8" i="3"/>
  <c r="O9" i="3"/>
  <c r="O23" i="3"/>
  <c r="O24" i="3"/>
  <c r="O25" i="3"/>
  <c r="O26" i="3"/>
  <c r="O27" i="3"/>
  <c r="O28" i="3"/>
  <c r="O29" i="3"/>
  <c r="O33" i="3"/>
  <c r="O39" i="3"/>
  <c r="P3" i="3"/>
  <c r="P8" i="3"/>
  <c r="P9" i="3"/>
  <c r="P23" i="3"/>
  <c r="P24" i="3"/>
  <c r="P25" i="3"/>
  <c r="P26" i="3"/>
  <c r="P27" i="3"/>
  <c r="P28" i="3"/>
  <c r="P29" i="3"/>
  <c r="P33" i="3"/>
  <c r="P39" i="3"/>
  <c r="A25" i="5" l="1"/>
  <c r="E25" i="5" s="1"/>
  <c r="A23" i="5"/>
  <c r="A26" i="5"/>
  <c r="A22" i="5"/>
  <c r="A10" i="5"/>
  <c r="E10" i="5" s="1"/>
  <c r="A20" i="5"/>
  <c r="A11" i="5"/>
  <c r="A19" i="5"/>
  <c r="E19" i="5" s="1"/>
  <c r="A13" i="5"/>
  <c r="E13" i="5" s="1"/>
  <c r="A17" i="5"/>
  <c r="A14" i="5"/>
  <c r="A16" i="5"/>
  <c r="E16" i="5" s="1"/>
  <c r="E20" i="5" l="1"/>
  <c r="E26" i="5"/>
  <c r="E17" i="5"/>
  <c r="E11" i="5"/>
  <c r="E14" i="5"/>
  <c r="F22" i="5"/>
  <c r="G22" i="5"/>
  <c r="H22" i="5"/>
  <c r="I22" i="5"/>
  <c r="E22" i="5"/>
  <c r="E23" i="5" s="1"/>
  <c r="K20" i="5"/>
  <c r="J20" i="5"/>
  <c r="H20" i="5"/>
  <c r="I20" i="5"/>
  <c r="I10" i="5"/>
  <c r="H10" i="5"/>
  <c r="K10" i="5"/>
  <c r="J10" i="5"/>
  <c r="I16" i="5"/>
  <c r="H16" i="5"/>
  <c r="K16" i="5"/>
  <c r="J16" i="5"/>
  <c r="J22" i="5"/>
  <c r="K22" i="5"/>
  <c r="K14" i="5"/>
  <c r="J14" i="5"/>
  <c r="H14" i="5"/>
  <c r="I14" i="5"/>
  <c r="K26" i="5"/>
  <c r="J26" i="5"/>
  <c r="H26" i="5"/>
  <c r="I26" i="5"/>
  <c r="K17" i="5"/>
  <c r="J17" i="5"/>
  <c r="I17" i="5"/>
  <c r="H17" i="5"/>
  <c r="I13" i="5"/>
  <c r="H13" i="5"/>
  <c r="K13" i="5"/>
  <c r="J13" i="5"/>
  <c r="I25" i="5"/>
  <c r="H25" i="5"/>
  <c r="K25" i="5"/>
  <c r="J25" i="5"/>
  <c r="K11" i="5"/>
  <c r="J11" i="5"/>
  <c r="I11" i="5"/>
  <c r="H11" i="5"/>
  <c r="K23" i="5"/>
  <c r="J23" i="5"/>
  <c r="I23" i="5"/>
  <c r="H23" i="5"/>
  <c r="I19" i="5"/>
  <c r="H19" i="5"/>
  <c r="K19" i="5"/>
  <c r="J19" i="5"/>
  <c r="D16" i="5"/>
  <c r="F16" i="5"/>
  <c r="G16" i="5"/>
  <c r="D14" i="5"/>
  <c r="F14" i="5"/>
  <c r="G14" i="5"/>
  <c r="D17" i="5"/>
  <c r="F17" i="5"/>
  <c r="G17" i="5"/>
  <c r="D13" i="5"/>
  <c r="F13" i="5"/>
  <c r="G13" i="5"/>
  <c r="D19" i="5"/>
  <c r="F19" i="5"/>
  <c r="G19" i="5"/>
  <c r="D11" i="5"/>
  <c r="F11" i="5"/>
  <c r="G11" i="5"/>
  <c r="D20" i="5"/>
  <c r="F20" i="5"/>
  <c r="G20" i="5"/>
  <c r="D10" i="5"/>
  <c r="F10" i="5"/>
  <c r="G10" i="5"/>
  <c r="D22" i="5"/>
  <c r="C20" i="5"/>
  <c r="B20" i="5"/>
  <c r="C10" i="5"/>
  <c r="B10" i="5"/>
  <c r="C19" i="5"/>
  <c r="B19" i="5"/>
  <c r="C16" i="5"/>
  <c r="B16" i="5"/>
  <c r="C22" i="5"/>
  <c r="B22" i="5"/>
  <c r="C13" i="5"/>
  <c r="B13" i="5"/>
  <c r="C14" i="5"/>
  <c r="B14" i="5"/>
  <c r="G26" i="5"/>
  <c r="D26" i="5"/>
  <c r="C26" i="5"/>
  <c r="B26" i="5"/>
  <c r="F26" i="5"/>
  <c r="C25" i="5"/>
  <c r="D25" i="5"/>
  <c r="B25" i="5"/>
  <c r="G25" i="5"/>
  <c r="F25" i="5"/>
  <c r="C11" i="5"/>
  <c r="B11" i="5"/>
  <c r="C17" i="5"/>
  <c r="B17" i="5"/>
  <c r="C23" i="5"/>
  <c r="G23" i="5"/>
  <c r="F23" i="5"/>
  <c r="B23" i="5"/>
  <c r="D23" i="5"/>
</calcChain>
</file>

<file path=xl/sharedStrings.xml><?xml version="1.0" encoding="utf-8"?>
<sst xmlns="http://schemas.openxmlformats.org/spreadsheetml/2006/main" count="1334" uniqueCount="231">
  <si>
    <t>UDC</t>
  </si>
  <si>
    <t>Ver</t>
  </si>
  <si>
    <t>OUA Cd</t>
  </si>
  <si>
    <t>Unit Title</t>
  </si>
  <si>
    <t>SP</t>
  </si>
  <si>
    <t>Pre-reqs</t>
  </si>
  <si>
    <t>Credits</t>
  </si>
  <si>
    <t>Availabilities</t>
  </si>
  <si>
    <t>Progress Notes</t>
  </si>
  <si>
    <r>
      <t>Curtin University</t>
    </r>
    <r>
      <rPr>
        <sz val="11"/>
        <color theme="0"/>
        <rFont val="Arial"/>
        <family val="2"/>
      </rPr>
      <t xml:space="preserve">
School of Design and the Built Environment</t>
    </r>
  </si>
  <si>
    <t>2025 Full-Time Enrolment Planner</t>
  </si>
  <si>
    <t>Course:</t>
  </si>
  <si>
    <t>Graduate Certificate in Project Management (OpenUnis)</t>
  </si>
  <si>
    <t>Course version:</t>
  </si>
  <si>
    <t>Commencing:</t>
  </si>
  <si>
    <t>Study Period 1 (February - May)</t>
  </si>
  <si>
    <t>Credits to Complete:</t>
  </si>
  <si>
    <t>Year 1</t>
  </si>
  <si>
    <t>2025 Availabilities</t>
  </si>
  <si>
    <t>Curtin Code</t>
  </si>
  <si>
    <t>OUA Code</t>
  </si>
  <si>
    <t>Study Period</t>
  </si>
  <si>
    <t>Pre Requisite(s)</t>
  </si>
  <si>
    <t>Credit Points</t>
  </si>
  <si>
    <t>SP1</t>
  </si>
  <si>
    <t>SP2</t>
  </si>
  <si>
    <t>SP3</t>
  </si>
  <si>
    <t>SP4</t>
  </si>
  <si>
    <t>Notes / Progress</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</si>
  <si>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</si>
  <si>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</si>
  <si>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</si>
  <si>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</si>
  <si>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Graduate Diploma in Project Management (OpenUnis)</t>
  </si>
  <si>
    <t>Alternate Core subjects</t>
  </si>
  <si>
    <t>CP</t>
  </si>
  <si>
    <t>Study Period 4 (November - February)</t>
  </si>
  <si>
    <t>Year 2</t>
  </si>
  <si>
    <t>Project Management</t>
  </si>
  <si>
    <t>Professional Stream (OUA MSc Proj Mngmt)</t>
  </si>
  <si>
    <t>Research Stream (OUA MSc Proj Mngmt)</t>
  </si>
  <si>
    <t>RangeUnitSets</t>
  </si>
  <si>
    <t>OC-PROJMSP1</t>
  </si>
  <si>
    <t>OC-PROJMSP2</t>
  </si>
  <si>
    <t>OC-PROJMSP3</t>
  </si>
  <si>
    <t>OC-PROJMSP4</t>
  </si>
  <si>
    <t>OG-PROJMSP1</t>
  </si>
  <si>
    <t>OG-PROJMSP2</t>
  </si>
  <si>
    <t>OG-PROJMSP3</t>
  </si>
  <si>
    <t>OG-PROJMSP4</t>
  </si>
  <si>
    <t>Y1SP1</t>
  </si>
  <si>
    <t>PRJM6000</t>
  </si>
  <si>
    <t>Y1SP2</t>
  </si>
  <si>
    <t>PRJM6015</t>
  </si>
  <si>
    <t>Y1SP3</t>
  </si>
  <si>
    <t>Y1SP4</t>
  </si>
  <si>
    <t>PRJM6002</t>
  </si>
  <si>
    <t>TableCourses</t>
  </si>
  <si>
    <t>PRJM6001</t>
  </si>
  <si>
    <t>PRJM6021</t>
  </si>
  <si>
    <t>PRJM6010</t>
  </si>
  <si>
    <t>Choose your Stream (drop-down list)</t>
  </si>
  <si>
    <t>SM Version</t>
  </si>
  <si>
    <t>SM Effective Date</t>
  </si>
  <si>
    <t>Akari Iteration</t>
  </si>
  <si>
    <t>Akari Effective Date</t>
  </si>
  <si>
    <t>SM Availabilities</t>
  </si>
  <si>
    <t>PRJM6013</t>
  </si>
  <si>
    <t>300 credit points required</t>
  </si>
  <si>
    <t>SP1; SP2; SP3; SP4</t>
  </si>
  <si>
    <t>PRJM6016</t>
  </si>
  <si>
    <t>PRJM6004</t>
  </si>
  <si>
    <t>PRJM6005</t>
  </si>
  <si>
    <t>PRJM6009</t>
  </si>
  <si>
    <t>OG-PROJM</t>
  </si>
  <si>
    <t>v.2</t>
  </si>
  <si>
    <t xml:space="preserve">200 credit points required </t>
  </si>
  <si>
    <t>AC-PROJM</t>
  </si>
  <si>
    <t>PRJM6003</t>
  </si>
  <si>
    <t>PRJM6025</t>
  </si>
  <si>
    <t>-</t>
  </si>
  <si>
    <t>URDE6007</t>
  </si>
  <si>
    <t>OC-PROJM</t>
  </si>
  <si>
    <t>v.1</t>
  </si>
  <si>
    <t xml:space="preserve">100 credit points required </t>
  </si>
  <si>
    <t>TableStudyPeriod</t>
  </si>
  <si>
    <t>Y2SP1</t>
  </si>
  <si>
    <t>Y2SP2</t>
  </si>
  <si>
    <t>Y2SP3</t>
  </si>
  <si>
    <t>Y2SP4</t>
  </si>
  <si>
    <t>Choose your commencing study period (drop-down list)</t>
  </si>
  <si>
    <t>Start</t>
  </si>
  <si>
    <t>Next</t>
  </si>
  <si>
    <t>Next2</t>
  </si>
  <si>
    <t>Next3</t>
  </si>
  <si>
    <t>Elective</t>
  </si>
  <si>
    <t>PRJM6012</t>
  </si>
  <si>
    <t>Study Period 2 (May - August)</t>
  </si>
  <si>
    <t>Study Period 3 (August - November)</t>
  </si>
  <si>
    <t>50CP Unit</t>
  </si>
  <si>
    <t>Pre Req Issue</t>
  </si>
  <si>
    <t>TableStreams</t>
  </si>
  <si>
    <t>RangeAltCores</t>
  </si>
  <si>
    <t>--</t>
  </si>
  <si>
    <t>AltCore</t>
  </si>
  <si>
    <t>OUSP-PROFL</t>
  </si>
  <si>
    <t>OUSP-RESCH</t>
  </si>
  <si>
    <t>OUA Codes</t>
  </si>
  <si>
    <t>1)      Update high level course / component &amp; study period details (Unitsets Tab)</t>
  </si>
  <si>
    <t>PENDING OUA One-Code</t>
  </si>
  <si>
    <t>2)      Update Planner page(s) to reference year of planner e.g. “2025” (Planner Tab)</t>
  </si>
  <si>
    <t>3)      Update structures (Structures Tab)</t>
  </si>
  <si>
    <t>4)      Update Handbook unit list from updated structures (Handbook Tab)</t>
  </si>
  <si>
    <t>5)      Update Availabilities using updated Handbook unit list (Availabilities Tab)</t>
  </si>
  <si>
    <t>PRJM6018</t>
  </si>
  <si>
    <t>PRJM6014</t>
  </si>
  <si>
    <t>PRJM6020</t>
  </si>
  <si>
    <t>PRJM6017</t>
  </si>
  <si>
    <t>6)      Update Pre Requisites (Handbook Tab)</t>
  </si>
  <si>
    <t>PRJM6026</t>
  </si>
  <si>
    <t>7)      Update sequences for courses / components (Unitsets Tab)</t>
  </si>
  <si>
    <t>Check PRJM6009 for SP4 starters with new 150CP Pre Req</t>
  </si>
  <si>
    <t>8)      Review Handbook Tab for obvious issues / errors and enter notes (Handbook Tab)</t>
  </si>
  <si>
    <t>9)      Review Planner Tab(s) for obvious issues / errors (Planner Tab)</t>
  </si>
  <si>
    <t>PRJM6023</t>
  </si>
  <si>
    <t>Title</t>
  </si>
  <si>
    <t>Pre-reqs (10/10/2024)</t>
  </si>
  <si>
    <t>Notes</t>
  </si>
  <si>
    <t>OM-PROJM</t>
  </si>
  <si>
    <t>Please note this is a double (50CP) subject</t>
  </si>
  <si>
    <t>Not relevant to this study sequence</t>
  </si>
  <si>
    <t>ACCT5021</t>
  </si>
  <si>
    <t>Accounting for Managers</t>
  </si>
  <si>
    <t>None</t>
  </si>
  <si>
    <t>Study either PRJM6025 OR URDE6006 (see below)</t>
  </si>
  <si>
    <t>See below</t>
  </si>
  <si>
    <t>AC-PROJM2</t>
  </si>
  <si>
    <t>Study either ACCT5021 OR FNCE5008 (see below)</t>
  </si>
  <si>
    <t>Study either PRM630 or DBE600 (see below)</t>
  </si>
  <si>
    <t>Study a Postgraduate Level Elective Subject</t>
  </si>
  <si>
    <t>Check OUA Website</t>
  </si>
  <si>
    <t>Study a Postgraduate level Elective Unit</t>
  </si>
  <si>
    <t>See Handbook</t>
  </si>
  <si>
    <t>FNCE5008</t>
  </si>
  <si>
    <t>Financial Principles and Analysis</t>
  </si>
  <si>
    <t>Project Management Overview</t>
  </si>
  <si>
    <t>Project Cost Management</t>
  </si>
  <si>
    <t>Project Planning and Schedule Management</t>
  </si>
  <si>
    <t>Project Risk Management</t>
  </si>
  <si>
    <t>50CP</t>
  </si>
  <si>
    <t>Project Procurement Management</t>
  </si>
  <si>
    <t>Program and Portfolio Management</t>
  </si>
  <si>
    <t>Project Management Integrated Project</t>
  </si>
  <si>
    <t>150CP</t>
  </si>
  <si>
    <t>Project and People</t>
  </si>
  <si>
    <t>Project Management Dissertation</t>
  </si>
  <si>
    <t>DBE600 or PRM610</t>
  </si>
  <si>
    <t>PRM500</t>
  </si>
  <si>
    <t>PRM560</t>
  </si>
  <si>
    <t>PRM510</t>
  </si>
  <si>
    <t>PRM520</t>
  </si>
  <si>
    <t>PRM600</t>
  </si>
  <si>
    <t>PRM540</t>
  </si>
  <si>
    <t>PRM550</t>
  </si>
  <si>
    <t>PRM530</t>
  </si>
  <si>
    <t>PRM620</t>
  </si>
  <si>
    <t>Agile Management</t>
  </si>
  <si>
    <t>PRM630</t>
  </si>
  <si>
    <t>STRP-PROF2</t>
  </si>
  <si>
    <t>Professional Stream (Master Proj Mngmt)</t>
  </si>
  <si>
    <t>STRP-PROFL</t>
  </si>
  <si>
    <t>Professional Stream (MSc Proj Mngmt)</t>
  </si>
  <si>
    <t>STRP-RESCH</t>
  </si>
  <si>
    <t>Research Stream (MSc Proj Mngmt)</t>
  </si>
  <si>
    <t>STRP-RSCH2</t>
  </si>
  <si>
    <t>Research Stream (Master Proj Mngmt)</t>
  </si>
  <si>
    <t>URDE6006</t>
  </si>
  <si>
    <t>Design and Built Environment Research Methods</t>
  </si>
  <si>
    <t>DBE600</t>
  </si>
  <si>
    <t>Effective:</t>
  </si>
  <si>
    <t>Downloaded:</t>
  </si>
  <si>
    <t>Version</t>
  </si>
  <si>
    <t>CPs</t>
  </si>
  <si>
    <t>No.</t>
  </si>
  <si>
    <t>Component Type</t>
  </si>
  <si>
    <t>Year Level</t>
  </si>
  <si>
    <t>Study Package Code</t>
  </si>
  <si>
    <t>Structure Line</t>
  </si>
  <si>
    <t>Effective</t>
  </si>
  <si>
    <t>Discont.</t>
  </si>
  <si>
    <t>SPK</t>
  </si>
  <si>
    <t>Core</t>
  </si>
  <si>
    <t>Semester 1</t>
  </si>
  <si>
    <t>PRM500 Project Management Overview</t>
  </si>
  <si>
    <t>Study Period 3</t>
  </si>
  <si>
    <t>PRM510 Project and People</t>
  </si>
  <si>
    <t>PRM520 Project Cost Management</t>
  </si>
  <si>
    <t>PRM530 Project Planning and Schedule Management</t>
  </si>
  <si>
    <t>Semester 2</t>
  </si>
  <si>
    <t>PRM540 Project Procurement Management</t>
  </si>
  <si>
    <t>PRM550 Project Risk Management</t>
  </si>
  <si>
    <t>PRM560 Program and Portfolio Management</t>
  </si>
  <si>
    <t>PRM630 Agile Management</t>
  </si>
  <si>
    <t>DBE600 Design and Built Environment Research Methods</t>
  </si>
  <si>
    <t>Master of Science (Project Management) (OpenUnis)</t>
  </si>
  <si>
    <t>NA</t>
  </si>
  <si>
    <t>Stream</t>
  </si>
  <si>
    <t>Master of Science (Project Management) Stream List</t>
  </si>
  <si>
    <t>Professional Stream (11) students study their optional unit in Year 2, semester 1 while Research Stream Students study PRJM6012 Project Management Research 2</t>
  </si>
  <si>
    <t>PRM600 Project Management Integrated Project</t>
  </si>
  <si>
    <t>PRM620 Project Management Dissertation</t>
  </si>
  <si>
    <t>Row Labels</t>
  </si>
  <si>
    <t>OpenUnis SP 1</t>
  </si>
  <si>
    <t>OpenUnis SP 2</t>
  </si>
  <si>
    <t>OpenUnis SP 3</t>
  </si>
  <si>
    <t>OpenUnis SP 4</t>
  </si>
  <si>
    <t/>
  </si>
  <si>
    <t>Choose URDE6007 or PRJM6026</t>
  </si>
  <si>
    <t>Curtin UDC</t>
  </si>
  <si>
    <t xml:space="preserve">Stream: </t>
  </si>
  <si>
    <t>Stream version:</t>
  </si>
  <si>
    <t>OUSP-PROFLSP1</t>
  </si>
  <si>
    <t>OUSP-PROFLSP2</t>
  </si>
  <si>
    <t>OUSP-PROFLSP3</t>
  </si>
  <si>
    <t>OUSP-PROFLSP4</t>
  </si>
  <si>
    <t>OUSP-RESCHSP1</t>
  </si>
  <si>
    <t>OUSP-RESCHSP2</t>
  </si>
  <si>
    <t>OUSP-RESCHSP3</t>
  </si>
  <si>
    <t>OUSP-RESCHSP4</t>
  </si>
  <si>
    <t>Reverted as OUA availabilities added back in to SM, but not showing on OUA website at the moment</t>
  </si>
  <si>
    <t>Confirmed that OUA One-Code is on hold for SP1 (at least)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</si>
</sst>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8"/>
      <color rgb="FFFF0000"/>
      <name val="Arial"/>
      <family val="2"/>
    </font>
    <font>
      <sz val="8"/>
      <color theme="5"/>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sz val="8"/>
      <color theme="0" tint="-0.499984740745262"/>
      <name val="Arial"/>
      <family val="2"/>
    </font>
    <font>
      <b/>
      <sz val="11"/>
      <color theme="1"/>
      <name val="Segoe UI"/>
      <family val="2"/>
    </font>
    <font>
      <b/>
      <sz val="9"/>
      <color theme="1"/>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11"/>
      <name val="Segoe UI"/>
      <family val="2"/>
    </font>
    <font>
      <sz val="11"/>
      <color theme="1"/>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11"/>
      <color theme="0"/>
      <name val="Arial"/>
      <family val="2"/>
    </font>
    <font>
      <sz val="11"/>
      <color theme="0"/>
      <name val="Arial"/>
      <family val="2"/>
    </font>
    <font>
      <b/>
      <sz val="11"/>
      <color theme="0"/>
      <name val="Segoe UI"/>
      <family val="2"/>
    </font>
    <font>
      <b/>
      <sz val="11"/>
      <color rgb="FFFF0000"/>
      <name val="Segoe UI"/>
      <family val="2"/>
    </font>
    <font>
      <sz val="9"/>
      <color rgb="FFFF0000"/>
      <name val="Segoe UI"/>
      <family val="2"/>
    </font>
    <font>
      <i/>
      <sz val="10"/>
      <color rgb="FFA6A6A6"/>
      <name val="Arial"/>
      <family val="2"/>
    </font>
    <font>
      <b/>
      <sz val="10"/>
      <color theme="1"/>
      <name val="Segoe UI"/>
      <family val="2"/>
    </font>
    <font>
      <b/>
      <i/>
      <sz val="12"/>
      <color rgb="FFC00000"/>
      <name val="Calibri"/>
      <family val="2"/>
      <scheme val="minor"/>
    </font>
    <font>
      <b/>
      <sz val="18"/>
      <color theme="1"/>
      <name val="Segoe UI"/>
      <family val="2"/>
    </font>
    <font>
      <b/>
      <sz val="11"/>
      <name val="Segoe UI"/>
      <family val="2"/>
    </font>
    <font>
      <sz val="12"/>
      <name val="Calibri"/>
      <family val="2"/>
      <scheme val="minor"/>
    </font>
    <font>
      <b/>
      <sz val="9"/>
      <color theme="0"/>
      <name val="Segoe UI"/>
      <family val="2"/>
    </font>
    <font>
      <sz val="10"/>
      <color rgb="FFFF0000"/>
      <name val="Arial"/>
      <family val="2"/>
    </font>
    <font>
      <sz val="11"/>
      <color rgb="FF006100"/>
      <name val="Calibri"/>
      <family val="2"/>
      <scheme val="minor"/>
    </font>
    <font>
      <sz val="12"/>
      <color rgb="FFFF0000"/>
      <name val="Calibri"/>
      <family val="2"/>
      <scheme val="minor"/>
    </font>
    <font>
      <sz val="8"/>
      <color theme="0" tint="-0.34998626667073579"/>
      <name val="Arial"/>
      <family val="2"/>
    </font>
    <font>
      <sz val="12"/>
      <color rgb="FF00B050"/>
      <name val="Calibri"/>
      <family val="2"/>
      <scheme val="minor"/>
    </font>
    <font>
      <b/>
      <i/>
      <sz val="12"/>
      <color rgb="FF00B050"/>
      <name val="Calibri"/>
      <family val="2"/>
      <scheme val="minor"/>
    </font>
    <font>
      <sz val="10"/>
      <color rgb="FF00B050"/>
      <name val="Arial"/>
      <family val="2"/>
    </font>
    <font>
      <sz val="10"/>
      <name val="Arial"/>
      <family val="2"/>
    </font>
    <font>
      <b/>
      <sz val="11"/>
      <color theme="0" tint="-0.14999847407452621"/>
      <name val="Segoe UI"/>
      <family val="2"/>
    </font>
  </fonts>
  <fills count="16">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bgColor indexed="64"/>
      </patternFill>
    </fill>
    <fill>
      <patternFill patternType="solid">
        <fgColor rgb="FFFFC000"/>
        <bgColor indexed="64"/>
      </patternFill>
    </fill>
    <fill>
      <patternFill patternType="solid">
        <fgColor rgb="FFFFFF00"/>
        <bgColor indexed="64"/>
      </patternFill>
    </fill>
    <fill>
      <patternFill patternType="solid">
        <fgColor theme="8"/>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C6EFCE"/>
      </patternFill>
    </fill>
    <fill>
      <patternFill patternType="solid">
        <fgColor rgb="FFFF0000"/>
        <bgColor indexed="64"/>
      </patternFill>
    </fill>
  </fills>
  <borders count="7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rgb="FF999999"/>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indexed="64"/>
      </top>
      <bottom/>
      <diagonal/>
    </border>
    <border>
      <left style="thin">
        <color rgb="FF000000"/>
      </left>
      <right/>
      <top/>
      <bottom style="thin">
        <color indexed="64"/>
      </bottom>
      <diagonal/>
    </border>
    <border>
      <left style="thin">
        <color indexed="64"/>
      </left>
      <right/>
      <top style="thin">
        <color rgb="FF000000"/>
      </top>
      <bottom/>
      <diagonal/>
    </border>
    <border>
      <left style="thin">
        <color indexed="64"/>
      </left>
      <right/>
      <top/>
      <bottom style="thin">
        <color rgb="FF000000"/>
      </bottom>
      <diagonal/>
    </border>
    <border>
      <left/>
      <right style="double">
        <color auto="1"/>
      </right>
      <top/>
      <bottom/>
      <diagonal/>
    </border>
    <border>
      <left/>
      <right style="thin">
        <color indexed="64"/>
      </right>
      <top style="thin">
        <color rgb="FF000000"/>
      </top>
      <bottom/>
      <diagonal/>
    </border>
    <border>
      <left style="thin">
        <color indexed="64"/>
      </left>
      <right/>
      <top style="thin">
        <color auto="1"/>
      </top>
      <bottom style="thin">
        <color auto="1"/>
      </bottom>
      <diagonal/>
    </border>
    <border>
      <left/>
      <right/>
      <top style="thin">
        <color auto="1"/>
      </top>
      <bottom style="thin">
        <color auto="1"/>
      </bottom>
      <diagonal/>
    </border>
    <border>
      <left/>
      <right style="thin">
        <color indexed="64"/>
      </right>
      <top style="thin">
        <color auto="1"/>
      </top>
      <bottom style="thin">
        <color auto="1"/>
      </bottom>
      <diagonal/>
    </border>
    <border>
      <left/>
      <right/>
      <top style="thin">
        <color theme="0" tint="-0.14993743705557422"/>
      </top>
      <bottom/>
      <diagonal/>
    </border>
    <border>
      <left style="thin">
        <color theme="0" tint="-0.14996795556505021"/>
      </left>
      <right/>
      <top style="thin">
        <color theme="0" tint="-0.14996795556505021"/>
      </top>
      <bottom style="thin">
        <color theme="0" tint="-0.14993743705557422"/>
      </bottom>
      <diagonal/>
    </border>
    <border>
      <left/>
      <right/>
      <top style="thin">
        <color theme="0" tint="-0.14996795556505021"/>
      </top>
      <bottom style="thin">
        <color theme="0" tint="-0.14993743705557422"/>
      </bottom>
      <diagonal/>
    </border>
    <border>
      <left/>
      <right style="thin">
        <color theme="0" tint="-0.14996795556505021"/>
      </right>
      <top style="thin">
        <color theme="0" tint="-0.14996795556505021"/>
      </top>
      <bottom style="thin">
        <color theme="0" tint="-0.14993743705557422"/>
      </bottom>
      <diagonal/>
    </border>
    <border>
      <left style="thin">
        <color theme="0" tint="-0.14996795556505021"/>
      </left>
      <right/>
      <top style="thin">
        <color theme="0" tint="-0.14993743705557422"/>
      </top>
      <bottom style="thin">
        <color theme="0" tint="-0.14996795556505021"/>
      </bottom>
      <diagonal/>
    </border>
    <border>
      <left/>
      <right/>
      <top style="thin">
        <color theme="0" tint="-0.14993743705557422"/>
      </top>
      <bottom style="thin">
        <color theme="0" tint="-0.14996795556505021"/>
      </bottom>
      <diagonal/>
    </border>
    <border>
      <left/>
      <right style="thin">
        <color theme="0" tint="-0.14996795556505021"/>
      </right>
      <top style="thin">
        <color theme="0" tint="-0.14993743705557422"/>
      </top>
      <bottom style="thin">
        <color theme="0" tint="-0.14996795556505021"/>
      </bottom>
      <diagonal/>
    </border>
    <border>
      <left style="thin">
        <color theme="0" tint="-0.14993743705557422"/>
      </left>
      <right/>
      <top style="thin">
        <color theme="0" tint="-0.14993743705557422"/>
      </top>
      <bottom style="thin">
        <color theme="0" tint="-0.14993743705557422"/>
      </bottom>
      <diagonal/>
    </border>
    <border>
      <left style="thin">
        <color theme="0" tint="-0.14993743705557422"/>
      </left>
      <right/>
      <top style="thin">
        <color theme="0" tint="-0.14993743705557422"/>
      </top>
      <bottom style="thin">
        <color theme="0" tint="-0.14996795556505021"/>
      </bottom>
      <diagonal/>
    </border>
    <border>
      <left/>
      <right style="thin">
        <color theme="0" tint="-0.14993743705557422"/>
      </right>
      <top style="thin">
        <color theme="0" tint="-0.14993743705557422"/>
      </top>
      <bottom style="thin">
        <color theme="0" tint="-0.14996795556505021"/>
      </bottom>
      <diagonal/>
    </border>
    <border>
      <left style="thin">
        <color theme="0" tint="-0.14993743705557422"/>
      </left>
      <right/>
      <top/>
      <bottom/>
      <diagonal/>
    </border>
    <border>
      <left/>
      <right style="thin">
        <color theme="0" tint="-0.14993743705557422"/>
      </right>
      <top/>
      <bottom/>
      <diagonal/>
    </border>
    <border>
      <left style="thin">
        <color theme="0" tint="-0.14993743705557422"/>
      </left>
      <right/>
      <top style="thin">
        <color theme="0" tint="-0.14996795556505021"/>
      </top>
      <bottom style="thin">
        <color theme="0" tint="-0.14993743705557422"/>
      </bottom>
      <diagonal/>
    </border>
    <border>
      <left/>
      <right style="thin">
        <color theme="0" tint="-0.14993743705557422"/>
      </right>
      <top style="thin">
        <color theme="0" tint="-0.14996795556505021"/>
      </top>
      <bottom style="thin">
        <color theme="0" tint="-0.14993743705557422"/>
      </bottom>
      <diagonal/>
    </border>
    <border>
      <left style="medium">
        <color auto="1"/>
      </left>
      <right/>
      <top/>
      <bottom/>
      <diagonal/>
    </border>
    <border>
      <left style="thin">
        <color theme="0" tint="-0.14990691854609822"/>
      </left>
      <right style="thin">
        <color theme="0" tint="-0.1498764000366222"/>
      </right>
      <top/>
      <bottom/>
      <diagonal/>
    </border>
    <border>
      <left style="thin">
        <color theme="0" tint="-0.1498764000366222"/>
      </left>
      <right style="thin">
        <color theme="0" tint="-0.1498764000366222"/>
      </right>
      <top/>
      <bottom/>
      <diagonal/>
    </border>
    <border>
      <left style="thin">
        <color theme="0" tint="-0.1498764000366222"/>
      </left>
      <right style="thin">
        <color theme="0" tint="-0.14990691854609822"/>
      </right>
      <top/>
      <bottom/>
      <diagonal/>
    </border>
    <border>
      <left style="thin">
        <color theme="0" tint="-0.14990691854609822"/>
      </left>
      <right style="thin">
        <color theme="0" tint="-0.1498764000366222"/>
      </right>
      <top style="thin">
        <color theme="0" tint="-0.14993743705557422"/>
      </top>
      <bottom style="thin">
        <color theme="0" tint="-0.14993743705557422"/>
      </bottom>
      <diagonal/>
    </border>
    <border>
      <left style="thin">
        <color theme="0" tint="-0.1498764000366222"/>
      </left>
      <right style="thin">
        <color theme="0" tint="-0.1498764000366222"/>
      </right>
      <top style="thin">
        <color theme="0" tint="-0.14993743705557422"/>
      </top>
      <bottom style="thin">
        <color theme="0" tint="-0.14993743705557422"/>
      </bottom>
      <diagonal/>
    </border>
    <border>
      <left style="thin">
        <color theme="0" tint="-0.1498764000366222"/>
      </left>
      <right style="thin">
        <color theme="0" tint="-0.14990691854609822"/>
      </right>
      <top style="thin">
        <color theme="0" tint="-0.14993743705557422"/>
      </top>
      <bottom style="thin">
        <color theme="0" tint="-0.14993743705557422"/>
      </bottom>
      <diagonal/>
    </border>
    <border>
      <left style="thin">
        <color theme="0" tint="-0.14990691854609822"/>
      </left>
      <right style="thin">
        <color theme="0" tint="-0.1498764000366222"/>
      </right>
      <top style="thin">
        <color theme="0" tint="-0.14993743705557422"/>
      </top>
      <bottom style="thin">
        <color theme="0" tint="-0.14996795556505021"/>
      </bottom>
      <diagonal/>
    </border>
    <border>
      <left style="thin">
        <color theme="0" tint="-0.1498764000366222"/>
      </left>
      <right style="thin">
        <color theme="0" tint="-0.1498764000366222"/>
      </right>
      <top style="thin">
        <color theme="0" tint="-0.14993743705557422"/>
      </top>
      <bottom style="thin">
        <color theme="0" tint="-0.14996795556505021"/>
      </bottom>
      <diagonal/>
    </border>
    <border>
      <left style="thin">
        <color theme="0" tint="-0.1498764000366222"/>
      </left>
      <right style="thin">
        <color theme="0" tint="-0.14990691854609822"/>
      </right>
      <top style="thin">
        <color theme="0" tint="-0.14993743705557422"/>
      </top>
      <bottom style="thin">
        <color theme="0" tint="-0.14996795556505021"/>
      </bottom>
      <diagonal/>
    </border>
    <border>
      <left style="thin">
        <color theme="0" tint="-0.14990691854609822"/>
      </left>
      <right style="thin">
        <color theme="0" tint="-0.1498764000366222"/>
      </right>
      <top style="thin">
        <color theme="0" tint="-0.14996795556505021"/>
      </top>
      <bottom style="thin">
        <color theme="0" tint="-0.14993743705557422"/>
      </bottom>
      <diagonal/>
    </border>
    <border>
      <left style="thin">
        <color theme="0" tint="-0.1498764000366222"/>
      </left>
      <right style="thin">
        <color theme="0" tint="-0.1498764000366222"/>
      </right>
      <top style="thin">
        <color theme="0" tint="-0.14996795556505021"/>
      </top>
      <bottom style="thin">
        <color theme="0" tint="-0.14993743705557422"/>
      </bottom>
      <diagonal/>
    </border>
    <border>
      <left style="thin">
        <color theme="0" tint="-0.1498764000366222"/>
      </left>
      <right style="thin">
        <color theme="0" tint="-0.14990691854609822"/>
      </right>
      <top style="thin">
        <color theme="0" tint="-0.14996795556505021"/>
      </top>
      <bottom style="thin">
        <color theme="0" tint="-0.14993743705557422"/>
      </bottom>
      <diagonal/>
    </border>
    <border>
      <left style="thin">
        <color theme="0" tint="-0.14990691854609822"/>
      </left>
      <right style="thin">
        <color theme="0" tint="-0.1498764000366222"/>
      </right>
      <top style="thin">
        <color theme="0" tint="-0.1498764000366222"/>
      </top>
      <bottom style="thin">
        <color theme="0" tint="-0.14993743705557422"/>
      </bottom>
      <diagonal/>
    </border>
    <border>
      <left style="thin">
        <color theme="0" tint="-0.1498764000366222"/>
      </left>
      <right style="thin">
        <color theme="0" tint="-0.1498764000366222"/>
      </right>
      <top style="thin">
        <color theme="0" tint="-0.1498764000366222"/>
      </top>
      <bottom style="thin">
        <color theme="0" tint="-0.14993743705557422"/>
      </bottom>
      <diagonal/>
    </border>
    <border>
      <left style="thin">
        <color theme="0" tint="-0.1498764000366222"/>
      </left>
      <right style="thin">
        <color theme="0" tint="-0.14990691854609822"/>
      </right>
      <top style="thin">
        <color theme="0" tint="-0.1498764000366222"/>
      </top>
      <bottom style="thin">
        <color theme="0" tint="-0.14993743705557422"/>
      </bottom>
      <diagonal/>
    </border>
    <border>
      <left style="thin">
        <color theme="0" tint="-0.14990691854609822"/>
      </left>
      <right style="thin">
        <color theme="0" tint="-0.1498764000366222"/>
      </right>
      <top style="thin">
        <color theme="0" tint="-0.14993743705557422"/>
      </top>
      <bottom style="thin">
        <color theme="0" tint="-0.1498764000366222"/>
      </bottom>
      <diagonal/>
    </border>
    <border>
      <left style="thin">
        <color theme="0" tint="-0.1498764000366222"/>
      </left>
      <right style="thin">
        <color theme="0" tint="-0.1498764000366222"/>
      </right>
      <top style="thin">
        <color theme="0" tint="-0.14993743705557422"/>
      </top>
      <bottom style="thin">
        <color theme="0" tint="-0.1498764000366222"/>
      </bottom>
      <diagonal/>
    </border>
    <border>
      <left style="thin">
        <color theme="0" tint="-0.1498764000366222"/>
      </left>
      <right style="thin">
        <color theme="0" tint="-0.14990691854609822"/>
      </right>
      <top style="thin">
        <color theme="0" tint="-0.14993743705557422"/>
      </top>
      <bottom style="thin">
        <color theme="0" tint="-0.1498764000366222"/>
      </bottom>
      <diagonal/>
    </border>
    <border>
      <left style="thin">
        <color theme="0" tint="-0.14990691854609822"/>
      </left>
      <right style="thin">
        <color theme="0" tint="-0.1498764000366222"/>
      </right>
      <top style="thin">
        <color theme="0" tint="-0.1498764000366222"/>
      </top>
      <bottom style="thin">
        <color theme="0" tint="-0.14996795556505021"/>
      </bottom>
      <diagonal/>
    </border>
    <border>
      <left style="thin">
        <color theme="0" tint="-0.1498764000366222"/>
      </left>
      <right style="thin">
        <color theme="0" tint="-0.1498764000366222"/>
      </right>
      <top style="thin">
        <color theme="0" tint="-0.1498764000366222"/>
      </top>
      <bottom style="thin">
        <color theme="0" tint="-0.14996795556505021"/>
      </bottom>
      <diagonal/>
    </border>
    <border>
      <left style="thin">
        <color theme="0" tint="-0.1498764000366222"/>
      </left>
      <right style="thin">
        <color theme="0" tint="-0.14990691854609822"/>
      </right>
      <top style="thin">
        <color theme="0" tint="-0.1498764000366222"/>
      </top>
      <bottom style="thin">
        <color theme="0" tint="-0.14996795556505021"/>
      </bottom>
      <diagonal/>
    </border>
  </borders>
  <cellStyleXfs count="4">
    <xf numFmtId="0" fontId="0" fillId="0" borderId="0"/>
    <xf numFmtId="0" fontId="1" fillId="0" borderId="0"/>
    <xf numFmtId="0" fontId="24" fillId="0" borderId="0" applyNumberFormat="0" applyFill="0" applyBorder="0" applyAlignment="0" applyProtection="0"/>
    <xf numFmtId="0" fontId="47" fillId="14" borderId="0" applyNumberFormat="0" applyBorder="0" applyAlignment="0" applyProtection="0"/>
  </cellStyleXfs>
  <cellXfs count="362">
    <xf numFmtId="0" fontId="0" fillId="0" borderId="0" xfId="0"/>
    <xf numFmtId="0" fontId="3" fillId="0" borderId="2"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xf>
    <xf numFmtId="0" fontId="5" fillId="0" borderId="0" xfId="0" applyFont="1"/>
    <xf numFmtId="0" fontId="6" fillId="0" borderId="0" xfId="0" applyFont="1"/>
    <xf numFmtId="0" fontId="6" fillId="0" borderId="0" xfId="0" applyFont="1" applyAlignment="1">
      <alignment horizontal="center"/>
    </xf>
    <xf numFmtId="0" fontId="9" fillId="0" borderId="0" xfId="0" applyFont="1"/>
    <xf numFmtId="0" fontId="6" fillId="0" borderId="0" xfId="0" applyFont="1" applyAlignment="1">
      <alignment horizontal="right"/>
    </xf>
    <xf numFmtId="0" fontId="9" fillId="0" borderId="0" xfId="0" applyFont="1" applyAlignment="1">
      <alignment horizontal="left"/>
    </xf>
    <xf numFmtId="0" fontId="12" fillId="0" borderId="0" xfId="0" applyFont="1" applyAlignment="1">
      <alignment horizontal="left"/>
    </xf>
    <xf numFmtId="0" fontId="13" fillId="0" borderId="0" xfId="0" applyFont="1" applyAlignment="1">
      <alignment horizontal="left"/>
    </xf>
    <xf numFmtId="0" fontId="11" fillId="0" borderId="0" xfId="0" applyFont="1"/>
    <xf numFmtId="0" fontId="14" fillId="0" borderId="0" xfId="0" applyFont="1"/>
    <xf numFmtId="0" fontId="10" fillId="0" borderId="0" xfId="0" applyFont="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8" fillId="0" borderId="0" xfId="0" applyFont="1" applyAlignment="1">
      <alignment horizontal="center" vertical="center"/>
    </xf>
    <xf numFmtId="0" fontId="15" fillId="0" borderId="8" xfId="1" applyFont="1" applyBorder="1" applyAlignment="1">
      <alignment horizontal="center"/>
    </xf>
    <xf numFmtId="0" fontId="15" fillId="0" borderId="9" xfId="1" applyFont="1" applyBorder="1" applyAlignment="1">
      <alignment horizontal="center"/>
    </xf>
    <xf numFmtId="0" fontId="15" fillId="0" borderId="9" xfId="1" applyFont="1" applyBorder="1"/>
    <xf numFmtId="0" fontId="15" fillId="0" borderId="10" xfId="1" applyFont="1" applyBorder="1"/>
    <xf numFmtId="0" fontId="1" fillId="0" borderId="0" xfId="1"/>
    <xf numFmtId="0" fontId="1" fillId="0" borderId="0" xfId="1" applyAlignment="1">
      <alignment horizontal="center"/>
    </xf>
    <xf numFmtId="0" fontId="1" fillId="0" borderId="0" xfId="1" applyProtection="1">
      <protection locked="0"/>
    </xf>
    <xf numFmtId="0" fontId="21" fillId="2" borderId="0" xfId="1" applyFont="1" applyFill="1" applyAlignment="1" applyProtection="1">
      <alignment vertical="center"/>
      <protection locked="0"/>
    </xf>
    <xf numFmtId="0" fontId="21" fillId="2" borderId="0" xfId="1" applyFont="1" applyFill="1" applyAlignment="1">
      <alignment vertical="center"/>
    </xf>
    <xf numFmtId="0" fontId="21" fillId="2" borderId="0" xfId="1" applyFont="1" applyFill="1" applyAlignment="1" applyProtection="1">
      <alignment wrapText="1"/>
      <protection locked="0"/>
    </xf>
    <xf numFmtId="0" fontId="21" fillId="2" borderId="0" xfId="1" applyFont="1" applyFill="1" applyAlignment="1">
      <alignment wrapText="1"/>
    </xf>
    <xf numFmtId="0" fontId="21" fillId="2" borderId="0" xfId="1" applyFont="1" applyFill="1" applyProtection="1">
      <protection locked="0"/>
    </xf>
    <xf numFmtId="0" fontId="21" fillId="2" borderId="0" xfId="1" applyFont="1" applyFill="1"/>
    <xf numFmtId="0" fontId="28" fillId="2" borderId="0" xfId="1" applyFont="1" applyFill="1" applyProtection="1">
      <protection locked="0"/>
    </xf>
    <xf numFmtId="0" fontId="28" fillId="2" borderId="0" xfId="1" applyFont="1" applyFill="1"/>
    <xf numFmtId="0" fontId="15" fillId="0" borderId="0" xfId="0" applyFont="1" applyAlignment="1">
      <alignment horizontal="center"/>
    </xf>
    <xf numFmtId="0" fontId="2" fillId="0" borderId="0" xfId="0" applyFont="1"/>
    <xf numFmtId="14" fontId="0" fillId="0" borderId="0" xfId="0" applyNumberFormat="1"/>
    <xf numFmtId="0" fontId="0" fillId="0" borderId="0" xfId="0" applyAlignment="1">
      <alignment wrapText="1"/>
    </xf>
    <xf numFmtId="0" fontId="0" fillId="0" borderId="26" xfId="0" applyBorder="1"/>
    <xf numFmtId="0" fontId="9" fillId="0" borderId="0" xfId="0" applyFont="1" applyAlignment="1">
      <alignment vertical="center"/>
    </xf>
    <xf numFmtId="0" fontId="9" fillId="0" borderId="0" xfId="0" applyFont="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xf numFmtId="0" fontId="3" fillId="0" borderId="20" xfId="0" applyFont="1" applyBorder="1" applyAlignment="1">
      <alignment horizontal="center" vertical="center"/>
    </xf>
    <xf numFmtId="0" fontId="4" fillId="0" borderId="21"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2" fillId="3" borderId="3" xfId="0" applyFont="1" applyFill="1" applyBorder="1" applyAlignment="1">
      <alignment horizontal="right" vertical="center"/>
    </xf>
    <xf numFmtId="0" fontId="4" fillId="0" borderId="1" xfId="0" applyFont="1" applyBorder="1" applyAlignment="1">
      <alignment horizontal="center" vertical="center"/>
    </xf>
    <xf numFmtId="0" fontId="4" fillId="0" borderId="23" xfId="0" applyFont="1" applyBorder="1" applyAlignment="1">
      <alignment horizontal="center" vertical="center"/>
    </xf>
    <xf numFmtId="0" fontId="4" fillId="0" borderId="25" xfId="0" applyFont="1" applyBorder="1" applyAlignment="1">
      <alignment horizontal="center" vertical="center"/>
    </xf>
    <xf numFmtId="0" fontId="3" fillId="0" borderId="22" xfId="0" applyFont="1" applyBorder="1" applyAlignment="1">
      <alignment horizontal="center" vertical="center"/>
    </xf>
    <xf numFmtId="0" fontId="4" fillId="0" borderId="30" xfId="0" applyFont="1" applyBorder="1" applyAlignment="1">
      <alignment horizontal="center" vertical="center"/>
    </xf>
    <xf numFmtId="0" fontId="3" fillId="0" borderId="28" xfId="0" applyFont="1" applyBorder="1" applyAlignment="1">
      <alignment horizontal="center" vertical="center"/>
    </xf>
    <xf numFmtId="0" fontId="7" fillId="0" borderId="0" xfId="0" applyFont="1" applyAlignment="1">
      <alignment horizontal="center" vertical="center"/>
    </xf>
    <xf numFmtId="0" fontId="4" fillId="0" borderId="26" xfId="0" applyFont="1" applyBorder="1" applyAlignment="1">
      <alignment horizontal="center" vertical="center"/>
    </xf>
    <xf numFmtId="0" fontId="4" fillId="0" borderId="31" xfId="0" applyFont="1" applyBorder="1" applyAlignment="1">
      <alignment horizontal="center" vertical="center"/>
    </xf>
    <xf numFmtId="0" fontId="2" fillId="3" borderId="2" xfId="0" applyFont="1" applyFill="1" applyBorder="1" applyAlignment="1">
      <alignment horizontal="right" vertical="center"/>
    </xf>
    <xf numFmtId="0" fontId="2" fillId="3" borderId="4" xfId="0" applyFont="1" applyFill="1" applyBorder="1"/>
    <xf numFmtId="0" fontId="3" fillId="7" borderId="0" xfId="0" applyFont="1" applyFill="1" applyAlignment="1">
      <alignment horizontal="center" vertical="center"/>
    </xf>
    <xf numFmtId="0" fontId="0" fillId="0" borderId="32" xfId="0" applyBorder="1" applyAlignment="1">
      <alignment horizontal="center"/>
    </xf>
    <xf numFmtId="0" fontId="39" fillId="0" borderId="0" xfId="0" applyFont="1" applyAlignment="1">
      <alignment horizontal="right"/>
    </xf>
    <xf numFmtId="0" fontId="3" fillId="0" borderId="30" xfId="0" applyFont="1" applyBorder="1" applyAlignment="1">
      <alignment horizontal="center" vertical="center"/>
    </xf>
    <xf numFmtId="0" fontId="4" fillId="0" borderId="3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33" xfId="0" quotePrefix="1" applyFont="1" applyBorder="1" applyAlignment="1">
      <alignment horizontal="center" vertical="center"/>
    </xf>
    <xf numFmtId="0" fontId="41" fillId="0" borderId="0" xfId="0" applyFont="1"/>
    <xf numFmtId="0" fontId="41" fillId="0" borderId="0" xfId="0" applyFont="1" applyAlignment="1">
      <alignment horizontal="right"/>
    </xf>
    <xf numFmtId="0" fontId="0" fillId="0" borderId="0" xfId="0" applyAlignment="1">
      <alignment horizontal="left"/>
    </xf>
    <xf numFmtId="0" fontId="39" fillId="0" borderId="0" xfId="0" applyFont="1" applyAlignment="1">
      <alignment horizontal="left"/>
    </xf>
    <xf numFmtId="0" fontId="12" fillId="0" borderId="34" xfId="0" applyFont="1" applyBorder="1" applyAlignment="1">
      <alignment horizontal="centerContinuous"/>
    </xf>
    <xf numFmtId="0" fontId="5" fillId="0" borderId="35" xfId="0" applyFont="1" applyBorder="1" applyAlignment="1">
      <alignment horizontal="centerContinuous"/>
    </xf>
    <xf numFmtId="0" fontId="6" fillId="0" borderId="35" xfId="0" applyFont="1" applyBorder="1" applyAlignment="1">
      <alignment horizontal="centerContinuous"/>
    </xf>
    <xf numFmtId="0" fontId="5" fillId="0" borderId="36" xfId="0" applyFont="1" applyBorder="1" applyAlignment="1">
      <alignment horizontal="centerContinuous"/>
    </xf>
    <xf numFmtId="0" fontId="2" fillId="3" borderId="5" xfId="0" applyFont="1" applyFill="1" applyBorder="1" applyAlignment="1">
      <alignment horizontal="right" vertical="center" wrapText="1"/>
    </xf>
    <xf numFmtId="0" fontId="2" fillId="3" borderId="4" xfId="0" applyFont="1" applyFill="1" applyBorder="1" applyAlignment="1">
      <alignment wrapText="1"/>
    </xf>
    <xf numFmtId="0" fontId="2" fillId="4" borderId="5" xfId="0" applyFont="1" applyFill="1" applyBorder="1" applyAlignment="1">
      <alignment horizontal="right" vertical="center" wrapText="1"/>
    </xf>
    <xf numFmtId="0" fontId="2" fillId="3" borderId="0" xfId="0" applyFont="1" applyFill="1" applyAlignment="1">
      <alignment horizontal="right" vertical="center" wrapText="1"/>
    </xf>
    <xf numFmtId="0" fontId="2" fillId="4" borderId="0" xfId="0" applyFont="1" applyFill="1" applyAlignment="1">
      <alignment horizontal="right" vertical="center" wrapText="1"/>
    </xf>
    <xf numFmtId="0" fontId="2" fillId="3" borderId="23" xfId="0" applyFont="1" applyFill="1" applyBorder="1" applyAlignment="1">
      <alignment horizontal="right" vertical="center" wrapText="1"/>
    </xf>
    <xf numFmtId="0" fontId="2" fillId="4" borderId="24" xfId="0" applyFont="1" applyFill="1" applyBorder="1" applyAlignment="1">
      <alignment horizontal="right" vertical="center" wrapText="1"/>
    </xf>
    <xf numFmtId="0" fontId="2" fillId="3" borderId="0" xfId="0" applyFont="1" applyFill="1" applyAlignment="1">
      <alignment wrapText="1"/>
    </xf>
    <xf numFmtId="0" fontId="2" fillId="3" borderId="3" xfId="0" applyFont="1" applyFill="1" applyBorder="1" applyAlignment="1">
      <alignment horizontal="right" vertical="center" wrapText="1"/>
    </xf>
    <xf numFmtId="0" fontId="2" fillId="3" borderId="1" xfId="0" applyFont="1" applyFill="1" applyBorder="1" applyAlignment="1">
      <alignment wrapText="1"/>
    </xf>
    <xf numFmtId="0" fontId="2" fillId="4" borderId="3" xfId="0" applyFont="1" applyFill="1" applyBorder="1" applyAlignment="1">
      <alignment horizontal="right" vertical="center" wrapText="1"/>
    </xf>
    <xf numFmtId="0" fontId="2" fillId="3" borderId="1" xfId="0" applyFont="1" applyFill="1" applyBorder="1" applyAlignment="1">
      <alignment horizontal="right" vertical="center" wrapText="1"/>
    </xf>
    <xf numFmtId="0" fontId="2" fillId="4" borderId="2" xfId="0" applyFont="1" applyFill="1" applyBorder="1" applyAlignment="1">
      <alignment horizontal="right" vertical="center" wrapText="1"/>
    </xf>
    <xf numFmtId="0" fontId="25" fillId="11" borderId="0" xfId="2" applyFont="1" applyFill="1" applyAlignment="1" applyProtection="1">
      <alignment vertical="center"/>
    </xf>
    <xf numFmtId="0" fontId="24" fillId="11" borderId="0" xfId="2" applyFill="1" applyAlignment="1" applyProtection="1">
      <alignment vertical="center"/>
    </xf>
    <xf numFmtId="0" fontId="18" fillId="2" borderId="18" xfId="1" applyFont="1" applyFill="1" applyBorder="1" applyAlignment="1" applyProtection="1">
      <alignment horizontal="center" vertical="center" wrapText="1"/>
      <protection locked="0"/>
    </xf>
    <xf numFmtId="0" fontId="18" fillId="2" borderId="46" xfId="1" applyFont="1" applyFill="1" applyBorder="1" applyAlignment="1" applyProtection="1">
      <alignment horizontal="center" vertical="center" wrapText="1"/>
      <protection locked="0"/>
    </xf>
    <xf numFmtId="0" fontId="18" fillId="0" borderId="50" xfId="1" applyFont="1" applyBorder="1" applyAlignment="1" applyProtection="1">
      <alignment horizontal="center" vertical="center" wrapText="1"/>
      <protection locked="0"/>
    </xf>
    <xf numFmtId="0" fontId="18" fillId="0" borderId="46" xfId="1" applyFont="1" applyBorder="1" applyAlignment="1" applyProtection="1">
      <alignment horizontal="center" vertical="center" wrapText="1"/>
      <protection locked="0"/>
    </xf>
    <xf numFmtId="0" fontId="18" fillId="0" borderId="18" xfId="1" applyFont="1" applyBorder="1" applyAlignment="1" applyProtection="1">
      <alignment horizontal="center" vertical="center" wrapText="1"/>
      <protection locked="0"/>
    </xf>
    <xf numFmtId="0" fontId="3" fillId="0" borderId="21" xfId="0" applyFont="1" applyBorder="1" applyAlignment="1">
      <alignment horizontal="center" vertical="center"/>
    </xf>
    <xf numFmtId="0" fontId="3" fillId="9" borderId="0" xfId="0" applyFont="1" applyFill="1" applyAlignment="1">
      <alignment horizontal="center" vertical="center"/>
    </xf>
    <xf numFmtId="0" fontId="3" fillId="0" borderId="29" xfId="0" applyFont="1" applyBorder="1" applyAlignment="1">
      <alignment horizontal="center" vertical="center"/>
    </xf>
    <xf numFmtId="0" fontId="3" fillId="9" borderId="24" xfId="0" applyFont="1" applyFill="1" applyBorder="1" applyAlignment="1">
      <alignment horizontal="center" vertical="center"/>
    </xf>
    <xf numFmtId="0" fontId="3" fillId="9" borderId="2" xfId="0" applyFont="1" applyFill="1" applyBorder="1" applyAlignment="1">
      <alignment horizontal="center" vertical="center"/>
    </xf>
    <xf numFmtId="0" fontId="34" fillId="10" borderId="0" xfId="1" applyFont="1" applyFill="1" applyAlignment="1">
      <alignment vertical="center" wrapText="1"/>
    </xf>
    <xf numFmtId="0" fontId="17" fillId="2" borderId="0" xfId="1" applyFont="1" applyFill="1" applyAlignment="1">
      <alignment horizontal="right" vertical="center" indent="1"/>
    </xf>
    <xf numFmtId="0" fontId="18" fillId="2" borderId="0" xfId="1" applyFont="1" applyFill="1" applyAlignment="1">
      <alignment horizontal="right" vertical="center" indent="1"/>
    </xf>
    <xf numFmtId="0" fontId="17" fillId="2" borderId="0" xfId="1" applyFont="1" applyFill="1" applyAlignment="1">
      <alignment vertical="center"/>
    </xf>
    <xf numFmtId="14" fontId="18" fillId="2" borderId="0" xfId="1" applyNumberFormat="1" applyFont="1" applyFill="1" applyAlignment="1">
      <alignment vertical="center"/>
    </xf>
    <xf numFmtId="0" fontId="17" fillId="2" borderId="0" xfId="1" applyFont="1" applyFill="1" applyAlignment="1">
      <alignment horizontal="left" vertical="center"/>
    </xf>
    <xf numFmtId="0" fontId="17" fillId="2" borderId="0" xfId="1" applyFont="1" applyFill="1" applyAlignment="1">
      <alignment horizontal="left" vertical="center" indent="1"/>
    </xf>
    <xf numFmtId="0" fontId="18" fillId="2" borderId="0" xfId="1" applyFont="1" applyFill="1" applyAlignment="1">
      <alignment horizontal="left" vertical="center" wrapText="1"/>
    </xf>
    <xf numFmtId="0" fontId="18" fillId="0" borderId="0" xfId="1" applyFont="1" applyAlignment="1">
      <alignment vertical="top" wrapText="1"/>
    </xf>
    <xf numFmtId="0" fontId="19" fillId="10" borderId="0" xfId="1" applyFont="1" applyFill="1" applyAlignment="1">
      <alignment horizontal="center" vertical="center"/>
    </xf>
    <xf numFmtId="0" fontId="19" fillId="10" borderId="0" xfId="1" applyFont="1" applyFill="1" applyAlignment="1">
      <alignment horizontal="left" vertical="center" indent="1"/>
    </xf>
    <xf numFmtId="0" fontId="19" fillId="10" borderId="0" xfId="1" applyFont="1" applyFill="1" applyAlignment="1">
      <alignment vertical="center"/>
    </xf>
    <xf numFmtId="0" fontId="19" fillId="10" borderId="19" xfId="1" applyFont="1" applyFill="1" applyBorder="1" applyAlignment="1">
      <alignment horizontal="left" vertical="center"/>
    </xf>
    <xf numFmtId="0" fontId="19" fillId="10" borderId="0" xfId="1" applyFont="1" applyFill="1" applyAlignment="1">
      <alignment horizontal="left" vertical="center"/>
    </xf>
    <xf numFmtId="0" fontId="19" fillId="10" borderId="15" xfId="1" applyFont="1" applyFill="1" applyBorder="1" applyAlignment="1">
      <alignment horizontal="left" vertical="center"/>
    </xf>
    <xf numFmtId="0" fontId="20" fillId="2" borderId="0" xfId="1" applyFont="1" applyFill="1" applyAlignment="1">
      <alignment vertical="center"/>
    </xf>
    <xf numFmtId="0" fontId="19" fillId="10" borderId="0" xfId="1" applyFont="1" applyFill="1" applyAlignment="1">
      <alignment horizontal="center" vertical="center" wrapText="1"/>
    </xf>
    <xf numFmtId="0" fontId="18" fillId="2" borderId="44" xfId="1" applyFont="1" applyFill="1" applyBorder="1" applyAlignment="1">
      <alignment horizontal="center" vertical="center" wrapText="1"/>
    </xf>
    <xf numFmtId="0" fontId="18" fillId="0" borderId="37" xfId="1" applyFont="1" applyBorder="1" applyAlignment="1">
      <alignment horizontal="center" vertical="center" wrapText="1"/>
    </xf>
    <xf numFmtId="0" fontId="18" fillId="2" borderId="17" xfId="1" applyFont="1" applyFill="1" applyBorder="1" applyAlignment="1">
      <alignment horizontal="center" vertical="center" wrapText="1"/>
    </xf>
    <xf numFmtId="0" fontId="18" fillId="2" borderId="17" xfId="1" applyFont="1" applyFill="1" applyBorder="1" applyAlignment="1">
      <alignment vertical="center" wrapText="1"/>
    </xf>
    <xf numFmtId="0" fontId="21" fillId="2" borderId="17" xfId="1" applyFont="1" applyFill="1" applyBorder="1" applyAlignment="1">
      <alignment horizontal="center" vertical="center" wrapText="1"/>
    </xf>
    <xf numFmtId="0" fontId="20" fillId="2" borderId="0" xfId="1" applyFont="1" applyFill="1" applyAlignment="1">
      <alignment wrapText="1"/>
    </xf>
    <xf numFmtId="0" fontId="18" fillId="2" borderId="45" xfId="1" applyFont="1" applyFill="1" applyBorder="1" applyAlignment="1">
      <alignment horizontal="center" vertical="center" wrapText="1"/>
    </xf>
    <xf numFmtId="0" fontId="18" fillId="2" borderId="42" xfId="1" applyFont="1" applyFill="1" applyBorder="1" applyAlignment="1">
      <alignment horizontal="center" vertical="center" wrapText="1"/>
    </xf>
    <xf numFmtId="0" fontId="18" fillId="2" borderId="42" xfId="1" applyFont="1" applyFill="1" applyBorder="1" applyAlignment="1">
      <alignment vertical="center" wrapText="1"/>
    </xf>
    <xf numFmtId="0" fontId="21" fillId="2" borderId="42" xfId="1" applyFont="1" applyFill="1" applyBorder="1" applyAlignment="1">
      <alignment horizontal="center" vertical="center" wrapText="1"/>
    </xf>
    <xf numFmtId="0" fontId="18" fillId="2" borderId="49" xfId="1" applyFont="1" applyFill="1" applyBorder="1" applyAlignment="1">
      <alignment horizontal="center" vertical="center" wrapText="1"/>
    </xf>
    <xf numFmtId="0" fontId="18" fillId="2" borderId="39" xfId="1" applyFont="1" applyFill="1" applyBorder="1" applyAlignment="1">
      <alignment horizontal="center" vertical="center" wrapText="1"/>
    </xf>
    <xf numFmtId="0" fontId="18" fillId="2" borderId="39" xfId="1" applyFont="1" applyFill="1" applyBorder="1" applyAlignment="1">
      <alignment vertical="center" wrapText="1"/>
    </xf>
    <xf numFmtId="0" fontId="21" fillId="2" borderId="39" xfId="1" applyFont="1" applyFill="1" applyBorder="1" applyAlignment="1">
      <alignment horizontal="center" vertical="center" wrapText="1"/>
    </xf>
    <xf numFmtId="0" fontId="18" fillId="0" borderId="39" xfId="1" applyFont="1" applyBorder="1" applyAlignment="1">
      <alignment horizontal="center" vertical="center" wrapText="1"/>
    </xf>
    <xf numFmtId="0" fontId="18" fillId="0" borderId="42" xfId="1" applyFont="1" applyBorder="1" applyAlignment="1">
      <alignment horizontal="center" vertical="center" wrapText="1"/>
    </xf>
    <xf numFmtId="0" fontId="20" fillId="2" borderId="0" xfId="1" applyFont="1" applyFill="1"/>
    <xf numFmtId="0" fontId="18" fillId="0" borderId="17" xfId="1" applyFont="1" applyBorder="1" applyAlignment="1">
      <alignment horizontal="center" vertical="center" wrapText="1"/>
    </xf>
    <xf numFmtId="0" fontId="18" fillId="0" borderId="17" xfId="1" applyFont="1" applyBorder="1" applyAlignment="1">
      <alignment horizontal="left" vertical="center"/>
    </xf>
    <xf numFmtId="0" fontId="18" fillId="2" borderId="38" xfId="1" applyFont="1" applyFill="1" applyBorder="1" applyAlignment="1">
      <alignment horizontal="center" vertical="center" wrapText="1"/>
    </xf>
    <xf numFmtId="0" fontId="18" fillId="0" borderId="39" xfId="1" applyFont="1" applyBorder="1" applyAlignment="1">
      <alignment vertical="center" wrapText="1"/>
    </xf>
    <xf numFmtId="0" fontId="18" fillId="2" borderId="41" xfId="1" applyFont="1" applyFill="1" applyBorder="1" applyAlignment="1">
      <alignment horizontal="center" vertical="center" wrapText="1"/>
    </xf>
    <xf numFmtId="0" fontId="18" fillId="0" borderId="42" xfId="1" applyFont="1" applyBorder="1" applyAlignment="1">
      <alignment horizontal="left" vertical="center"/>
    </xf>
    <xf numFmtId="0" fontId="18" fillId="0" borderId="39" xfId="1" applyFont="1" applyBorder="1" applyAlignment="1">
      <alignment horizontal="left" vertical="center"/>
    </xf>
    <xf numFmtId="0" fontId="31" fillId="2" borderId="0" xfId="1" applyFont="1" applyFill="1" applyAlignment="1">
      <alignment vertical="center"/>
    </xf>
    <xf numFmtId="0" fontId="27" fillId="2" borderId="0" xfId="1" applyFont="1" applyFill="1"/>
    <xf numFmtId="0" fontId="29" fillId="2" borderId="0" xfId="1" applyFont="1" applyFill="1" applyAlignment="1">
      <alignment vertical="center"/>
    </xf>
    <xf numFmtId="0" fontId="11" fillId="2" borderId="0" xfId="1" applyFont="1" applyFill="1" applyAlignment="1">
      <alignment vertical="center"/>
    </xf>
    <xf numFmtId="0" fontId="31" fillId="2" borderId="0" xfId="1" applyFont="1" applyFill="1" applyAlignment="1">
      <alignment horizontal="right" vertical="center"/>
    </xf>
    <xf numFmtId="0" fontId="40" fillId="2" borderId="0" xfId="1" applyFont="1" applyFill="1" applyAlignment="1" applyProtection="1">
      <alignment vertical="center"/>
      <protection locked="0"/>
    </xf>
    <xf numFmtId="0" fontId="43" fillId="2" borderId="0" xfId="1" applyFont="1" applyFill="1" applyAlignment="1" applyProtection="1">
      <alignment vertical="center"/>
      <protection locked="0"/>
    </xf>
    <xf numFmtId="0" fontId="15" fillId="0" borderId="0" xfId="1" applyFont="1" applyAlignment="1">
      <alignment horizontal="center"/>
    </xf>
    <xf numFmtId="0" fontId="15" fillId="0" borderId="0" xfId="1" applyFont="1"/>
    <xf numFmtId="0" fontId="7" fillId="0" borderId="0" xfId="1" applyFont="1" applyAlignment="1">
      <alignment horizontal="center" vertical="center"/>
    </xf>
    <xf numFmtId="0" fontId="38" fillId="12" borderId="47" xfId="1" applyFont="1" applyFill="1" applyBorder="1" applyAlignment="1">
      <alignment horizontal="center" vertical="center" wrapText="1"/>
    </xf>
    <xf numFmtId="0" fontId="38" fillId="12" borderId="0" xfId="1" applyFont="1" applyFill="1" applyAlignment="1">
      <alignment horizontal="center" vertical="center" wrapText="1"/>
    </xf>
    <xf numFmtId="0" fontId="22" fillId="12" borderId="0" xfId="1" applyFont="1" applyFill="1" applyAlignment="1">
      <alignment horizontal="center" vertical="center" wrapText="1"/>
    </xf>
    <xf numFmtId="0" fontId="38" fillId="12" borderId="15" xfId="1" applyFont="1" applyFill="1" applyBorder="1" applyAlignment="1">
      <alignment horizontal="center" vertical="center" wrapText="1"/>
    </xf>
    <xf numFmtId="0" fontId="38" fillId="12" borderId="48" xfId="1" applyFont="1" applyFill="1" applyBorder="1" applyAlignment="1">
      <alignment horizontal="center" vertical="center" wrapText="1"/>
    </xf>
    <xf numFmtId="0" fontId="38" fillId="12" borderId="10" xfId="1" applyFont="1" applyFill="1" applyBorder="1" applyAlignment="1">
      <alignment horizontal="center" vertical="center" wrapText="1"/>
    </xf>
    <xf numFmtId="0" fontId="22" fillId="0" borderId="0" xfId="1" applyFont="1" applyAlignment="1">
      <alignment horizontal="center" vertical="center" wrapText="1"/>
    </xf>
    <xf numFmtId="0" fontId="20" fillId="2" borderId="0" xfId="1" applyFont="1" applyFill="1" applyAlignment="1">
      <alignment horizontal="center" vertical="center"/>
    </xf>
    <xf numFmtId="0" fontId="0" fillId="9" borderId="0" xfId="0" applyFill="1"/>
    <xf numFmtId="14" fontId="0" fillId="9" borderId="0" xfId="0" applyNumberFormat="1" applyFill="1"/>
    <xf numFmtId="0" fontId="44" fillId="0" borderId="0" xfId="0" applyFont="1" applyAlignment="1">
      <alignment horizontal="right"/>
    </xf>
    <xf numFmtId="14" fontId="44" fillId="0" borderId="0" xfId="0" applyNumberFormat="1" applyFont="1" applyAlignment="1">
      <alignment horizontal="left"/>
    </xf>
    <xf numFmtId="0" fontId="3" fillId="8" borderId="0" xfId="0" applyFont="1" applyFill="1" applyAlignment="1">
      <alignment horizontal="center" vertical="center"/>
    </xf>
    <xf numFmtId="0" fontId="3" fillId="8" borderId="26" xfId="0" applyFont="1" applyFill="1" applyBorder="1" applyAlignment="1">
      <alignment horizontal="center" vertical="center"/>
    </xf>
    <xf numFmtId="0" fontId="3" fillId="8" borderId="22" xfId="0" applyFont="1" applyFill="1" applyBorder="1" applyAlignment="1">
      <alignment horizontal="center" vertical="center"/>
    </xf>
    <xf numFmtId="0" fontId="3" fillId="8" borderId="24" xfId="0" applyFont="1" applyFill="1" applyBorder="1" applyAlignment="1">
      <alignment horizontal="center" vertical="center"/>
    </xf>
    <xf numFmtId="0" fontId="45" fillId="2" borderId="0" xfId="1" applyFont="1" applyFill="1" applyAlignment="1">
      <alignment horizontal="right" vertical="center"/>
    </xf>
    <xf numFmtId="0" fontId="0" fillId="0" borderId="0" xfId="0" applyAlignment="1">
      <alignment horizontal="left" textRotation="90"/>
    </xf>
    <xf numFmtId="0" fontId="0" fillId="6" borderId="0" xfId="0" applyFill="1"/>
    <xf numFmtId="0" fontId="0" fillId="5" borderId="0" xfId="0" applyFill="1" applyAlignment="1">
      <alignment horizontal="center"/>
    </xf>
    <xf numFmtId="0" fontId="0" fillId="13" borderId="0" xfId="0" applyFill="1" applyAlignment="1">
      <alignment horizontal="center"/>
    </xf>
    <xf numFmtId="0" fontId="0" fillId="13" borderId="51" xfId="0" applyFill="1" applyBorder="1" applyAlignment="1">
      <alignment horizontal="center"/>
    </xf>
    <xf numFmtId="0" fontId="19" fillId="10" borderId="52" xfId="1" applyFont="1" applyFill="1" applyBorder="1" applyAlignment="1">
      <alignment horizontal="center" vertical="center" wrapText="1"/>
    </xf>
    <xf numFmtId="0" fontId="19" fillId="10" borderId="53" xfId="1" applyFont="1" applyFill="1" applyBorder="1" applyAlignment="1">
      <alignment horizontal="center" vertical="center" wrapText="1"/>
    </xf>
    <xf numFmtId="0" fontId="19" fillId="10" borderId="54" xfId="1" applyFont="1" applyFill="1" applyBorder="1" applyAlignment="1">
      <alignment horizontal="center" vertical="center" wrapText="1"/>
    </xf>
    <xf numFmtId="0" fontId="18" fillId="2" borderId="55" xfId="1" applyFont="1" applyFill="1" applyBorder="1" applyAlignment="1">
      <alignment horizontal="center" vertical="center" wrapText="1"/>
    </xf>
    <xf numFmtId="0" fontId="18" fillId="2" borderId="56" xfId="1" applyFont="1" applyFill="1" applyBorder="1" applyAlignment="1">
      <alignment horizontal="center" vertical="center" wrapText="1"/>
    </xf>
    <xf numFmtId="0" fontId="18" fillId="2" borderId="57" xfId="1" applyFont="1" applyFill="1" applyBorder="1" applyAlignment="1">
      <alignment horizontal="center" vertical="center" wrapText="1"/>
    </xf>
    <xf numFmtId="0" fontId="18" fillId="2" borderId="58" xfId="1" applyFont="1" applyFill="1" applyBorder="1" applyAlignment="1">
      <alignment horizontal="center" vertical="center" wrapText="1"/>
    </xf>
    <xf numFmtId="0" fontId="18" fillId="2" borderId="59" xfId="1" applyFont="1" applyFill="1" applyBorder="1" applyAlignment="1">
      <alignment horizontal="center" vertical="center" wrapText="1"/>
    </xf>
    <xf numFmtId="0" fontId="18" fillId="2" borderId="60" xfId="1" applyFont="1" applyFill="1" applyBorder="1" applyAlignment="1">
      <alignment horizontal="center" vertical="center" wrapText="1"/>
    </xf>
    <xf numFmtId="0" fontId="38" fillId="12" borderId="52" xfId="1" applyFont="1" applyFill="1" applyBorder="1" applyAlignment="1">
      <alignment horizontal="center" vertical="center" wrapText="1"/>
    </xf>
    <xf numFmtId="0" fontId="38" fillId="12" borderId="53" xfId="1" applyFont="1" applyFill="1" applyBorder="1" applyAlignment="1">
      <alignment horizontal="center" vertical="center" wrapText="1"/>
    </xf>
    <xf numFmtId="0" fontId="38" fillId="12" borderId="54" xfId="1" applyFont="1" applyFill="1" applyBorder="1" applyAlignment="1">
      <alignment horizontal="center" vertical="center" wrapText="1"/>
    </xf>
    <xf numFmtId="0" fontId="18" fillId="2" borderId="61" xfId="1" applyFont="1" applyFill="1" applyBorder="1" applyAlignment="1">
      <alignment horizontal="center" vertical="center" wrapText="1"/>
    </xf>
    <xf numFmtId="0" fontId="18" fillId="2" borderId="62" xfId="1" applyFont="1" applyFill="1" applyBorder="1" applyAlignment="1">
      <alignment horizontal="center" vertical="center" wrapText="1"/>
    </xf>
    <xf numFmtId="0" fontId="18" fillId="2" borderId="63" xfId="1" applyFont="1" applyFill="1" applyBorder="1" applyAlignment="1">
      <alignment horizontal="center" vertical="center" wrapText="1"/>
    </xf>
    <xf numFmtId="0" fontId="18" fillId="0" borderId="61" xfId="1" applyFont="1" applyBorder="1" applyAlignment="1">
      <alignment horizontal="center" vertical="center" wrapText="1"/>
    </xf>
    <xf numFmtId="0" fontId="18" fillId="0" borderId="62" xfId="1" applyFont="1" applyBorder="1" applyAlignment="1">
      <alignment horizontal="center" vertical="center" wrapText="1"/>
    </xf>
    <xf numFmtId="0" fontId="18" fillId="0" borderId="63" xfId="1" applyFont="1" applyBorder="1" applyAlignment="1">
      <alignment horizontal="center" vertical="center" wrapText="1"/>
    </xf>
    <xf numFmtId="0" fontId="18" fillId="0" borderId="58" xfId="1" applyFont="1" applyBorder="1" applyAlignment="1">
      <alignment horizontal="center" vertical="center" wrapText="1"/>
    </xf>
    <xf numFmtId="0" fontId="18" fillId="0" borderId="59" xfId="1" applyFont="1" applyBorder="1" applyAlignment="1">
      <alignment horizontal="center" vertical="center" wrapText="1"/>
    </xf>
    <xf numFmtId="0" fontId="18" fillId="0" borderId="60" xfId="1" applyFont="1" applyBorder="1" applyAlignment="1">
      <alignment horizontal="center" vertical="center" wrapText="1"/>
    </xf>
    <xf numFmtId="0" fontId="18" fillId="0" borderId="55" xfId="1" applyFont="1" applyBorder="1" applyAlignment="1">
      <alignment horizontal="center" vertical="center" wrapText="1"/>
    </xf>
    <xf numFmtId="0" fontId="18" fillId="0" borderId="56" xfId="1" applyFont="1" applyBorder="1" applyAlignment="1">
      <alignment horizontal="center" vertical="center" wrapText="1"/>
    </xf>
    <xf numFmtId="0" fontId="18" fillId="0" borderId="57" xfId="1" applyFont="1" applyBorder="1" applyAlignment="1">
      <alignment horizontal="center" vertical="center" wrapText="1"/>
    </xf>
    <xf numFmtId="14" fontId="9" fillId="0" borderId="0" xfId="0" applyNumberFormat="1" applyFont="1"/>
    <xf numFmtId="0" fontId="46" fillId="9" borderId="0" xfId="0" applyFont="1" applyFill="1"/>
    <xf numFmtId="0" fontId="0" fillId="6" borderId="0" xfId="0" applyFill="1" applyAlignment="1">
      <alignment wrapText="1"/>
    </xf>
    <xf numFmtId="0" fontId="0" fillId="8" borderId="0" xfId="0" applyFill="1"/>
    <xf numFmtId="0" fontId="48" fillId="0" borderId="0" xfId="0" applyFont="1"/>
    <xf numFmtId="0" fontId="49" fillId="0" borderId="0" xfId="0" applyFont="1" applyAlignment="1">
      <alignment horizontal="center" vertical="center"/>
    </xf>
    <xf numFmtId="0" fontId="49" fillId="0" borderId="26" xfId="0" applyFont="1" applyBorder="1" applyAlignment="1">
      <alignment horizontal="center" vertical="center"/>
    </xf>
    <xf numFmtId="0" fontId="15" fillId="0" borderId="2" xfId="0" applyFont="1" applyBorder="1" applyAlignment="1">
      <alignment horizontal="center" vertical="center"/>
    </xf>
    <xf numFmtId="0" fontId="15" fillId="0" borderId="0" xfId="0" applyFont="1" applyAlignment="1">
      <alignment horizontal="center" vertical="center"/>
    </xf>
    <xf numFmtId="0" fontId="15" fillId="0" borderId="26" xfId="0" applyFont="1" applyBorder="1" applyAlignment="1">
      <alignment horizontal="center" vertical="center"/>
    </xf>
    <xf numFmtId="0" fontId="33" fillId="2" borderId="44" xfId="1" applyFont="1" applyFill="1" applyBorder="1" applyAlignment="1">
      <alignment horizontal="center" vertical="center" wrapText="1"/>
    </xf>
    <xf numFmtId="0" fontId="33" fillId="0" borderId="37" xfId="1" applyFont="1" applyBorder="1" applyAlignment="1">
      <alignment horizontal="center" vertical="center" wrapText="1"/>
    </xf>
    <xf numFmtId="0" fontId="33" fillId="2" borderId="45" xfId="1" applyFont="1" applyFill="1" applyBorder="1" applyAlignment="1">
      <alignment horizontal="center" vertical="center" wrapText="1"/>
    </xf>
    <xf numFmtId="0" fontId="33" fillId="2" borderId="42" xfId="1" applyFont="1" applyFill="1" applyBorder="1" applyAlignment="1">
      <alignment horizontal="center" vertical="center" wrapText="1"/>
    </xf>
    <xf numFmtId="0" fontId="33" fillId="12" borderId="47" xfId="1" applyFont="1" applyFill="1" applyBorder="1" applyAlignment="1">
      <alignment horizontal="center" vertical="center" wrapText="1"/>
    </xf>
    <xf numFmtId="0" fontId="33" fillId="12" borderId="0" xfId="1" applyFont="1" applyFill="1" applyAlignment="1">
      <alignment horizontal="center" vertical="center" wrapText="1"/>
    </xf>
    <xf numFmtId="0" fontId="33" fillId="2" borderId="49" xfId="1" applyFont="1" applyFill="1" applyBorder="1" applyAlignment="1">
      <alignment horizontal="center" vertical="center" wrapText="1"/>
    </xf>
    <xf numFmtId="0" fontId="33" fillId="2" borderId="39" xfId="1" applyFont="1" applyFill="1" applyBorder="1" applyAlignment="1">
      <alignment horizontal="center" vertical="center" wrapText="1"/>
    </xf>
    <xf numFmtId="0" fontId="49" fillId="0" borderId="21" xfId="0" applyFont="1" applyBorder="1" applyAlignment="1">
      <alignment horizontal="center" vertical="center"/>
    </xf>
    <xf numFmtId="0" fontId="49" fillId="0" borderId="22" xfId="0" applyFont="1" applyBorder="1" applyAlignment="1">
      <alignment horizontal="center" vertical="center"/>
    </xf>
    <xf numFmtId="0" fontId="49" fillId="0" borderId="24" xfId="0" applyFont="1" applyBorder="1" applyAlignment="1">
      <alignment horizontal="center" vertical="center"/>
    </xf>
    <xf numFmtId="0" fontId="49" fillId="0" borderId="27" xfId="0" applyFont="1" applyBorder="1" applyAlignment="1">
      <alignment horizontal="center" vertical="center"/>
    </xf>
    <xf numFmtId="0" fontId="3" fillId="15" borderId="24" xfId="0" applyFont="1" applyFill="1" applyBorder="1" applyAlignment="1">
      <alignment horizontal="center" vertical="center"/>
    </xf>
    <xf numFmtId="0" fontId="0" fillId="15" borderId="0" xfId="0" applyFill="1" applyAlignment="1">
      <alignment horizontal="center"/>
    </xf>
    <xf numFmtId="0" fontId="50" fillId="6" borderId="0" xfId="0" applyFont="1" applyFill="1"/>
    <xf numFmtId="14" fontId="47" fillId="14" borderId="0" xfId="3" applyNumberFormat="1" applyAlignment="1">
      <alignment horizontal="center"/>
    </xf>
    <xf numFmtId="14" fontId="51" fillId="0" borderId="0" xfId="0" applyNumberFormat="1" applyFont="1"/>
    <xf numFmtId="0" fontId="51" fillId="0" borderId="0" xfId="0" applyFont="1"/>
    <xf numFmtId="0" fontId="51" fillId="0" borderId="0" xfId="0" applyFont="1" applyAlignment="1">
      <alignment horizontal="center"/>
    </xf>
    <xf numFmtId="0" fontId="44" fillId="0" borderId="0" xfId="0" applyFont="1"/>
    <xf numFmtId="0" fontId="52" fillId="0" borderId="0" xfId="0" quotePrefix="1" applyFont="1" applyAlignment="1">
      <alignment horizontal="center" vertical="center"/>
    </xf>
    <xf numFmtId="14" fontId="52" fillId="0" borderId="0" xfId="0" applyNumberFormat="1" applyFont="1" applyAlignment="1">
      <alignment horizontal="center" vertical="center"/>
    </xf>
    <xf numFmtId="0" fontId="52" fillId="0" borderId="0" xfId="0" applyFont="1" applyAlignment="1">
      <alignment horizontal="center" vertical="center"/>
    </xf>
    <xf numFmtId="0" fontId="52" fillId="0" borderId="0" xfId="0" applyFont="1" applyAlignment="1">
      <alignment vertical="center"/>
    </xf>
    <xf numFmtId="0" fontId="52" fillId="0" borderId="0" xfId="0" applyFont="1"/>
    <xf numFmtId="0" fontId="52" fillId="0" borderId="0" xfId="0" applyFont="1" applyAlignment="1">
      <alignment horizontal="center"/>
    </xf>
    <xf numFmtId="14" fontId="46" fillId="9" borderId="0" xfId="0" applyNumberFormat="1" applyFont="1" applyFill="1"/>
    <xf numFmtId="0" fontId="46" fillId="9" borderId="0" xfId="0" applyFont="1" applyFill="1" applyAlignment="1">
      <alignment horizontal="left"/>
    </xf>
    <xf numFmtId="0" fontId="53" fillId="0" borderId="0" xfId="0" applyFont="1"/>
    <xf numFmtId="0" fontId="54" fillId="12" borderId="14" xfId="1" applyFont="1" applyFill="1" applyBorder="1" applyAlignment="1">
      <alignment horizontal="right" vertical="center"/>
    </xf>
    <xf numFmtId="0" fontId="42" fillId="12" borderId="13" xfId="1" applyFont="1" applyFill="1" applyBorder="1" applyAlignment="1">
      <alignment horizontal="right" vertical="center"/>
    </xf>
    <xf numFmtId="0" fontId="42" fillId="12" borderId="12" xfId="1" applyFont="1" applyFill="1" applyBorder="1" applyAlignment="1">
      <alignment vertical="center"/>
    </xf>
    <xf numFmtId="0" fontId="16" fillId="12" borderId="13" xfId="1" applyFont="1" applyFill="1" applyBorder="1" applyAlignment="1">
      <alignment vertical="center"/>
    </xf>
    <xf numFmtId="0" fontId="42" fillId="12" borderId="13" xfId="1" applyFont="1" applyFill="1" applyBorder="1" applyAlignment="1">
      <alignment vertical="center"/>
    </xf>
    <xf numFmtId="0" fontId="37" fillId="12" borderId="13" xfId="1" applyFont="1" applyFill="1" applyBorder="1" applyAlignment="1">
      <alignment vertical="center"/>
    </xf>
    <xf numFmtId="0" fontId="18" fillId="2" borderId="40" xfId="1" applyFont="1" applyFill="1" applyBorder="1" applyAlignment="1" applyProtection="1">
      <alignment horizontal="center" vertical="center" wrapText="1"/>
      <protection locked="0"/>
    </xf>
    <xf numFmtId="0" fontId="18" fillId="2" borderId="43" xfId="1" applyFont="1" applyFill="1" applyBorder="1" applyAlignment="1" applyProtection="1">
      <alignment horizontal="center" vertical="center" wrapText="1"/>
      <protection locked="0"/>
    </xf>
    <xf numFmtId="0" fontId="34" fillId="10" borderId="11" xfId="1" applyFont="1" applyFill="1" applyBorder="1" applyAlignment="1">
      <alignment horizontal="left" vertical="center" wrapText="1"/>
    </xf>
    <xf numFmtId="0" fontId="23" fillId="2" borderId="0" xfId="1" applyFont="1" applyFill="1" applyAlignment="1">
      <alignment horizontal="center" vertical="center" wrapText="1"/>
    </xf>
    <xf numFmtId="0" fontId="15" fillId="0" borderId="8" xfId="1" applyFont="1" applyBorder="1" applyAlignment="1" applyProtection="1">
      <alignment horizontal="center"/>
    </xf>
    <xf numFmtId="0" fontId="15" fillId="0" borderId="9" xfId="1" applyFont="1" applyBorder="1" applyAlignment="1" applyProtection="1">
      <alignment horizontal="center"/>
    </xf>
    <xf numFmtId="0" fontId="15" fillId="0" borderId="9" xfId="1" applyFont="1" applyBorder="1" applyProtection="1"/>
    <xf numFmtId="0" fontId="15" fillId="0" borderId="10" xfId="1" applyFont="1" applyBorder="1" applyProtection="1"/>
    <xf numFmtId="0" fontId="1" fillId="0" borderId="0" xfId="1" applyProtection="1"/>
    <xf numFmtId="0" fontId="15" fillId="0" borderId="0" xfId="1" applyFont="1" applyAlignment="1" applyProtection="1">
      <alignment horizontal="center"/>
    </xf>
    <xf numFmtId="0" fontId="7" fillId="0" borderId="0" xfId="1" applyFont="1" applyAlignment="1" applyProtection="1">
      <alignment horizontal="center" vertical="center"/>
    </xf>
    <xf numFmtId="0" fontId="15" fillId="0" borderId="0" xfId="1" applyFont="1" applyProtection="1"/>
    <xf numFmtId="0" fontId="34" fillId="10" borderId="11" xfId="1" applyFont="1" applyFill="1" applyBorder="1" applyAlignment="1" applyProtection="1">
      <alignment horizontal="left" vertical="center" wrapText="1"/>
    </xf>
    <xf numFmtId="0" fontId="34" fillId="10" borderId="0" xfId="1" applyFont="1" applyFill="1" applyAlignment="1" applyProtection="1">
      <alignment vertical="center" wrapText="1"/>
    </xf>
    <xf numFmtId="0" fontId="42" fillId="12" borderId="13" xfId="1" applyFont="1" applyFill="1" applyBorder="1" applyAlignment="1" applyProtection="1">
      <alignment vertical="center"/>
    </xf>
    <xf numFmtId="0" fontId="16" fillId="12" borderId="13" xfId="1" applyFont="1" applyFill="1" applyBorder="1" applyAlignment="1" applyProtection="1">
      <alignment vertical="center"/>
    </xf>
    <xf numFmtId="0" fontId="42" fillId="12" borderId="13" xfId="1" applyFont="1" applyFill="1" applyBorder="1" applyAlignment="1" applyProtection="1">
      <alignment horizontal="right" vertical="center"/>
    </xf>
    <xf numFmtId="0" fontId="37" fillId="12" borderId="13" xfId="1" applyFont="1" applyFill="1" applyBorder="1" applyAlignment="1" applyProtection="1">
      <alignment vertical="center"/>
    </xf>
    <xf numFmtId="0" fontId="1" fillId="0" borderId="0" xfId="1" applyAlignment="1" applyProtection="1">
      <alignment horizontal="center"/>
    </xf>
    <xf numFmtId="0" fontId="17" fillId="2" borderId="0" xfId="1" applyFont="1" applyFill="1" applyAlignment="1" applyProtection="1">
      <alignment horizontal="right" vertical="center" indent="1"/>
    </xf>
    <xf numFmtId="0" fontId="18" fillId="2" borderId="0" xfId="1" applyFont="1" applyFill="1" applyAlignment="1" applyProtection="1">
      <alignment horizontal="right" vertical="center" indent="1"/>
    </xf>
    <xf numFmtId="0" fontId="43" fillId="2" borderId="0" xfId="1" applyFont="1" applyFill="1" applyAlignment="1" applyProtection="1">
      <alignment vertical="center"/>
    </xf>
    <xf numFmtId="0" fontId="17" fillId="2" borderId="0" xfId="1" applyFont="1" applyFill="1" applyAlignment="1" applyProtection="1">
      <alignment vertical="center"/>
    </xf>
    <xf numFmtId="0" fontId="45" fillId="2" borderId="0" xfId="1" applyFont="1" applyFill="1" applyAlignment="1" applyProtection="1">
      <alignment horizontal="right" vertical="center"/>
    </xf>
    <xf numFmtId="0" fontId="17" fillId="2" borderId="0" xfId="1" applyFont="1" applyFill="1" applyAlignment="1" applyProtection="1">
      <alignment horizontal="left" vertical="center"/>
    </xf>
    <xf numFmtId="0" fontId="17" fillId="2" borderId="0" xfId="1" applyFont="1" applyFill="1" applyAlignment="1" applyProtection="1">
      <alignment horizontal="left" vertical="center" indent="1"/>
    </xf>
    <xf numFmtId="0" fontId="18" fillId="2" borderId="0" xfId="1" applyFont="1" applyFill="1" applyAlignment="1" applyProtection="1">
      <alignment horizontal="left" vertical="center" wrapText="1"/>
    </xf>
    <xf numFmtId="0" fontId="18" fillId="0" borderId="0" xfId="1" applyFont="1" applyAlignment="1" applyProtection="1">
      <alignment vertical="top" wrapText="1"/>
    </xf>
    <xf numFmtId="0" fontId="19" fillId="10" borderId="0" xfId="1" applyFont="1" applyFill="1" applyAlignment="1" applyProtection="1">
      <alignment horizontal="center" vertical="center"/>
    </xf>
    <xf numFmtId="0" fontId="19" fillId="10" borderId="0" xfId="1" applyFont="1" applyFill="1" applyAlignment="1" applyProtection="1">
      <alignment horizontal="left" vertical="center" indent="1"/>
    </xf>
    <xf numFmtId="0" fontId="19" fillId="10" borderId="0" xfId="1" applyFont="1" applyFill="1" applyAlignment="1" applyProtection="1">
      <alignment vertical="center"/>
    </xf>
    <xf numFmtId="0" fontId="19" fillId="10" borderId="19" xfId="1" applyFont="1" applyFill="1" applyBorder="1" applyAlignment="1" applyProtection="1">
      <alignment horizontal="left" vertical="center"/>
    </xf>
    <xf numFmtId="0" fontId="19" fillId="10" borderId="0" xfId="1" applyFont="1" applyFill="1" applyAlignment="1" applyProtection="1">
      <alignment horizontal="left" vertical="center"/>
    </xf>
    <xf numFmtId="0" fontId="19" fillId="10" borderId="15" xfId="1" applyFont="1" applyFill="1" applyBorder="1" applyAlignment="1" applyProtection="1">
      <alignment horizontal="left" vertical="center"/>
    </xf>
    <xf numFmtId="0" fontId="20" fillId="2" borderId="0" xfId="1" applyFont="1" applyFill="1" applyAlignment="1" applyProtection="1">
      <alignment vertical="center"/>
    </xf>
    <xf numFmtId="0" fontId="21" fillId="2" borderId="0" xfId="1" applyFont="1" applyFill="1" applyAlignment="1" applyProtection="1">
      <alignment vertical="center"/>
    </xf>
    <xf numFmtId="0" fontId="19" fillId="10" borderId="0" xfId="1" applyFont="1" applyFill="1" applyAlignment="1" applyProtection="1">
      <alignment horizontal="center" vertical="center" wrapText="1"/>
    </xf>
    <xf numFmtId="0" fontId="19" fillId="10" borderId="52" xfId="1" applyFont="1" applyFill="1" applyBorder="1" applyAlignment="1" applyProtection="1">
      <alignment horizontal="center" vertical="center" wrapText="1"/>
    </xf>
    <xf numFmtId="0" fontId="19" fillId="10" borderId="53" xfId="1" applyFont="1" applyFill="1" applyBorder="1" applyAlignment="1" applyProtection="1">
      <alignment horizontal="center" vertical="center" wrapText="1"/>
    </xf>
    <xf numFmtId="0" fontId="19" fillId="10" borderId="54" xfId="1" applyFont="1" applyFill="1" applyBorder="1" applyAlignment="1" applyProtection="1">
      <alignment horizontal="center" vertical="center" wrapText="1"/>
    </xf>
    <xf numFmtId="0" fontId="18" fillId="2" borderId="44" xfId="1" applyFont="1" applyFill="1" applyBorder="1" applyAlignment="1" applyProtection="1">
      <alignment horizontal="center" vertical="center" wrapText="1"/>
    </xf>
    <xf numFmtId="0" fontId="18" fillId="0" borderId="37" xfId="1" applyFont="1" applyBorder="1" applyAlignment="1" applyProtection="1">
      <alignment horizontal="center" vertical="center" wrapText="1"/>
    </xf>
    <xf numFmtId="0" fontId="18" fillId="2" borderId="17" xfId="1" applyFont="1" applyFill="1" applyBorder="1" applyAlignment="1" applyProtection="1">
      <alignment horizontal="center" vertical="center" wrapText="1"/>
    </xf>
    <xf numFmtId="0" fontId="18" fillId="2" borderId="17" xfId="1" applyFont="1" applyFill="1" applyBorder="1" applyAlignment="1" applyProtection="1">
      <alignment vertical="center" wrapText="1"/>
    </xf>
    <xf numFmtId="0" fontId="21" fillId="2" borderId="17" xfId="1" applyFont="1" applyFill="1" applyBorder="1" applyAlignment="1" applyProtection="1">
      <alignment horizontal="center" vertical="center" wrapText="1"/>
    </xf>
    <xf numFmtId="0" fontId="18" fillId="2" borderId="55" xfId="1" applyFont="1" applyFill="1" applyBorder="1" applyAlignment="1" applyProtection="1">
      <alignment horizontal="center" vertical="center" wrapText="1"/>
    </xf>
    <xf numFmtId="0" fontId="18" fillId="2" borderId="56" xfId="1" applyFont="1" applyFill="1" applyBorder="1" applyAlignment="1" applyProtection="1">
      <alignment horizontal="center" vertical="center" wrapText="1"/>
    </xf>
    <xf numFmtId="0" fontId="18" fillId="2" borderId="57" xfId="1" applyFont="1" applyFill="1" applyBorder="1" applyAlignment="1" applyProtection="1">
      <alignment horizontal="center" vertical="center" wrapText="1"/>
    </xf>
    <xf numFmtId="0" fontId="22" fillId="0" borderId="0" xfId="1" applyFont="1" applyAlignment="1" applyProtection="1">
      <alignment horizontal="center" vertical="center" wrapText="1"/>
    </xf>
    <xf numFmtId="0" fontId="20" fillId="2" borderId="0" xfId="1" applyFont="1" applyFill="1" applyAlignment="1" applyProtection="1">
      <alignment wrapText="1"/>
    </xf>
    <xf numFmtId="0" fontId="21" fillId="2" borderId="0" xfId="1" applyFont="1" applyFill="1" applyAlignment="1" applyProtection="1">
      <alignment wrapText="1"/>
    </xf>
    <xf numFmtId="0" fontId="18" fillId="2" borderId="45" xfId="1" applyFont="1" applyFill="1" applyBorder="1" applyAlignment="1" applyProtection="1">
      <alignment horizontal="center" vertical="center" wrapText="1"/>
    </xf>
    <xf numFmtId="0" fontId="18" fillId="2" borderId="42" xfId="1" applyFont="1" applyFill="1" applyBorder="1" applyAlignment="1" applyProtection="1">
      <alignment horizontal="center" vertical="center" wrapText="1"/>
    </xf>
    <xf numFmtId="0" fontId="18" fillId="2" borderId="42" xfId="1" applyFont="1" applyFill="1" applyBorder="1" applyAlignment="1" applyProtection="1">
      <alignment vertical="center" wrapText="1"/>
    </xf>
    <xf numFmtId="0" fontId="21" fillId="2" borderId="42" xfId="1" applyFont="1" applyFill="1" applyBorder="1" applyAlignment="1" applyProtection="1">
      <alignment horizontal="center" vertical="center" wrapText="1"/>
    </xf>
    <xf numFmtId="0" fontId="18" fillId="2" borderId="58" xfId="1" applyFont="1" applyFill="1" applyBorder="1" applyAlignment="1" applyProtection="1">
      <alignment horizontal="center" vertical="center" wrapText="1"/>
    </xf>
    <xf numFmtId="0" fontId="18" fillId="2" borderId="59" xfId="1" applyFont="1" applyFill="1" applyBorder="1" applyAlignment="1" applyProtection="1">
      <alignment horizontal="center" vertical="center" wrapText="1"/>
    </xf>
    <xf numFmtId="0" fontId="18" fillId="2" borderId="60" xfId="1" applyFont="1" applyFill="1" applyBorder="1" applyAlignment="1" applyProtection="1">
      <alignment horizontal="center" vertical="center" wrapText="1"/>
    </xf>
    <xf numFmtId="0" fontId="38" fillId="12" borderId="47" xfId="1" applyFont="1" applyFill="1" applyBorder="1" applyAlignment="1" applyProtection="1">
      <alignment horizontal="center" vertical="center" wrapText="1"/>
    </xf>
    <xf numFmtId="0" fontId="38" fillId="12" borderId="0" xfId="1" applyFont="1" applyFill="1" applyAlignment="1" applyProtection="1">
      <alignment horizontal="center" vertical="center" wrapText="1"/>
    </xf>
    <xf numFmtId="0" fontId="22" fillId="12" borderId="0" xfId="1" applyFont="1" applyFill="1" applyAlignment="1" applyProtection="1">
      <alignment horizontal="center" vertical="center" wrapText="1"/>
    </xf>
    <xf numFmtId="0" fontId="38" fillId="12" borderId="52" xfId="1" applyFont="1" applyFill="1" applyBorder="1" applyAlignment="1" applyProtection="1">
      <alignment horizontal="center" vertical="center" wrapText="1"/>
    </xf>
    <xf numFmtId="0" fontId="38" fillId="12" borderId="53" xfId="1" applyFont="1" applyFill="1" applyBorder="1" applyAlignment="1" applyProtection="1">
      <alignment horizontal="center" vertical="center" wrapText="1"/>
    </xf>
    <xf numFmtId="0" fontId="38" fillId="12" borderId="54" xfId="1" applyFont="1" applyFill="1" applyBorder="1" applyAlignment="1" applyProtection="1">
      <alignment horizontal="center" vertical="center" wrapText="1"/>
    </xf>
    <xf numFmtId="0" fontId="18" fillId="2" borderId="49" xfId="1" applyFont="1" applyFill="1" applyBorder="1" applyAlignment="1" applyProtection="1">
      <alignment horizontal="center" vertical="center" wrapText="1"/>
    </xf>
    <xf numFmtId="0" fontId="18" fillId="2" borderId="39" xfId="1" applyFont="1" applyFill="1" applyBorder="1" applyAlignment="1" applyProtection="1">
      <alignment horizontal="center" vertical="center" wrapText="1"/>
    </xf>
    <xf numFmtId="0" fontId="18" fillId="2" borderId="39" xfId="1" applyFont="1" applyFill="1" applyBorder="1" applyAlignment="1" applyProtection="1">
      <alignment vertical="center" wrapText="1"/>
    </xf>
    <xf numFmtId="0" fontId="21" fillId="2" borderId="39" xfId="1" applyFont="1" applyFill="1" applyBorder="1" applyAlignment="1" applyProtection="1">
      <alignment horizontal="center" vertical="center" wrapText="1"/>
    </xf>
    <xf numFmtId="0" fontId="18" fillId="2" borderId="61" xfId="1" applyFont="1" applyFill="1" applyBorder="1" applyAlignment="1" applyProtection="1">
      <alignment horizontal="center" vertical="center" wrapText="1"/>
    </xf>
    <xf numFmtId="0" fontId="18" fillId="2" borderId="62" xfId="1" applyFont="1" applyFill="1" applyBorder="1" applyAlignment="1" applyProtection="1">
      <alignment horizontal="center" vertical="center" wrapText="1"/>
    </xf>
    <xf numFmtId="0" fontId="18" fillId="2" borderId="63" xfId="1" applyFont="1" applyFill="1" applyBorder="1" applyAlignment="1" applyProtection="1">
      <alignment horizontal="center" vertical="center" wrapText="1"/>
    </xf>
    <xf numFmtId="0" fontId="18" fillId="0" borderId="39" xfId="1" applyFont="1" applyBorder="1" applyAlignment="1" applyProtection="1">
      <alignment horizontal="center" vertical="center" wrapText="1"/>
    </xf>
    <xf numFmtId="0" fontId="18" fillId="0" borderId="61" xfId="1" applyFont="1" applyBorder="1" applyAlignment="1" applyProtection="1">
      <alignment horizontal="center" vertical="center" wrapText="1"/>
    </xf>
    <xf numFmtId="0" fontId="18" fillId="0" borderId="62" xfId="1" applyFont="1" applyBorder="1" applyAlignment="1" applyProtection="1">
      <alignment horizontal="center" vertical="center" wrapText="1"/>
    </xf>
    <xf numFmtId="0" fontId="18" fillId="0" borderId="63" xfId="1" applyFont="1" applyBorder="1" applyAlignment="1" applyProtection="1">
      <alignment horizontal="center" vertical="center" wrapText="1"/>
    </xf>
    <xf numFmtId="0" fontId="18" fillId="0" borderId="42" xfId="1" applyFont="1" applyBorder="1" applyAlignment="1" applyProtection="1">
      <alignment horizontal="center" vertical="center" wrapText="1"/>
    </xf>
    <xf numFmtId="0" fontId="18" fillId="0" borderId="58" xfId="1" applyFont="1" applyBorder="1" applyAlignment="1" applyProtection="1">
      <alignment horizontal="center" vertical="center" wrapText="1"/>
    </xf>
    <xf numFmtId="0" fontId="18" fillId="0" borderId="59" xfId="1" applyFont="1" applyBorder="1" applyAlignment="1" applyProtection="1">
      <alignment horizontal="center" vertical="center" wrapText="1"/>
    </xf>
    <xf numFmtId="0" fontId="18" fillId="0" borderId="60" xfId="1" applyFont="1" applyBorder="1" applyAlignment="1" applyProtection="1">
      <alignment horizontal="center" vertical="center" wrapText="1"/>
    </xf>
    <xf numFmtId="0" fontId="20" fillId="2" borderId="0" xfId="1" applyFont="1" applyFill="1" applyProtection="1"/>
    <xf numFmtId="0" fontId="21" fillId="2" borderId="0" xfId="1" applyFont="1" applyFill="1" applyProtection="1"/>
    <xf numFmtId="0" fontId="18" fillId="0" borderId="17" xfId="1" applyFont="1" applyBorder="1" applyAlignment="1" applyProtection="1">
      <alignment horizontal="center" vertical="center" wrapText="1"/>
    </xf>
    <xf numFmtId="0" fontId="18" fillId="0" borderId="17" xfId="1" applyFont="1" applyBorder="1" applyAlignment="1" applyProtection="1">
      <alignment horizontal="left" vertical="center"/>
    </xf>
    <xf numFmtId="0" fontId="29" fillId="2" borderId="0" xfId="1" applyFont="1" applyFill="1" applyAlignment="1" applyProtection="1">
      <alignment horizontal="left" vertical="center" wrapText="1"/>
    </xf>
    <xf numFmtId="0" fontId="30" fillId="2" borderId="0" xfId="1" applyFont="1" applyFill="1" applyAlignment="1" applyProtection="1">
      <alignment horizontal="left" vertical="center" wrapText="1"/>
    </xf>
    <xf numFmtId="0" fontId="31" fillId="2" borderId="0" xfId="1" applyFont="1" applyFill="1" applyAlignment="1" applyProtection="1">
      <alignment vertical="center"/>
    </xf>
    <xf numFmtId="0" fontId="32" fillId="2" borderId="0" xfId="1" applyFont="1" applyFill="1" applyAlignment="1" applyProtection="1">
      <alignment horizontal="center" vertical="center"/>
    </xf>
    <xf numFmtId="0" fontId="32" fillId="2" borderId="0" xfId="1" applyFont="1" applyFill="1" applyProtection="1"/>
    <xf numFmtId="0" fontId="11" fillId="2" borderId="0" xfId="1" applyFont="1" applyFill="1" applyProtection="1"/>
    <xf numFmtId="0" fontId="36" fillId="10" borderId="0" xfId="1" applyFont="1" applyFill="1" applyAlignment="1" applyProtection="1">
      <alignment horizontal="left" vertical="center"/>
    </xf>
    <xf numFmtId="0" fontId="1" fillId="0" borderId="0" xfId="1" applyAlignment="1" applyProtection="1">
      <alignment horizontal="center" vertical="center"/>
    </xf>
    <xf numFmtId="0" fontId="1" fillId="0" borderId="0" xfId="1" applyAlignment="1" applyProtection="1">
      <alignment horizontal="center" vertical="top"/>
    </xf>
    <xf numFmtId="0" fontId="33" fillId="0" borderId="16" xfId="1" applyFont="1" applyBorder="1" applyAlignment="1" applyProtection="1">
      <alignment horizontal="left" vertical="center"/>
    </xf>
    <xf numFmtId="0" fontId="33" fillId="0" borderId="17" xfId="1" applyFont="1" applyBorder="1" applyAlignment="1" applyProtection="1">
      <alignment horizontal="center" vertical="center"/>
    </xf>
    <xf numFmtId="0" fontId="33" fillId="0" borderId="17" xfId="1" applyFont="1" applyBorder="1" applyAlignment="1" applyProtection="1">
      <alignment vertical="center"/>
    </xf>
    <xf numFmtId="0" fontId="33" fillId="0" borderId="17" xfId="1" applyFont="1" applyBorder="1" applyAlignment="1" applyProtection="1">
      <alignment vertical="center" wrapText="1"/>
    </xf>
    <xf numFmtId="0" fontId="33" fillId="0" borderId="17" xfId="1" applyFont="1" applyBorder="1" applyAlignment="1" applyProtection="1">
      <alignment horizontal="center" vertical="center" wrapText="1"/>
    </xf>
    <xf numFmtId="0" fontId="18" fillId="0" borderId="64" xfId="1" applyFont="1" applyBorder="1" applyAlignment="1" applyProtection="1">
      <alignment horizontal="center" vertical="center" wrapText="1"/>
    </xf>
    <xf numFmtId="0" fontId="18" fillId="0" borderId="65" xfId="1" applyFont="1" applyBorder="1" applyAlignment="1" applyProtection="1">
      <alignment horizontal="center" vertical="center" wrapText="1"/>
    </xf>
    <xf numFmtId="0" fontId="18" fillId="0" borderId="66" xfId="1" applyFont="1" applyBorder="1" applyAlignment="1" applyProtection="1">
      <alignment horizontal="center" vertical="center" wrapText="1"/>
    </xf>
    <xf numFmtId="0" fontId="18" fillId="0" borderId="67" xfId="1" applyFont="1" applyBorder="1" applyAlignment="1" applyProtection="1">
      <alignment horizontal="center" vertical="center" wrapText="1"/>
    </xf>
    <xf numFmtId="0" fontId="18" fillId="0" borderId="68" xfId="1" applyFont="1" applyBorder="1" applyAlignment="1" applyProtection="1">
      <alignment horizontal="center" vertical="center" wrapText="1"/>
    </xf>
    <xf numFmtId="0" fontId="18" fillId="0" borderId="69" xfId="1" applyFont="1" applyBorder="1" applyAlignment="1" applyProtection="1">
      <alignment horizontal="center" vertical="center" wrapText="1"/>
    </xf>
    <xf numFmtId="0" fontId="18" fillId="0" borderId="70" xfId="1" applyFont="1" applyBorder="1" applyAlignment="1" applyProtection="1">
      <alignment horizontal="center" vertical="center" wrapText="1"/>
    </xf>
    <xf numFmtId="0" fontId="18" fillId="0" borderId="71" xfId="1" applyFont="1" applyBorder="1" applyAlignment="1" applyProtection="1">
      <alignment horizontal="center" vertical="center" wrapText="1"/>
    </xf>
    <xf numFmtId="0" fontId="18" fillId="0" borderId="72" xfId="1" applyFont="1" applyBorder="1" applyAlignment="1" applyProtection="1">
      <alignment horizontal="center" vertical="center" wrapText="1"/>
    </xf>
    <xf numFmtId="0" fontId="23" fillId="2" borderId="0" xfId="1" applyFont="1" applyFill="1" applyAlignment="1" applyProtection="1">
      <alignment horizontal="center" vertical="center" wrapText="1"/>
    </xf>
    <xf numFmtId="0" fontId="27" fillId="2" borderId="0" xfId="1" applyFont="1" applyFill="1" applyProtection="1"/>
    <xf numFmtId="0" fontId="28" fillId="2" borderId="0" xfId="1" applyFont="1" applyFill="1" applyProtection="1"/>
    <xf numFmtId="0" fontId="29" fillId="2" borderId="0" xfId="1" applyFont="1" applyFill="1" applyAlignment="1" applyProtection="1">
      <alignment vertical="center"/>
    </xf>
    <xf numFmtId="0" fontId="11" fillId="2" borderId="0" xfId="1" applyFont="1" applyFill="1" applyAlignment="1" applyProtection="1">
      <alignment vertical="center"/>
    </xf>
    <xf numFmtId="0" fontId="31" fillId="2" borderId="0" xfId="1" applyFont="1" applyFill="1" applyAlignment="1" applyProtection="1">
      <alignment horizontal="right" vertical="center"/>
    </xf>
    <xf numFmtId="0" fontId="38" fillId="12" borderId="48" xfId="1" applyFont="1" applyFill="1" applyBorder="1" applyAlignment="1" applyProtection="1">
      <alignment horizontal="center" vertical="center" wrapText="1"/>
      <protection locked="0"/>
    </xf>
  </cellXfs>
  <cellStyles count="4">
    <cellStyle name="Good" xfId="3" builtinId="26"/>
    <cellStyle name="Hyperlink" xfId="2" builtinId="8"/>
    <cellStyle name="Normal" xfId="0" builtinId="0"/>
    <cellStyle name="Normal 2" xfId="1" xr:uid="{00000000-0005-0000-0000-000003000000}"/>
  </cellStyles>
  <dxfs count="108">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theme="0" tint="-0.14996795556505021"/>
        </patternFill>
      </fill>
    </dxf>
    <dxf>
      <font>
        <b/>
        <i/>
        <color rgb="FFFF0000"/>
      </font>
    </dxf>
    <dxf>
      <fill>
        <patternFill>
          <bgColor theme="0" tint="-0.14996795556505021"/>
        </patternFill>
      </fill>
    </dxf>
    <dxf>
      <font>
        <b/>
        <i val="0"/>
      </font>
      <fill>
        <patternFill>
          <bgColor theme="0" tint="-0.14996795556505021"/>
        </patternFill>
      </fill>
    </dxf>
    <dxf>
      <font>
        <b/>
        <i/>
        <color rgb="FFFF0000"/>
      </font>
    </dxf>
    <dxf>
      <font>
        <b/>
        <i/>
      </font>
      <fill>
        <patternFill>
          <bgColor theme="0" tint="-0.14996795556505021"/>
        </patternFill>
      </fill>
    </dxf>
    <dxf>
      <fill>
        <patternFill>
          <bgColor theme="0" tint="-0.14996795556505021"/>
        </patternFill>
      </fill>
    </dxf>
    <dxf>
      <font>
        <b/>
        <i val="0"/>
      </font>
      <fill>
        <patternFill>
          <bgColor theme="0" tint="-0.14996795556505021"/>
        </patternFill>
      </fill>
    </dxf>
    <dxf>
      <font>
        <b/>
        <i/>
        <color rgb="FFFF0000"/>
      </font>
    </dxf>
    <dxf>
      <fill>
        <patternFill>
          <bgColor theme="0" tint="-0.14996795556505021"/>
        </patternFill>
      </fill>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9" formatCode="d/mm/yyyy"/>
    </dxf>
    <dxf>
      <numFmt numFmtId="19" formatCode="d/mm/yyyy"/>
    </dxf>
    <dxf>
      <font>
        <b val="0"/>
        <i val="0"/>
        <strike val="0"/>
        <condense val="0"/>
        <extend val="0"/>
        <outline val="0"/>
        <shadow val="0"/>
        <u val="none"/>
        <vertAlign val="baseline"/>
        <sz val="12"/>
        <color auto="1"/>
        <name val="Calibri"/>
        <family val="2"/>
        <scheme val="minor"/>
      </font>
      <fill>
        <patternFill patternType="none">
          <fgColor indexed="64"/>
          <bgColor indexed="65"/>
        </patternFill>
      </fill>
    </dxf>
    <dxf>
      <numFmt numFmtId="0" formatCode="General"/>
      <alignment horizontal="center" vertical="bottom" textRotation="0" wrapText="0" indent="0" justifyLastLine="0" shrinkToFit="0" readingOrder="0"/>
      <border diagonalUp="0" diagonalDown="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font>
        <b val="0"/>
        <i val="0"/>
        <strike val="0"/>
        <condense val="0"/>
        <extend val="0"/>
        <outline val="0"/>
        <shadow val="0"/>
        <u val="none"/>
        <vertAlign val="baseline"/>
        <sz val="12"/>
        <color auto="1"/>
        <name val="Calibri"/>
        <family val="2"/>
        <scheme val="minor"/>
      </font>
      <fill>
        <patternFill patternType="none">
          <fgColor indexed="64"/>
          <bgColor indexed="65"/>
        </patternFill>
      </fill>
    </dxf>
    <dxf>
      <numFmt numFmtId="0" formatCode="General"/>
      <alignment horizontal="center" vertical="bottom" textRotation="0" wrapText="0" indent="0" justifyLastLine="0" shrinkToFit="0" readingOrder="0"/>
      <border diagonalUp="0" diagonalDown="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font>
        <b val="0"/>
        <i val="0"/>
        <strike val="0"/>
        <condense val="0"/>
        <extend val="0"/>
        <outline val="0"/>
        <shadow val="0"/>
        <u val="none"/>
        <vertAlign val="baseline"/>
        <sz val="12"/>
        <color auto="1"/>
        <name val="Calibri"/>
        <family val="2"/>
        <scheme val="minor"/>
      </font>
      <fill>
        <patternFill patternType="none">
          <fgColor indexed="64"/>
          <bgColor indexed="65"/>
        </patternFill>
      </fill>
    </dxf>
    <dxf>
      <numFmt numFmtId="0" formatCode="General"/>
      <alignment horizontal="center" vertical="bottom" textRotation="0" wrapText="0" indent="0" justifyLastLine="0" shrinkToFit="0" readingOrder="0"/>
      <border diagonalUp="0" diagonalDown="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font>
        <strike val="0"/>
        <outline val="0"/>
        <shadow val="0"/>
        <u val="none"/>
        <vertAlign val="baseline"/>
        <sz val="12"/>
        <color rgb="FFFF0000"/>
        <name val="Calibri"/>
        <scheme val="minor"/>
      </font>
      <fill>
        <patternFill patternType="none">
          <fgColor indexed="64"/>
          <bgColor indexed="65"/>
        </patternFill>
      </fill>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font>
        <strike val="0"/>
        <outline val="0"/>
        <shadow val="0"/>
        <u val="none"/>
        <vertAlign val="baseline"/>
        <sz val="12"/>
        <color rgb="FFFF0000"/>
        <name val="Calibri"/>
        <scheme val="minor"/>
      </font>
      <fill>
        <patternFill patternType="none">
          <fgColor indexed="64"/>
          <bgColor auto="1"/>
        </patternFill>
      </fill>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ill>
        <patternFill patternType="solid">
          <fgColor indexed="64"/>
          <bgColor theme="9" tint="0.79998168889431442"/>
        </patternFill>
      </fill>
      <alignment horizontal="center" vertical="bottom" textRotation="0" wrapText="0" indent="0" justifyLastLine="0" shrinkToFit="0" readingOrder="0"/>
    </dxf>
    <dxf>
      <fill>
        <patternFill patternType="solid">
          <fgColor indexed="64"/>
          <bgColor theme="9" tint="0.79998168889431442"/>
        </patternFill>
      </fill>
      <alignment horizontal="center" vertical="bottom" textRotation="0" wrapText="0" indent="0" justifyLastLine="0" shrinkToFit="0" readingOrder="0"/>
    </dxf>
    <dxf>
      <fill>
        <patternFill patternType="solid">
          <fgColor indexed="64"/>
          <bgColor theme="9" tint="0.79998168889431442"/>
        </patternFill>
      </fill>
      <alignment horizontal="center" vertical="bottom" textRotation="0" wrapText="0" indent="0" justifyLastLine="0" shrinkToFit="0" readingOrder="0"/>
      <border diagonalUp="0" diagonalDown="0">
        <left style="medium">
          <color auto="1"/>
        </left>
        <right/>
        <top/>
        <bottom/>
        <vertical/>
        <horizontal/>
      </border>
    </dxf>
    <dxf>
      <fill>
        <patternFill patternType="solid">
          <fgColor indexed="64"/>
          <bgColor theme="9" tint="0.79998168889431442"/>
        </patternFill>
      </fill>
      <alignment horizontal="center" vertical="bottom" textRotation="0" wrapText="0" indent="0" justifyLastLine="0" shrinkToFit="0" readingOrder="0"/>
    </dxf>
    <dxf>
      <fill>
        <patternFill patternType="solid">
          <fgColor indexed="64"/>
          <bgColor theme="9" tint="0.79998168889431442"/>
        </patternFill>
      </fill>
      <alignment horizontal="center" vertical="bottom" textRotation="0" wrapText="0" indent="0" justifyLastLine="0" shrinkToFit="0" readingOrder="0"/>
    </dxf>
    <dxf>
      <alignment horizontal="left"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5" tint="0.79998168889431442"/>
        </patternFill>
      </fill>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center"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0"/>
        <color rgb="FF000000"/>
        <name val="Arial"/>
        <scheme val="none"/>
      </font>
      <numFmt numFmtId="19" formatCode="d/mm/yyyy"/>
      <alignment horizontal="center" vertical="center"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center" textRotation="0" wrapText="0" indent="0" justifyLastLine="0" shrinkToFit="0" readingOrder="0"/>
    </dxf>
    <dxf>
      <font>
        <b val="0"/>
        <i val="0"/>
        <strike val="0"/>
        <condense val="0"/>
        <extend val="0"/>
        <outline val="0"/>
        <shadow val="0"/>
        <u val="none"/>
        <vertAlign val="baseline"/>
        <sz val="10"/>
        <color rgb="FF000000"/>
        <name val="Arial"/>
        <scheme val="none"/>
      </font>
      <fill>
        <patternFill patternType="none">
          <fgColor indexed="64"/>
          <bgColor auto="1"/>
        </patternFill>
      </fill>
    </dxf>
    <dxf>
      <font>
        <b val="0"/>
        <i val="0"/>
        <strike val="0"/>
        <condense val="0"/>
        <extend val="0"/>
        <outline val="0"/>
        <shadow val="0"/>
        <u val="none"/>
        <vertAlign val="baseline"/>
        <sz val="10"/>
        <color rgb="FF000000"/>
        <name val="Arial"/>
        <scheme val="none"/>
      </font>
    </dxf>
    <dxf>
      <font>
        <b val="0"/>
        <i val="0"/>
        <strike val="0"/>
        <condense val="0"/>
        <extend val="0"/>
        <outline val="0"/>
        <shadow val="0"/>
        <u val="none"/>
        <vertAlign val="baseline"/>
        <sz val="10"/>
        <color rgb="FF000000"/>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sz val="10"/>
        <name val="Arial"/>
        <scheme val="none"/>
      </font>
      <alignment horizontal="general" vertical="center" textRotation="0" wrapText="0" indent="0" justifyLastLine="0" shrinkToFit="0" readingOrder="0"/>
    </dxf>
    <dxf>
      <font>
        <sz val="10"/>
        <name val="Arial"/>
        <scheme val="none"/>
      </font>
      <alignment horizontal="center" vertical="center" textRotation="0" wrapText="0" indent="0" justifyLastLine="0" shrinkToFit="0" readingOrder="0"/>
    </dxf>
    <dxf>
      <numFmt numFmtId="19" formatCode="d/mm/yyyy"/>
      <alignment horizontal="center" vertical="center"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alignment horizontal="center" vertical="center"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Arial"/>
        <scheme val="none"/>
      </font>
      <alignment vertical="center"/>
    </dxf>
    <dxf>
      <alignment vertical="center"/>
    </dxf>
    <dxf>
      <font>
        <b val="0"/>
        <i val="0"/>
        <strike val="0"/>
        <condense val="0"/>
        <extend val="0"/>
        <outline val="0"/>
        <shadow val="0"/>
        <u val="none"/>
        <vertAlign val="baseline"/>
        <sz val="10"/>
        <color theme="1"/>
        <name val="Arial"/>
        <scheme val="none"/>
      </font>
    </dxf>
  </dxfs>
  <tableStyles count="0" defaultTableStyle="TableStyleMedium2" defaultPivotStyle="PivotStyleLight16"/>
  <colors>
    <mruColors>
      <color rgb="FFF49AC1"/>
      <color rgb="FFB4FFFF"/>
      <color rgb="FF0D4B6D"/>
      <color rgb="FF919296"/>
      <color rgb="FFF2F2F2"/>
      <color rgb="FFB4C6E7"/>
      <color rgb="FFFFE699"/>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13</xdr:col>
      <xdr:colOff>247651</xdr:colOff>
      <xdr:row>3</xdr:row>
      <xdr:rowOff>47626</xdr:rowOff>
    </xdr:from>
    <xdr:ext cx="5629275" cy="384990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0753726" y="552451"/>
          <a:ext cx="5629275" cy="3849900"/>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Enrolment Guidelines</a:t>
          </a:r>
        </a:p>
        <a:p>
          <a:pPr algn="ctr"/>
          <a:endParaRPr lang="en-AU" sz="1100" b="1" i="0" u="none" strike="noStrike">
            <a:solidFill>
              <a:schemeClr val="dk1"/>
            </a:solidFill>
            <a:effectLst/>
            <a:latin typeface="+mn-lt"/>
            <a:ea typeface="+mn-ea"/>
            <a:cs typeface="+mn-cs"/>
          </a:endParaRPr>
        </a:p>
        <a:p>
          <a:pPr algn="ctr"/>
          <a:r>
            <a:rPr lang="en-AU" sz="1100" b="1" i="0" u="none" strike="noStrike">
              <a:solidFill>
                <a:schemeClr val="accent5"/>
              </a:solidFill>
              <a:effectLst/>
              <a:latin typeface="+mn-lt"/>
              <a:ea typeface="+mn-ea"/>
              <a:cs typeface="+mn-cs"/>
            </a:rPr>
            <a:t>Graduate Certificate in Project Management (OpenUnis)</a:t>
          </a:r>
          <a:endParaRPr lang="en-AU" sz="1000" b="1" i="0" u="none" strike="noStrike">
            <a:solidFill>
              <a:schemeClr val="accent5"/>
            </a:solidFill>
            <a:effectLst/>
            <a:latin typeface="+mn-lt"/>
            <a:ea typeface="+mn-ea"/>
            <a:cs typeface="+mn-cs"/>
          </a:endParaRPr>
        </a:p>
        <a:p>
          <a:pPr algn="ctr" rtl="0" fontAlgn="base"/>
          <a:endParaRPr lang="en-AU">
            <a:effectLst/>
          </a:endParaRPr>
        </a:p>
        <a:p>
          <a:pPr algn="ctr" rtl="0" fontAlgn="base"/>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rtl="0" fontAlgn="base"/>
          <a:endParaRPr lang="en-AU" sz="1100" b="0" i="0">
            <a:solidFill>
              <a:schemeClr val="dk1"/>
            </a:solidFill>
            <a:effectLst/>
            <a:latin typeface="+mn-lt"/>
            <a:ea typeface="+mn-ea"/>
            <a:cs typeface="+mn-cs"/>
          </a:endParaRPr>
        </a:p>
        <a:p>
          <a:pPr rtl="0" fontAlgn="base"/>
          <a:r>
            <a:rPr lang="en-AU" sz="1100" b="0" i="0">
              <a:solidFill>
                <a:schemeClr val="dk1"/>
              </a:solidFill>
              <a:effectLst/>
              <a:latin typeface="+mn-lt"/>
              <a:ea typeface="+mn-ea"/>
              <a:cs typeface="+mn-cs"/>
            </a:rPr>
            <a:t>This planner shows the </a:t>
          </a:r>
          <a:r>
            <a:rPr lang="en-AU" sz="1100" b="1" i="0" u="sng">
              <a:solidFill>
                <a:schemeClr val="dk1"/>
              </a:solidFill>
              <a:effectLst/>
              <a:latin typeface="+mn-lt"/>
              <a:ea typeface="+mn-ea"/>
              <a:cs typeface="+mn-cs"/>
            </a:rPr>
            <a:t>recommended</a:t>
          </a:r>
          <a:r>
            <a:rPr lang="en-AU" sz="1100" b="0" i="0">
              <a:solidFill>
                <a:schemeClr val="dk1"/>
              </a:solidFill>
              <a:effectLst/>
              <a:latin typeface="+mn-lt"/>
              <a:ea typeface="+mn-ea"/>
              <a:cs typeface="+mn-cs"/>
            </a:rPr>
            <a:t> sequence of </a:t>
          </a:r>
          <a:r>
            <a:rPr lang="en-AU" sz="1100" b="1" i="1">
              <a:solidFill>
                <a:schemeClr val="dk1"/>
              </a:solidFill>
              <a:effectLst/>
              <a:latin typeface="+mn-lt"/>
              <a:ea typeface="+mn-ea"/>
              <a:cs typeface="+mn-cs"/>
            </a:rPr>
            <a:t>full-time study</a:t>
          </a:r>
          <a:r>
            <a:rPr lang="en-AU" sz="1100" b="0" i="0">
              <a:solidFill>
                <a:schemeClr val="dk1"/>
              </a:solidFill>
              <a:effectLst/>
              <a:latin typeface="+mn-lt"/>
              <a:ea typeface="+mn-ea"/>
              <a:cs typeface="+mn-cs"/>
            </a:rPr>
            <a:t> based on your study period of commencement. The standard full-time study load is </a:t>
          </a:r>
          <a:r>
            <a:rPr lang="en-AU" sz="1100" b="1" i="1">
              <a:solidFill>
                <a:schemeClr val="dk1"/>
              </a:solidFill>
              <a:effectLst/>
              <a:latin typeface="+mn-lt"/>
              <a:ea typeface="+mn-ea"/>
              <a:cs typeface="+mn-cs"/>
            </a:rPr>
            <a:t>two subjects per study period</a:t>
          </a:r>
          <a:r>
            <a:rPr lang="en-AU" sz="1100" b="0" i="0">
              <a:solidFill>
                <a:schemeClr val="dk1"/>
              </a:solidFill>
              <a:effectLst/>
              <a:latin typeface="+mn-lt"/>
              <a:ea typeface="+mn-ea"/>
              <a:cs typeface="+mn-cs"/>
            </a:rPr>
            <a:t>. </a:t>
          </a:r>
          <a:r>
            <a:rPr lang="en-AU" sz="1100">
              <a:solidFill>
                <a:schemeClr val="dk1"/>
              </a:solidFill>
              <a:effectLst/>
              <a:latin typeface="+mn-lt"/>
              <a:ea typeface="+mn-ea"/>
              <a:cs typeface="+mn-cs"/>
            </a:rPr>
            <a:t>This sequence is designed to optimise your progression through the course content, regardless of your educational background or prior work experience.</a:t>
          </a:r>
          <a:endParaRPr lang="en-AU" sz="1000">
            <a:effectLst/>
          </a:endParaRPr>
        </a:p>
        <a:p>
          <a:pPr rtl="0" fontAlgn="base"/>
          <a:endParaRPr lang="en-AU" sz="1000">
            <a:effectLst/>
          </a:endParaRPr>
        </a:p>
        <a:p>
          <a:pPr rtl="0" fontAlgn="base"/>
          <a:r>
            <a:rPr lang="en-AU" sz="1100" b="0" i="0">
              <a:solidFill>
                <a:schemeClr val="dk1"/>
              </a:solidFill>
              <a:effectLst/>
              <a:latin typeface="+mn-lt"/>
              <a:ea typeface="+mn-ea"/>
              <a:cs typeface="+mn-cs"/>
            </a:rPr>
            <a:t>Subjects may not be offered in every study period and may not be available at the time that you wish to study them. Your progression in the degree may be affected if you do not follow the recommended sequence of enrolment.</a:t>
          </a:r>
        </a:p>
        <a:p>
          <a:pPr rtl="0" fontAlgn="base"/>
          <a:endParaRPr lang="en-AU" sz="1000">
            <a:effectLst/>
          </a:endParaRPr>
        </a:p>
        <a:p>
          <a:pPr rtl="0" fontAlgn="base"/>
          <a:r>
            <a:rPr lang="en-AU" sz="1100" b="0" i="0" u="none">
              <a:solidFill>
                <a:sysClr val="windowText" lastClr="000000"/>
              </a:solidFill>
              <a:effectLst/>
              <a:latin typeface="+mn-lt"/>
              <a:ea typeface="+mn-ea"/>
              <a:cs typeface="+mn-cs"/>
            </a:rPr>
            <a:t>If you wish to enrol in a part-time load, please contact your Course Coordinator (Email - projectmanagement@curtin.edu.au) to develop an ad hoc study plan.</a:t>
          </a:r>
        </a:p>
        <a:p>
          <a:pPr rtl="0" fontAlgn="base"/>
          <a:endParaRPr lang="en-AU" sz="1100" b="0"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Need more support?</a:t>
          </a:r>
          <a:r>
            <a:rPr lang="en-AU" sz="1100" b="0" i="0">
              <a:solidFill>
                <a:schemeClr val="dk1"/>
              </a:solidFill>
              <a:effectLst/>
              <a:latin typeface="+mn-lt"/>
              <a:ea typeface="+mn-ea"/>
              <a:cs typeface="+mn-cs"/>
            </a:rPr>
            <a:t> </a:t>
          </a:r>
          <a:endParaRPr lang="en-AU" sz="1000">
            <a:effectLst/>
          </a:endParaRP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study plan, please contact Curtin Connect.</a:t>
          </a:r>
        </a:p>
      </xdr:txBody>
    </xdr:sp>
    <xdr:clientData/>
  </xdr:oneCellAnchor>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877425" y="761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28576</xdr:colOff>
      <xdr:row>2</xdr:row>
      <xdr:rowOff>238125</xdr:rowOff>
    </xdr:from>
    <xdr:to>
      <xdr:col>21</xdr:col>
      <xdr:colOff>390526</xdr:colOff>
      <xdr:row>3</xdr:row>
      <xdr:rowOff>47625</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3963651" y="238125"/>
          <a:ext cx="2419350" cy="31432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13</xdr:col>
      <xdr:colOff>219076</xdr:colOff>
      <xdr:row>3</xdr:row>
      <xdr:rowOff>76201</xdr:rowOff>
    </xdr:from>
    <xdr:ext cx="5629275" cy="3849900"/>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591801" y="581026"/>
          <a:ext cx="5629275" cy="3849900"/>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Enrolment Guidelines</a:t>
          </a:r>
        </a:p>
        <a:p>
          <a:pPr algn="ctr"/>
          <a:endParaRPr lang="en-AU" sz="1100" b="1" i="0" u="none" strike="noStrike">
            <a:solidFill>
              <a:schemeClr val="dk1"/>
            </a:solidFill>
            <a:effectLst/>
            <a:latin typeface="+mn-lt"/>
            <a:ea typeface="+mn-ea"/>
            <a:cs typeface="+mn-cs"/>
          </a:endParaRPr>
        </a:p>
        <a:p>
          <a:pPr algn="ctr"/>
          <a:r>
            <a:rPr lang="en-AU" sz="1100" b="1" i="0" u="none" strike="noStrike">
              <a:solidFill>
                <a:schemeClr val="accent5"/>
              </a:solidFill>
              <a:effectLst/>
              <a:latin typeface="+mn-lt"/>
              <a:ea typeface="+mn-ea"/>
              <a:cs typeface="+mn-cs"/>
            </a:rPr>
            <a:t>Graduate Diploma in Project Management (OpenUnis)</a:t>
          </a:r>
          <a:endParaRPr lang="en-AU" sz="1000" b="1" i="0" u="none" strike="noStrike">
            <a:solidFill>
              <a:schemeClr val="accent5"/>
            </a:solidFill>
            <a:effectLst/>
            <a:latin typeface="+mn-lt"/>
            <a:ea typeface="+mn-ea"/>
            <a:cs typeface="+mn-cs"/>
          </a:endParaRPr>
        </a:p>
        <a:p>
          <a:pPr algn="ctr" rtl="0" fontAlgn="base"/>
          <a:endParaRPr lang="en-AU">
            <a:effectLst/>
          </a:endParaRPr>
        </a:p>
        <a:p>
          <a:pPr algn="ctr" rtl="0" fontAlgn="base"/>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rtl="0" fontAlgn="base"/>
          <a:endParaRPr lang="en-AU" sz="1100" b="0" i="0">
            <a:solidFill>
              <a:schemeClr val="dk1"/>
            </a:solidFill>
            <a:effectLst/>
            <a:latin typeface="+mn-lt"/>
            <a:ea typeface="+mn-ea"/>
            <a:cs typeface="+mn-cs"/>
          </a:endParaRPr>
        </a:p>
        <a:p>
          <a:pPr rtl="0" fontAlgn="base"/>
          <a:r>
            <a:rPr lang="en-AU" sz="1100" b="0" i="0">
              <a:solidFill>
                <a:schemeClr val="dk1"/>
              </a:solidFill>
              <a:effectLst/>
              <a:latin typeface="+mn-lt"/>
              <a:ea typeface="+mn-ea"/>
              <a:cs typeface="+mn-cs"/>
            </a:rPr>
            <a:t>This planner shows the </a:t>
          </a:r>
          <a:r>
            <a:rPr lang="en-AU" sz="1100" b="1" i="0" u="sng">
              <a:solidFill>
                <a:schemeClr val="dk1"/>
              </a:solidFill>
              <a:effectLst/>
              <a:latin typeface="+mn-lt"/>
              <a:ea typeface="+mn-ea"/>
              <a:cs typeface="+mn-cs"/>
            </a:rPr>
            <a:t>recommended</a:t>
          </a:r>
          <a:r>
            <a:rPr lang="en-AU" sz="1100" b="0" i="0">
              <a:solidFill>
                <a:schemeClr val="dk1"/>
              </a:solidFill>
              <a:effectLst/>
              <a:latin typeface="+mn-lt"/>
              <a:ea typeface="+mn-ea"/>
              <a:cs typeface="+mn-cs"/>
            </a:rPr>
            <a:t> sequence of </a:t>
          </a:r>
          <a:r>
            <a:rPr lang="en-AU" sz="1100" b="1" i="1">
              <a:solidFill>
                <a:schemeClr val="dk1"/>
              </a:solidFill>
              <a:effectLst/>
              <a:latin typeface="+mn-lt"/>
              <a:ea typeface="+mn-ea"/>
              <a:cs typeface="+mn-cs"/>
            </a:rPr>
            <a:t>full-time study</a:t>
          </a:r>
          <a:r>
            <a:rPr lang="en-AU" sz="1100" b="0" i="0">
              <a:solidFill>
                <a:schemeClr val="dk1"/>
              </a:solidFill>
              <a:effectLst/>
              <a:latin typeface="+mn-lt"/>
              <a:ea typeface="+mn-ea"/>
              <a:cs typeface="+mn-cs"/>
            </a:rPr>
            <a:t> based on your study period of commencement. The standard full-time study load is </a:t>
          </a:r>
          <a:r>
            <a:rPr lang="en-AU" sz="1100" b="1" i="1">
              <a:solidFill>
                <a:schemeClr val="dk1"/>
              </a:solidFill>
              <a:effectLst/>
              <a:latin typeface="+mn-lt"/>
              <a:ea typeface="+mn-ea"/>
              <a:cs typeface="+mn-cs"/>
            </a:rPr>
            <a:t>two subjects per study period</a:t>
          </a:r>
          <a:r>
            <a:rPr lang="en-AU" sz="1100" b="0" i="0">
              <a:solidFill>
                <a:schemeClr val="dk1"/>
              </a:solidFill>
              <a:effectLst/>
              <a:latin typeface="+mn-lt"/>
              <a:ea typeface="+mn-ea"/>
              <a:cs typeface="+mn-cs"/>
            </a:rPr>
            <a:t>. </a:t>
          </a:r>
          <a:r>
            <a:rPr lang="en-AU" sz="1100">
              <a:solidFill>
                <a:schemeClr val="dk1"/>
              </a:solidFill>
              <a:effectLst/>
              <a:latin typeface="+mn-lt"/>
              <a:ea typeface="+mn-ea"/>
              <a:cs typeface="+mn-cs"/>
            </a:rPr>
            <a:t>This sequence is designed to optimise your progression through the course content, regardless of your educational background or prior work experience.</a:t>
          </a:r>
          <a:endParaRPr lang="en-AU" sz="1000">
            <a:effectLst/>
          </a:endParaRPr>
        </a:p>
        <a:p>
          <a:pPr rtl="0" fontAlgn="base"/>
          <a:endParaRPr lang="en-AU" sz="1000">
            <a:effectLst/>
          </a:endParaRPr>
        </a:p>
        <a:p>
          <a:pPr rtl="0" fontAlgn="base"/>
          <a:r>
            <a:rPr lang="en-AU" sz="1100" b="0" i="0">
              <a:solidFill>
                <a:schemeClr val="dk1"/>
              </a:solidFill>
              <a:effectLst/>
              <a:latin typeface="+mn-lt"/>
              <a:ea typeface="+mn-ea"/>
              <a:cs typeface="+mn-cs"/>
            </a:rPr>
            <a:t>Subjects may not be offered in every study period and may not be available at the time that you wish to study them. Your progression in the degree may be affected if you do not follow the recommended sequence of enrolment.</a:t>
          </a:r>
        </a:p>
        <a:p>
          <a:pPr rtl="0" fontAlgn="base"/>
          <a:endParaRPr lang="en-AU" sz="1000">
            <a:effectLst/>
          </a:endParaRPr>
        </a:p>
        <a:p>
          <a:pPr rtl="0" fontAlgn="base"/>
          <a:r>
            <a:rPr lang="en-AU" sz="1100" b="0" i="0" u="none">
              <a:solidFill>
                <a:sysClr val="windowText" lastClr="000000"/>
              </a:solidFill>
              <a:effectLst/>
              <a:latin typeface="+mn-lt"/>
              <a:ea typeface="+mn-ea"/>
              <a:cs typeface="+mn-cs"/>
            </a:rPr>
            <a:t>If you wish to enrol in a part-time load, please contact your Course Coordinator (Email - projectmanagement@curtin.edu.au) to develop an ad hoc study plan.</a:t>
          </a:r>
        </a:p>
        <a:p>
          <a:pPr rtl="0" fontAlgn="base"/>
          <a:endParaRPr lang="en-AU" sz="1100" b="0"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Need more support?</a:t>
          </a:r>
          <a:r>
            <a:rPr lang="en-AU" sz="1100" b="0" i="0">
              <a:solidFill>
                <a:schemeClr val="dk1"/>
              </a:solidFill>
              <a:effectLst/>
              <a:latin typeface="+mn-lt"/>
              <a:ea typeface="+mn-ea"/>
              <a:cs typeface="+mn-cs"/>
            </a:rPr>
            <a:t> </a:t>
          </a:r>
          <a:endParaRPr lang="en-AU" sz="1000">
            <a:effectLst/>
          </a:endParaRP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study plan, please contact Curtin Connect.</a:t>
          </a:r>
          <a:endParaRPr lang="en-AU" sz="1000">
            <a:effectLst/>
          </a:endParaRPr>
        </a:p>
      </xdr:txBody>
    </xdr:sp>
    <xdr:clientData/>
  </xdr:oneCellAnchor>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877425" y="761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1</xdr:colOff>
      <xdr:row>2</xdr:row>
      <xdr:rowOff>266700</xdr:rowOff>
    </xdr:from>
    <xdr:to>
      <xdr:col>21</xdr:col>
      <xdr:colOff>361951</xdr:colOff>
      <xdr:row>3</xdr:row>
      <xdr:rowOff>76200</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13801726" y="266700"/>
          <a:ext cx="2419350" cy="31432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13</xdr:col>
      <xdr:colOff>180976</xdr:colOff>
      <xdr:row>3</xdr:row>
      <xdr:rowOff>76200</xdr:rowOff>
    </xdr:from>
    <xdr:ext cx="5629275" cy="4022127"/>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1811001" y="581025"/>
          <a:ext cx="5629275" cy="4022127"/>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Enrolment Guidelines</a:t>
          </a:r>
        </a:p>
        <a:p>
          <a:pPr algn="ctr"/>
          <a:endParaRPr lang="en-AU" sz="1100" b="1" i="0" u="none" strike="noStrike">
            <a:solidFill>
              <a:schemeClr val="dk1"/>
            </a:solidFill>
            <a:effectLst/>
            <a:latin typeface="+mn-lt"/>
            <a:ea typeface="+mn-ea"/>
            <a:cs typeface="+mn-cs"/>
          </a:endParaRPr>
        </a:p>
        <a:p>
          <a:pPr algn="ctr"/>
          <a:r>
            <a:rPr lang="en-AU" sz="1100" b="1" i="0" u="none" strike="noStrike">
              <a:solidFill>
                <a:schemeClr val="accent5"/>
              </a:solidFill>
              <a:effectLst/>
              <a:latin typeface="+mn-lt"/>
              <a:ea typeface="+mn-ea"/>
              <a:cs typeface="+mn-cs"/>
            </a:rPr>
            <a:t>Master of Science (Project Management) (OpenUnis)</a:t>
          </a:r>
        </a:p>
        <a:p>
          <a:pPr algn="ctr"/>
          <a:r>
            <a:rPr lang="en-AU" sz="1100" b="0" i="0" u="none" strike="noStrike">
              <a:solidFill>
                <a:schemeClr val="accent5"/>
              </a:solidFill>
              <a:effectLst/>
              <a:latin typeface="+mn-lt"/>
              <a:ea typeface="+mn-ea"/>
              <a:cs typeface="+mn-cs"/>
            </a:rPr>
            <a:t>(Research Stream &amp; Professional Stream)</a:t>
          </a:r>
        </a:p>
        <a:p>
          <a:pPr algn="ctr" rtl="0" fontAlgn="base"/>
          <a:endParaRPr lang="en-AU">
            <a:effectLst/>
          </a:endParaRPr>
        </a:p>
        <a:p>
          <a:pPr algn="ctr" rtl="0" fontAlgn="base"/>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Stream</a:t>
          </a:r>
          <a:r>
            <a:rPr lang="en-AU" sz="1100" i="1" baseline="0">
              <a:solidFill>
                <a:schemeClr val="dk1"/>
              </a:solidFill>
              <a:effectLst/>
              <a:latin typeface="+mn-lt"/>
              <a:ea typeface="+mn-ea"/>
              <a:cs typeface="+mn-cs"/>
            </a:rPr>
            <a:t> &amp;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rtl="0" fontAlgn="base"/>
          <a:endParaRPr lang="en-AU" sz="1100" b="0" i="0">
            <a:solidFill>
              <a:schemeClr val="dk1"/>
            </a:solidFill>
            <a:effectLst/>
            <a:latin typeface="+mn-lt"/>
            <a:ea typeface="+mn-ea"/>
            <a:cs typeface="+mn-cs"/>
          </a:endParaRPr>
        </a:p>
        <a:p>
          <a:pPr rtl="0" fontAlgn="base"/>
          <a:r>
            <a:rPr lang="en-AU" sz="1100" b="0" i="0">
              <a:solidFill>
                <a:schemeClr val="dk1"/>
              </a:solidFill>
              <a:effectLst/>
              <a:latin typeface="+mn-lt"/>
              <a:ea typeface="+mn-ea"/>
              <a:cs typeface="+mn-cs"/>
            </a:rPr>
            <a:t>This planner shows the </a:t>
          </a:r>
          <a:r>
            <a:rPr lang="en-AU" sz="1100" b="1" i="0" u="sng">
              <a:solidFill>
                <a:schemeClr val="dk1"/>
              </a:solidFill>
              <a:effectLst/>
              <a:latin typeface="+mn-lt"/>
              <a:ea typeface="+mn-ea"/>
              <a:cs typeface="+mn-cs"/>
            </a:rPr>
            <a:t>recommended</a:t>
          </a:r>
          <a:r>
            <a:rPr lang="en-AU" sz="1100" b="0" i="0">
              <a:solidFill>
                <a:schemeClr val="dk1"/>
              </a:solidFill>
              <a:effectLst/>
              <a:latin typeface="+mn-lt"/>
              <a:ea typeface="+mn-ea"/>
              <a:cs typeface="+mn-cs"/>
            </a:rPr>
            <a:t> sequence of </a:t>
          </a:r>
          <a:r>
            <a:rPr lang="en-AU" sz="1100" b="1" i="1">
              <a:solidFill>
                <a:schemeClr val="dk1"/>
              </a:solidFill>
              <a:effectLst/>
              <a:latin typeface="+mn-lt"/>
              <a:ea typeface="+mn-ea"/>
              <a:cs typeface="+mn-cs"/>
            </a:rPr>
            <a:t>full-time study</a:t>
          </a:r>
          <a:r>
            <a:rPr lang="en-AU" sz="1100" b="0" i="0">
              <a:solidFill>
                <a:schemeClr val="dk1"/>
              </a:solidFill>
              <a:effectLst/>
              <a:latin typeface="+mn-lt"/>
              <a:ea typeface="+mn-ea"/>
              <a:cs typeface="+mn-cs"/>
            </a:rPr>
            <a:t> based on your study period of commencement. The standard full-time study load is </a:t>
          </a:r>
          <a:r>
            <a:rPr lang="en-AU" sz="1100" b="1" i="1">
              <a:solidFill>
                <a:schemeClr val="dk1"/>
              </a:solidFill>
              <a:effectLst/>
              <a:latin typeface="+mn-lt"/>
              <a:ea typeface="+mn-ea"/>
              <a:cs typeface="+mn-cs"/>
            </a:rPr>
            <a:t>two subjects per study period</a:t>
          </a:r>
          <a:r>
            <a:rPr lang="en-AU" sz="1100" b="0" i="0">
              <a:solidFill>
                <a:schemeClr val="dk1"/>
              </a:solidFill>
              <a:effectLst/>
              <a:latin typeface="+mn-lt"/>
              <a:ea typeface="+mn-ea"/>
              <a:cs typeface="+mn-cs"/>
            </a:rPr>
            <a:t>. </a:t>
          </a:r>
          <a:r>
            <a:rPr lang="en-AU" sz="1100">
              <a:solidFill>
                <a:schemeClr val="dk1"/>
              </a:solidFill>
              <a:effectLst/>
              <a:latin typeface="+mn-lt"/>
              <a:ea typeface="+mn-ea"/>
              <a:cs typeface="+mn-cs"/>
            </a:rPr>
            <a:t>This sequence is designed to optimise your progression through the course content, regardless of your educational background or prior work experience.</a:t>
          </a:r>
          <a:endParaRPr lang="en-AU" sz="1000">
            <a:effectLst/>
          </a:endParaRPr>
        </a:p>
        <a:p>
          <a:pPr rtl="0" fontAlgn="base"/>
          <a:endParaRPr lang="en-AU" sz="1000">
            <a:effectLst/>
          </a:endParaRPr>
        </a:p>
        <a:p>
          <a:pPr rtl="0" fontAlgn="base"/>
          <a:r>
            <a:rPr lang="en-AU" sz="1100" b="0" i="0">
              <a:solidFill>
                <a:schemeClr val="dk1"/>
              </a:solidFill>
              <a:effectLst/>
              <a:latin typeface="+mn-lt"/>
              <a:ea typeface="+mn-ea"/>
              <a:cs typeface="+mn-cs"/>
            </a:rPr>
            <a:t>Subjects may not be offered in every study period and may not be available at the time that you wish to study them. Your progression in the degree may be affected if you do not follow the recommended sequence of enrolment.</a:t>
          </a:r>
        </a:p>
        <a:p>
          <a:pPr rtl="0" fontAlgn="base"/>
          <a:endParaRPr lang="en-AU" sz="1000">
            <a:effectLst/>
          </a:endParaRPr>
        </a:p>
        <a:p>
          <a:pPr rtl="0" fontAlgn="base"/>
          <a:r>
            <a:rPr lang="en-AU" sz="1100" b="0" i="0" u="none">
              <a:solidFill>
                <a:sysClr val="windowText" lastClr="000000"/>
              </a:solidFill>
              <a:effectLst/>
              <a:latin typeface="+mn-lt"/>
              <a:ea typeface="+mn-ea"/>
              <a:cs typeface="+mn-cs"/>
            </a:rPr>
            <a:t>If you wish to enrol in a part-time load, please contact your Course Coordinator (Email - projectmanagement@curtin.edu.au) to develop an ad hoc study plan.</a:t>
          </a:r>
        </a:p>
        <a:p>
          <a:pPr rtl="0" fontAlgn="base"/>
          <a:endParaRPr lang="en-AU" sz="1100" b="0"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Need more support?</a:t>
          </a:r>
          <a:r>
            <a:rPr lang="en-AU" sz="1100" b="0" i="0">
              <a:solidFill>
                <a:schemeClr val="dk1"/>
              </a:solidFill>
              <a:effectLst/>
              <a:latin typeface="+mn-lt"/>
              <a:ea typeface="+mn-ea"/>
              <a:cs typeface="+mn-cs"/>
            </a:rPr>
            <a:t> </a:t>
          </a:r>
          <a:endParaRPr lang="en-AU" sz="1000">
            <a:effectLst/>
          </a:endParaRP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study plan, please contact Curtin Connect.</a:t>
          </a:r>
        </a:p>
      </xdr:txBody>
    </xdr:sp>
    <xdr:clientData/>
  </xdr:oneCellAnchor>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410450" y="2666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647701</xdr:colOff>
      <xdr:row>2</xdr:row>
      <xdr:rowOff>266700</xdr:rowOff>
    </xdr:from>
    <xdr:to>
      <xdr:col>21</xdr:col>
      <xdr:colOff>323851</xdr:colOff>
      <xdr:row>3</xdr:row>
      <xdr:rowOff>76200</xdr:rowOff>
    </xdr:to>
    <xdr:sp macro="" textlink="">
      <xdr:nvSpPr>
        <xdr:cNvPr id="7" name="TextBox 6">
          <a:hlinkClick xmlns:r="http://schemas.openxmlformats.org/officeDocument/2006/relationships" r:id="rId2"/>
          <a:extLst>
            <a:ext uri="{FF2B5EF4-FFF2-40B4-BE49-F238E27FC236}">
              <a16:creationId xmlns:a16="http://schemas.microsoft.com/office/drawing/2014/main" id="{00000000-0008-0000-0200-000007000000}"/>
            </a:ext>
          </a:extLst>
        </xdr:cNvPr>
        <xdr:cNvSpPr txBox="1"/>
      </xdr:nvSpPr>
      <xdr:spPr>
        <a:xfrm>
          <a:off x="15201901" y="266700"/>
          <a:ext cx="2419350" cy="31432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urses" displayName="TableCourses" ref="A6:H9" totalsRowShown="0" headerRowDxfId="107" dataDxfId="106">
  <autoFilter ref="A6:H9" xr:uid="{00000000-0009-0000-0100-000003000000}"/>
  <sortState xmlns:xlrd2="http://schemas.microsoft.com/office/spreadsheetml/2017/richdata2" ref="A7:E9">
    <sortCondition ref="A6:A9"/>
  </sortState>
  <tableColumns count="8">
    <tableColumn id="3" xr3:uid="{00000000-0010-0000-0000-000003000000}" name="Choose your Stream (drop-down list)" dataDxfId="105"/>
    <tableColumn id="1" xr3:uid="{00000000-0010-0000-0000-000001000000}" name="UDC" dataDxfId="104"/>
    <tableColumn id="2" xr3:uid="{00000000-0010-0000-0000-000002000000}" name="SM Version" dataDxfId="103"/>
    <tableColumn id="5" xr3:uid="{00000000-0010-0000-0000-000005000000}" name="SM Effective Date" dataDxfId="102"/>
    <tableColumn id="4" xr3:uid="{00000000-0010-0000-0000-000004000000}" name="Akari Iteration" dataDxfId="101"/>
    <tableColumn id="6" xr3:uid="{00000000-0010-0000-0000-000006000000}" name="Akari Effective Date" dataDxfId="100"/>
    <tableColumn id="7" xr3:uid="{00000000-0010-0000-0000-000007000000}" name="Credit Points" dataDxfId="99"/>
    <tableColumn id="8" xr3:uid="{00000000-0010-0000-0000-000008000000}" name="SM Availabilities" dataDxfId="98"/>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15" displayName="Table15" ref="Q2:R6" totalsRowShown="0">
  <autoFilter ref="Q2:R6" xr:uid="{00000000-0009-0000-0100-00000A000000}"/>
  <tableColumns count="2">
    <tableColumn id="5" xr3:uid="{00000000-0010-0000-0900-000005000000}" name="SPK"/>
    <tableColumn id="6" xr3:uid="{00000000-0010-0000-0900-000006000000}" name="Ver"/>
  </tableColumns>
  <tableStyleInfo name="TableStyleLight4"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1512" displayName="Table1512" ref="Q10:R20" totalsRowShown="0">
  <autoFilter ref="Q10:R20" xr:uid="{00000000-0009-0000-0100-00000B000000}"/>
  <tableColumns count="2">
    <tableColumn id="5" xr3:uid="{00000000-0010-0000-0A00-000005000000}" name="SPK"/>
    <tableColumn id="6" xr3:uid="{00000000-0010-0000-0A00-000006000000}" name="Ver"/>
  </tableColumns>
  <tableStyleInfo name="TableStyleLight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1513" displayName="Table1513" ref="Q24:R27" totalsRowShown="0">
  <autoFilter ref="Q24:R27" xr:uid="{00000000-0009-0000-0100-00000C000000}"/>
  <tableColumns count="2">
    <tableColumn id="5" xr3:uid="{00000000-0010-0000-0B00-000005000000}" name="SPK"/>
    <tableColumn id="6" xr3:uid="{00000000-0010-0000-0B00-000006000000}" name="Ver"/>
  </tableColumns>
  <tableStyleInfo name="TableStyleLight4"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C000000}" name="Table151215" displayName="Table151215" ref="Q29:R40" totalsRowShown="0">
  <autoFilter ref="Q29:R40" xr:uid="{00000000-0009-0000-0100-00000E000000}"/>
  <tableColumns count="2">
    <tableColumn id="5" xr3:uid="{00000000-0010-0000-0C00-000005000000}" name="SPK"/>
    <tableColumn id="6" xr3:uid="{00000000-0010-0000-0C00-000006000000}" name="Ver"/>
  </tableColumns>
  <tableStyleInfo name="TableStyleLight4"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D000000}" name="Table15121516" displayName="Table15121516" ref="Q42:R53" totalsRowShown="0">
  <autoFilter ref="Q42:R53" xr:uid="{00000000-0009-0000-0100-00000F000000}"/>
  <tableColumns count="2">
    <tableColumn id="5" xr3:uid="{00000000-0010-0000-0D00-000005000000}" name="SPK"/>
    <tableColumn id="6" xr3:uid="{00000000-0010-0000-0D00-000006000000}" name="Ver"/>
  </tableColumns>
  <tableStyleInfo name="TableStyleLight4"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E000000}" name="TableAvailabilities" displayName="TableAvailabilities" ref="A3:E14" totalsRowShown="0">
  <autoFilter ref="A3:E14" xr:uid="{00000000-0009-0000-0100-00000D000000}"/>
  <tableColumns count="5">
    <tableColumn id="1" xr3:uid="{00000000-0010-0000-0E00-000001000000}" name="Row Labels"/>
    <tableColumn id="2" xr3:uid="{00000000-0010-0000-0E00-000002000000}" name="OpenUnis SP 1" dataDxfId="30"/>
    <tableColumn id="3" xr3:uid="{00000000-0010-0000-0E00-000003000000}" name="OpenUnis SP 2" dataDxfId="29"/>
    <tableColumn id="4" xr3:uid="{00000000-0010-0000-0E00-000004000000}" name="OpenUnis SP 3" dataDxfId="28"/>
    <tableColumn id="5" xr3:uid="{00000000-0010-0000-0E00-000005000000}" name="OpenUnis SP 4" dataDxfId="27"/>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StudyPeriod" displayName="TableStudyPeriod" ref="A12:E16" totalsRowShown="0" dataDxfId="97">
  <autoFilter ref="A12:E16" xr:uid="{00000000-0009-0000-0100-000004000000}"/>
  <tableColumns count="5">
    <tableColumn id="1" xr3:uid="{00000000-0010-0000-0100-000001000000}" name="Choose your commencing study period (drop-down list)" dataDxfId="96"/>
    <tableColumn id="2" xr3:uid="{00000000-0010-0000-0100-000002000000}" name="Start" dataDxfId="95"/>
    <tableColumn id="3" xr3:uid="{00000000-0010-0000-0100-000003000000}" name="Next" dataDxfId="94"/>
    <tableColumn id="4" xr3:uid="{00000000-0010-0000-0100-000004000000}" name="Next2" dataDxfId="93"/>
    <tableColumn id="5" xr3:uid="{00000000-0010-0000-0100-000005000000}" name="Next3" dataDxfId="92"/>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Streams" displayName="TableStreams" ref="A19:G21" totalsRowShown="0" dataDxfId="91">
  <autoFilter ref="A19:G21" xr:uid="{00000000-0009-0000-0100-000005000000}"/>
  <tableColumns count="7">
    <tableColumn id="1" xr3:uid="{00000000-0010-0000-0200-000001000000}" name="Choose your Stream (drop-down list)" dataDxfId="90"/>
    <tableColumn id="2" xr3:uid="{00000000-0010-0000-0200-000002000000}" name="UDC" dataDxfId="89"/>
    <tableColumn id="3" xr3:uid="{00000000-0010-0000-0200-000003000000}" name="SM Version" dataDxfId="88"/>
    <tableColumn id="4" xr3:uid="{00000000-0010-0000-0200-000004000000}" name="SM Effective Date" dataDxfId="87"/>
    <tableColumn id="5" xr3:uid="{00000000-0010-0000-0200-000005000000}" name="Akari Iteration" dataDxfId="86"/>
    <tableColumn id="6" xr3:uid="{00000000-0010-0000-0200-000006000000}" name="Akari Effective Date" dataDxfId="85"/>
    <tableColumn id="7" xr3:uid="{00000000-0010-0000-0200-000007000000}" name="Credit Points" dataDxfId="84"/>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TableHandbook" displayName="TableHandbook" ref="A2:P39" totalsRowShown="0">
  <autoFilter ref="A2:P39" xr:uid="{00000000-0009-0000-0100-000002000000}"/>
  <sortState xmlns:xlrd2="http://schemas.microsoft.com/office/spreadsheetml/2017/richdata2" ref="A3:P39">
    <sortCondition ref="A2:A39"/>
  </sortState>
  <tableColumns count="16">
    <tableColumn id="1" xr3:uid="{00000000-0010-0000-0300-000001000000}" name="UDC"/>
    <tableColumn id="2" xr3:uid="{00000000-0010-0000-0300-000002000000}" name="Ver" dataDxfId="83"/>
    <tableColumn id="3" xr3:uid="{00000000-0010-0000-0300-000003000000}" name="OUA Cd"/>
    <tableColumn id="4" xr3:uid="{00000000-0010-0000-0300-000004000000}" name="Title"/>
    <tableColumn id="5" xr3:uid="{00000000-0010-0000-0300-000005000000}" name="Credits" dataDxfId="82"/>
    <tableColumn id="6" xr3:uid="{00000000-0010-0000-0300-000006000000}" name="Pre-reqs (10/10/2024)" dataDxfId="81"/>
    <tableColumn id="12" xr3:uid="{00000000-0010-0000-0300-00000C000000}" name="SP1" dataDxfId="80">
      <calculatedColumnFormula>IFERROR(IF(VLOOKUP(TableHandbook[[#This Row],[UDC]],TableAvailabilities[],2,FALSE)&gt;0,"Y",""),"")</calculatedColumnFormula>
    </tableColumn>
    <tableColumn id="13" xr3:uid="{00000000-0010-0000-0300-00000D000000}" name="SP2" dataDxfId="79">
      <calculatedColumnFormula>IFERROR(IF(VLOOKUP(TableHandbook[[#This Row],[UDC]],TableAvailabilities[],3,FALSE)&gt;0,"Y",""),"")</calculatedColumnFormula>
    </tableColumn>
    <tableColumn id="14" xr3:uid="{00000000-0010-0000-0300-00000E000000}" name="SP3" dataDxfId="78">
      <calculatedColumnFormula>IFERROR(IF(VLOOKUP(TableHandbook[[#This Row],[UDC]],TableAvailabilities[],4,FALSE)&gt;0,"Y",""),"")</calculatedColumnFormula>
    </tableColumn>
    <tableColumn id="15" xr3:uid="{00000000-0010-0000-0300-00000F000000}" name="SP4" dataDxfId="77">
      <calculatedColumnFormula>IFERROR(IF(VLOOKUP(TableHandbook[[#This Row],[UDC]],TableAvailabilities[],5,FALSE)&gt;0,"Y",""),"")</calculatedColumnFormula>
    </tableColumn>
    <tableColumn id="11" xr3:uid="{00000000-0010-0000-0300-00000B000000}" name="Notes" dataDxfId="76"/>
    <tableColumn id="8" xr3:uid="{00000000-0010-0000-0300-000008000000}" name="OC-PROJM" dataDxfId="75">
      <calculatedColumnFormula>IFERROR(VLOOKUP(TableHandbook[[#This Row],[UDC]],TableOCPROJM[],7,FALSE),"")</calculatedColumnFormula>
    </tableColumn>
    <tableColumn id="9" xr3:uid="{00000000-0010-0000-0300-000009000000}" name="OG-PROJM" dataDxfId="74">
      <calculatedColumnFormula>IFERROR(VLOOKUP(TableHandbook[[#This Row],[UDC]],TableOGPROJM[],7,FALSE),"")</calculatedColumnFormula>
    </tableColumn>
    <tableColumn id="7" xr3:uid="{00000000-0010-0000-0300-000007000000}" name="OM-PROJM" dataDxfId="73">
      <calculatedColumnFormula>IFERROR(VLOOKUP(TableHandbook[[#This Row],[UDC]],TableOMPROJM[],7,FALSE),"")</calculatedColumnFormula>
    </tableColumn>
    <tableColumn id="10" xr3:uid="{00000000-0010-0000-0300-00000A000000}" name="OUSP-PROFL" dataDxfId="72">
      <calculatedColumnFormula>IFERROR(VLOOKUP(TableHandbook[[#This Row],[UDC]],TableOUSPPROFL[],7,FALSE),"")</calculatedColumnFormula>
    </tableColumn>
    <tableColumn id="20" xr3:uid="{00000000-0010-0000-0300-000014000000}" name="OUSP-RESCH" dataDxfId="71">
      <calculatedColumnFormula>IFERROR(VLOOKUP(TableHandbook[[#This Row],[UDC]],TableOUSPRESCH[],7,FALSE),"")</calculatedColumnFormula>
    </tableColumn>
  </tableColumns>
  <tableStyleInfo name="TableStyleLight11" showFirstColumn="0" showLastColumn="0" showRowStripes="1" showColumnStripes="1"/>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4000000}" name="TableOCPROJM" displayName="TableOCPROJM" ref="A2:O6" totalsRowShown="0">
  <autoFilter ref="A2:O6" xr:uid="{00000000-0009-0000-0100-000001000000}"/>
  <sortState xmlns:xlrd2="http://schemas.microsoft.com/office/spreadsheetml/2017/richdata2" ref="Z3:AG6">
    <sortCondition ref="AD2:AD6"/>
  </sortState>
  <tableColumns count="15">
    <tableColumn id="9" xr3:uid="{00000000-0010-0000-0400-000009000000}" name="UDC" dataDxfId="70">
      <calculatedColumnFormula>TableOCPROJM[[#This Row],[Study Package Code]]</calculatedColumnFormula>
    </tableColumn>
    <tableColumn id="10" xr3:uid="{00000000-0010-0000-0400-00000A000000}" name="Version" dataDxfId="69">
      <calculatedColumnFormula>TableOCPROJM[[#This Row],[Ver]]</calculatedColumnFormula>
    </tableColumn>
    <tableColumn id="11" xr3:uid="{00000000-0010-0000-0400-00000B000000}" name="OUA Code" dataDxfId="68">
      <calculatedColumnFormula>IF(OR(TableOCPROJM[[#This Row],[Credit Points]]&gt;50,ISBLANK(TableOCPROJM[[#This Row],[Effective]])),"",LEFT(TableOCPROJM[[#This Row],[Structure Line]],(FIND(" ",TableOCPROJM[[#This Row],[Structure Line]],1)-1)))</calculatedColumnFormula>
    </tableColumn>
    <tableColumn id="12" xr3:uid="{00000000-0010-0000-0400-00000C000000}" name="Unit Title" dataDxfId="67">
      <calculatedColumnFormula>IF((OR(TableOCPROJM[[#This Row],[Credit Points]]&gt;50,ISBLANK(TableOCPROJM[[#This Row],[Effective]]))),TableOCPROJM[[#This Row],[Structure Line]],MID(TableOCPROJM[[#This Row],[Structure Line]],FIND(" ",TableOCPROJM[[#This Row],[Structure Line]])+1,256))</calculatedColumnFormula>
    </tableColumn>
    <tableColumn id="13" xr3:uid="{00000000-0010-0000-0400-00000D000000}" name="CPs" dataDxfId="66">
      <calculatedColumnFormula>TableOCPROJM[[#This Row],[Credit Points]]</calculatedColumnFormula>
    </tableColumn>
    <tableColumn id="1" xr3:uid="{00000000-0010-0000-0400-000001000000}" name="No."/>
    <tableColumn id="2" xr3:uid="{00000000-0010-0000-0400-000002000000}" name="Component Type"/>
    <tableColumn id="3" xr3:uid="{00000000-0010-0000-0400-000003000000}" name="Year Level"/>
    <tableColumn id="4" xr3:uid="{00000000-0010-0000-0400-000004000000}" name="Study Period" dataDxfId="65"/>
    <tableColumn id="5" xr3:uid="{00000000-0010-0000-0400-000005000000}" name="Study Package Code"/>
    <tableColumn id="6" xr3:uid="{00000000-0010-0000-0400-000006000000}" name="Ver"/>
    <tableColumn id="7" xr3:uid="{00000000-0010-0000-0400-000007000000}" name="Structure Line"/>
    <tableColumn id="8" xr3:uid="{00000000-0010-0000-0400-000008000000}" name="Credit Points"/>
    <tableColumn id="14" xr3:uid="{00000000-0010-0000-0400-00000E000000}" name="Effective" dataDxfId="64"/>
    <tableColumn id="15" xr3:uid="{00000000-0010-0000-0400-00000F000000}" name="Discont." dataDxfId="63"/>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OGPROJM" displayName="TableOGPROJM" ref="A10:O20" totalsRowShown="0">
  <autoFilter ref="A10:O20" xr:uid="{00000000-0009-0000-0100-000006000000}"/>
  <sortState xmlns:xlrd2="http://schemas.microsoft.com/office/spreadsheetml/2017/richdata2" ref="Z11:AG18">
    <sortCondition ref="AC10:AC18"/>
  </sortState>
  <tableColumns count="15">
    <tableColumn id="9" xr3:uid="{00000000-0010-0000-0500-000009000000}" name="UDC" dataDxfId="62">
      <calculatedColumnFormula>TableOGPROJM[[#This Row],[Study Package Code]]</calculatedColumnFormula>
    </tableColumn>
    <tableColumn id="10" xr3:uid="{00000000-0010-0000-0500-00000A000000}" name="Version" dataDxfId="61">
      <calculatedColumnFormula>TableOGPROJM[[#This Row],[Ver]]</calculatedColumnFormula>
    </tableColumn>
    <tableColumn id="11" xr3:uid="{00000000-0010-0000-0500-00000B000000}" name="OUA Code" dataDxfId="60">
      <calculatedColumnFormula>IF(OR(TableOGPROJM[[#This Row],[Credit Points]]&gt;50,ISBLANK(TableOGPROJM[[#This Row],[Effective]])),"",LEFT(TableOGPROJM[[#This Row],[Structure Line]],(FIND(" ",TableOGPROJM[[#This Row],[Structure Line]],1)-1)))</calculatedColumnFormula>
    </tableColumn>
    <tableColumn id="12" xr3:uid="{00000000-0010-0000-0500-00000C000000}" name="Unit Title" dataDxfId="59">
      <calculatedColumnFormula>IF((OR(TableOGPROJM[[#This Row],[Credit Points]]&gt;50,ISBLANK(TableOGPROJM[[#This Row],[Effective]]))),TableOGPROJM[[#This Row],[Structure Line]],MID(TableOGPROJM[[#This Row],[Structure Line]],FIND(" ",TableOGPROJM[[#This Row],[Structure Line]])+1,256))</calculatedColumnFormula>
    </tableColumn>
    <tableColumn id="13" xr3:uid="{00000000-0010-0000-0500-00000D000000}" name="CPs" dataDxfId="58">
      <calculatedColumnFormula>TableOGPROJM[[#This Row],[Credit Points]]</calculatedColumnFormula>
    </tableColumn>
    <tableColumn id="1" xr3:uid="{00000000-0010-0000-0500-000001000000}" name="No."/>
    <tableColumn id="2" xr3:uid="{00000000-0010-0000-0500-000002000000}" name="Component Type"/>
    <tableColumn id="3" xr3:uid="{00000000-0010-0000-0500-000003000000}" name="Year Level"/>
    <tableColumn id="4" xr3:uid="{00000000-0010-0000-0500-000004000000}" name="Study Period" dataDxfId="57"/>
    <tableColumn id="5" xr3:uid="{00000000-0010-0000-0500-000005000000}" name="Study Package Code"/>
    <tableColumn id="6" xr3:uid="{00000000-0010-0000-0500-000006000000}" name="Ver"/>
    <tableColumn id="7" xr3:uid="{00000000-0010-0000-0500-000007000000}" name="Structure Line"/>
    <tableColumn id="8" xr3:uid="{00000000-0010-0000-0500-000008000000}" name="Credit Points"/>
    <tableColumn id="14" xr3:uid="{00000000-0010-0000-0500-00000E000000}" name="Effective" dataDxfId="56"/>
    <tableColumn id="15" xr3:uid="{00000000-0010-0000-0500-00000F000000}" name="Discont." dataDxfId="55"/>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OMPROJM" displayName="TableOMPROJM" ref="A24:O27" totalsRowShown="0">
  <autoFilter ref="A24:O27" xr:uid="{00000000-0009-0000-0100-000007000000}"/>
  <sortState xmlns:xlrd2="http://schemas.microsoft.com/office/spreadsheetml/2017/richdata2" ref="Z23:AG30">
    <sortCondition ref="AC10:AC18"/>
  </sortState>
  <tableColumns count="15">
    <tableColumn id="9" xr3:uid="{00000000-0010-0000-0600-000009000000}" name="UDC" dataDxfId="54">
      <calculatedColumnFormula>TableOMPROJM[[#This Row],[Study Package Code]]</calculatedColumnFormula>
    </tableColumn>
    <tableColumn id="10" xr3:uid="{00000000-0010-0000-0600-00000A000000}" name="Version" dataDxfId="53">
      <calculatedColumnFormula>TableOMPROJM[[#This Row],[Ver]]</calculatedColumnFormula>
    </tableColumn>
    <tableColumn id="11" xr3:uid="{00000000-0010-0000-0600-00000B000000}" name="OUA Code" dataDxfId="52">
      <calculatedColumnFormula>IF(OR(TableOMPROJM[[#This Row],[Credit Points]]&gt;50,ISBLANK(TableOMPROJM[[#This Row],[Effective]])),"",LEFT(TableOMPROJM[[#This Row],[Structure Line]],(FIND(" ",TableOMPROJM[[#This Row],[Structure Line]],1)-1)))</calculatedColumnFormula>
    </tableColumn>
    <tableColumn id="12" xr3:uid="{00000000-0010-0000-0600-00000C000000}" name="Unit Title" dataDxfId="51">
      <calculatedColumnFormula>IF((OR(TableOMPROJM[[#This Row],[Credit Points]]&gt;50,ISBLANK(TableOMPROJM[[#This Row],[Effective]]))),TableOMPROJM[[#This Row],[Structure Line]],MID(TableOMPROJM[[#This Row],[Structure Line]],FIND(" ",TableOMPROJM[[#This Row],[Structure Line]])+1,256))</calculatedColumnFormula>
    </tableColumn>
    <tableColumn id="13" xr3:uid="{00000000-0010-0000-0600-00000D000000}" name="CPs" dataDxfId="50">
      <calculatedColumnFormula>TableOMPROJM[[#This Row],[Credit Points]]</calculatedColumnFormula>
    </tableColumn>
    <tableColumn id="1" xr3:uid="{00000000-0010-0000-0600-000001000000}" name="No."/>
    <tableColumn id="2" xr3:uid="{00000000-0010-0000-0600-000002000000}" name="Component Type"/>
    <tableColumn id="3" xr3:uid="{00000000-0010-0000-0600-000003000000}" name="Year Level"/>
    <tableColumn id="4" xr3:uid="{00000000-0010-0000-0600-000004000000}" name="Study Period" dataDxfId="49"/>
    <tableColumn id="5" xr3:uid="{00000000-0010-0000-0600-000005000000}" name="Study Package Code"/>
    <tableColumn id="6" xr3:uid="{00000000-0010-0000-0600-000006000000}" name="Ver"/>
    <tableColumn id="7" xr3:uid="{00000000-0010-0000-0600-000007000000}" name="Structure Line"/>
    <tableColumn id="8" xr3:uid="{00000000-0010-0000-0600-000008000000}" name="Credit Points"/>
    <tableColumn id="14" xr3:uid="{00000000-0010-0000-0600-00000E000000}" name="Effective" dataDxfId="48"/>
    <tableColumn id="15" xr3:uid="{00000000-0010-0000-0600-00000F000000}" name="Discont." dataDxfId="47"/>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OUSPPROFL" displayName="TableOUSPPROFL" ref="A29:O40" totalsRowShown="0">
  <autoFilter ref="A29:O40" xr:uid="{00000000-0009-0000-0100-000008000000}"/>
  <sortState xmlns:xlrd2="http://schemas.microsoft.com/office/spreadsheetml/2017/richdata2" ref="Z28:AG38">
    <sortCondition ref="AB27:AB38"/>
  </sortState>
  <tableColumns count="15">
    <tableColumn id="9" xr3:uid="{00000000-0010-0000-0700-000009000000}" name="UDC" dataDxfId="46">
      <calculatedColumnFormula>TableOUSPPROFL[[#This Row],[Study Package Code]]</calculatedColumnFormula>
    </tableColumn>
    <tableColumn id="10" xr3:uid="{00000000-0010-0000-0700-00000A000000}" name="Version" dataDxfId="45">
      <calculatedColumnFormula>TableOUSPPROFL[[#This Row],[Ver]]</calculatedColumnFormula>
    </tableColumn>
    <tableColumn id="11" xr3:uid="{00000000-0010-0000-0700-00000B000000}" name="OUA Code" dataDxfId="44">
      <calculatedColumnFormula>IF(OR(TableOUSPPROFL[[#This Row],[Credit Points]]&gt;50,ISBLANK(TableOUSPPROFL[[#This Row],[Effective]])),"",LEFT(TableOUSPPROFL[[#This Row],[Structure Line]],(FIND(" ",TableOUSPPROFL[[#This Row],[Structure Line]],1)-1)))</calculatedColumnFormula>
    </tableColumn>
    <tableColumn id="12" xr3:uid="{00000000-0010-0000-0700-00000C000000}" name="Unit Title" dataDxfId="43">
      <calculatedColumnFormula>IF((OR(TableOUSPPROFL[[#This Row],[Credit Points]]&gt;50,ISBLANK(TableOUSPPROFL[[#This Row],[Effective]]))),TableOUSPPROFL[[#This Row],[Structure Line]],MID(TableOUSPPROFL[[#This Row],[Structure Line]],FIND(" ",TableOUSPPROFL[[#This Row],[Structure Line]])+1,256))</calculatedColumnFormula>
    </tableColumn>
    <tableColumn id="13" xr3:uid="{00000000-0010-0000-0700-00000D000000}" name="CPs" dataDxfId="42">
      <calculatedColumnFormula>TableOUSPPROFL[[#This Row],[Credit Points]]</calculatedColumnFormula>
    </tableColumn>
    <tableColumn id="1" xr3:uid="{00000000-0010-0000-0700-000001000000}" name="No."/>
    <tableColumn id="2" xr3:uid="{00000000-0010-0000-0700-000002000000}" name="Component Type"/>
    <tableColumn id="3" xr3:uid="{00000000-0010-0000-0700-000003000000}" name="Year Level"/>
    <tableColumn id="4" xr3:uid="{00000000-0010-0000-0700-000004000000}" name="Study Period" dataDxfId="41"/>
    <tableColumn id="5" xr3:uid="{00000000-0010-0000-0700-000005000000}" name="Study Package Code"/>
    <tableColumn id="6" xr3:uid="{00000000-0010-0000-0700-000006000000}" name="Ver"/>
    <tableColumn id="7" xr3:uid="{00000000-0010-0000-0700-000007000000}" name="Structure Line"/>
    <tableColumn id="8" xr3:uid="{00000000-0010-0000-0700-000008000000}" name="Credit Points"/>
    <tableColumn id="14" xr3:uid="{00000000-0010-0000-0700-00000E000000}" name="Effective" dataDxfId="40"/>
    <tableColumn id="15" xr3:uid="{00000000-0010-0000-0700-00000F000000}" name="Discont." dataDxfId="39"/>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OUSPRESCH" displayName="TableOUSPRESCH" ref="A42:O53" totalsRowShown="0">
  <autoFilter ref="A42:O53" xr:uid="{00000000-0009-0000-0100-000009000000}"/>
  <sortState xmlns:xlrd2="http://schemas.microsoft.com/office/spreadsheetml/2017/richdata2" ref="Z42:AG52">
    <sortCondition ref="AB41:AB52"/>
  </sortState>
  <tableColumns count="15">
    <tableColumn id="9" xr3:uid="{00000000-0010-0000-0800-000009000000}" name="UDC" dataDxfId="38">
      <calculatedColumnFormula>TableOUSPRESCH[[#This Row],[Study Package Code]]</calculatedColumnFormula>
    </tableColumn>
    <tableColumn id="10" xr3:uid="{00000000-0010-0000-0800-00000A000000}" name="Version" dataDxfId="37">
      <calculatedColumnFormula>TableOUSPRESCH[[#This Row],[Ver]]</calculatedColumnFormula>
    </tableColumn>
    <tableColumn id="11" xr3:uid="{00000000-0010-0000-0800-00000B000000}" name="OUA Code" dataDxfId="36">
      <calculatedColumnFormula>IF(OR(TableOUSPRESCH[[#This Row],[Credit Points]]&gt;50,ISBLANK(TableOUSPRESCH[[#This Row],[Effective]])),"",LEFT(TableOUSPRESCH[[#This Row],[Structure Line]],(FIND(" ",TableOUSPRESCH[[#This Row],[Structure Line]],1)-1)))</calculatedColumnFormula>
    </tableColumn>
    <tableColumn id="12" xr3:uid="{00000000-0010-0000-0800-00000C000000}" name="Unit Title" dataDxfId="35">
      <calculatedColumnFormula>IF((OR(TableOUSPRESCH[[#This Row],[Credit Points]]&gt;50,ISBLANK(TableOUSPRESCH[[#This Row],[Effective]]))),TableOUSPRESCH[[#This Row],[Structure Line]],MID(TableOUSPRESCH[[#This Row],[Structure Line]],FIND(" ",TableOUSPRESCH[[#This Row],[Structure Line]])+1,256))</calculatedColumnFormula>
    </tableColumn>
    <tableColumn id="13" xr3:uid="{00000000-0010-0000-0800-00000D000000}" name="CPs" dataDxfId="34">
      <calculatedColumnFormula>TableOUSPRESCH[[#This Row],[Credit Points]]</calculatedColumnFormula>
    </tableColumn>
    <tableColumn id="1" xr3:uid="{00000000-0010-0000-0800-000001000000}" name="No."/>
    <tableColumn id="2" xr3:uid="{00000000-0010-0000-0800-000002000000}" name="Component Type"/>
    <tableColumn id="3" xr3:uid="{00000000-0010-0000-0800-000003000000}" name="Year Level"/>
    <tableColumn id="4" xr3:uid="{00000000-0010-0000-0800-000004000000}" name="Study Period" dataDxfId="33"/>
    <tableColumn id="5" xr3:uid="{00000000-0010-0000-0800-000005000000}" name="Study Package Code"/>
    <tableColumn id="6" xr3:uid="{00000000-0010-0000-0800-000006000000}" name="Ver"/>
    <tableColumn id="7" xr3:uid="{00000000-0010-0000-0800-000007000000}" name="Structure Line"/>
    <tableColumn id="8" xr3:uid="{00000000-0010-0000-0800-000008000000}" name="Credit Points"/>
    <tableColumn id="14" xr3:uid="{00000000-0010-0000-0800-00000E000000}" name="Effective" dataDxfId="32"/>
    <tableColumn id="15" xr3:uid="{00000000-0010-0000-0800-00000F000000}" name="Discont." dataDxfId="31"/>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udents.connect.curtin.edu.au/"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tudents.connect.curtin.edu.au/"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table" Target="../tables/table11.xml"/><Relationship Id="rId3" Type="http://schemas.openxmlformats.org/officeDocument/2006/relationships/table" Target="../tables/table6.xml"/><Relationship Id="rId7" Type="http://schemas.openxmlformats.org/officeDocument/2006/relationships/table" Target="../tables/table10.xml"/><Relationship Id="rId2" Type="http://schemas.openxmlformats.org/officeDocument/2006/relationships/table" Target="../tables/table5.xml"/><Relationship Id="rId1" Type="http://schemas.openxmlformats.org/officeDocument/2006/relationships/printerSettings" Target="../printerSettings/printerSettings6.bin"/><Relationship Id="rId6" Type="http://schemas.openxmlformats.org/officeDocument/2006/relationships/table" Target="../tables/table9.xml"/><Relationship Id="rId11" Type="http://schemas.openxmlformats.org/officeDocument/2006/relationships/table" Target="../tables/table14.xml"/><Relationship Id="rId5" Type="http://schemas.openxmlformats.org/officeDocument/2006/relationships/table" Target="../tables/table8.xml"/><Relationship Id="rId10" Type="http://schemas.openxmlformats.org/officeDocument/2006/relationships/table" Target="../tables/table13.xml"/><Relationship Id="rId4" Type="http://schemas.openxmlformats.org/officeDocument/2006/relationships/table" Target="../tables/table7.xml"/><Relationship Id="rId9" Type="http://schemas.openxmlformats.org/officeDocument/2006/relationships/table" Target="../tables/table12.xml"/></Relationships>
</file>

<file path=xl/worksheets/_rels/sheet7.xml.rels><?xml version="1.0" encoding="UTF-8" standalone="yes"?>
<Relationships xmlns="http://schemas.openxmlformats.org/package/2006/relationships"><Relationship Id="rId1" Type="http://schemas.openxmlformats.org/officeDocument/2006/relationships/table" Target="../tables/table1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7"/>
  <sheetViews>
    <sheetView showGridLines="0" topLeftCell="A3" zoomScaleNormal="100" workbookViewId="0">
      <selection activeCell="L9" sqref="L9"/>
    </sheetView>
  </sheetViews>
  <sheetFormatPr defaultRowHeight="15" x14ac:dyDescent="0.25"/>
  <cols>
    <col min="1" max="1" width="8.5" style="24" customWidth="1"/>
    <col min="2" max="2" width="3.25" style="24" customWidth="1"/>
    <col min="3" max="3" width="11.875" style="24" bestFit="1" customWidth="1"/>
    <col min="4" max="4" width="51.375" style="23" bestFit="1" customWidth="1"/>
    <col min="5" max="5" width="6.375" style="23" customWidth="1"/>
    <col min="6" max="6" width="16.75" style="23" bestFit="1" customWidth="1"/>
    <col min="7" max="7" width="5.625" style="23" customWidth="1"/>
    <col min="8" max="11" width="4.625" style="23" customWidth="1"/>
    <col min="12" max="12" width="15.625" style="23" customWidth="1"/>
    <col min="13" max="13" width="2.5" style="23" hidden="1" customWidth="1"/>
    <col min="14" max="16384" width="9" style="23"/>
  </cols>
  <sheetData>
    <row r="1" spans="1:23" hidden="1" x14ac:dyDescent="0.25">
      <c r="A1" s="19" t="s">
        <v>0</v>
      </c>
      <c r="B1" s="20" t="s">
        <v>1</v>
      </c>
      <c r="C1" s="20" t="s">
        <v>2</v>
      </c>
      <c r="D1" s="21" t="s">
        <v>3</v>
      </c>
      <c r="E1" s="20" t="s">
        <v>4</v>
      </c>
      <c r="F1" s="20" t="s">
        <v>5</v>
      </c>
      <c r="G1" s="21" t="s">
        <v>6</v>
      </c>
      <c r="H1" s="22" t="s">
        <v>7</v>
      </c>
      <c r="I1" s="21"/>
      <c r="J1" s="21"/>
      <c r="K1" s="21"/>
      <c r="L1" s="21" t="s">
        <v>8</v>
      </c>
    </row>
    <row r="2" spans="1:23" hidden="1" x14ac:dyDescent="0.25">
      <c r="A2" s="155"/>
      <c r="B2" s="157">
        <v>2</v>
      </c>
      <c r="C2" s="157">
        <v>3</v>
      </c>
      <c r="D2" s="157">
        <v>4</v>
      </c>
      <c r="E2" s="157"/>
      <c r="F2" s="157">
        <v>6</v>
      </c>
      <c r="G2" s="157">
        <v>5</v>
      </c>
      <c r="H2" s="157">
        <v>7</v>
      </c>
      <c r="I2" s="157">
        <v>8</v>
      </c>
      <c r="J2" s="157">
        <v>9</v>
      </c>
      <c r="K2" s="157">
        <v>10</v>
      </c>
      <c r="L2" s="156"/>
    </row>
    <row r="3" spans="1:23" ht="39.950000000000003" customHeight="1" x14ac:dyDescent="0.25">
      <c r="A3" s="251" t="s">
        <v>9</v>
      </c>
      <c r="B3" s="251"/>
      <c r="C3" s="251"/>
      <c r="D3" s="251"/>
      <c r="E3" s="107"/>
      <c r="F3" s="107"/>
      <c r="G3" s="107"/>
      <c r="H3" s="107"/>
      <c r="I3" s="107"/>
      <c r="J3" s="107"/>
      <c r="K3" s="107"/>
      <c r="L3" s="107"/>
    </row>
    <row r="4" spans="1:23" ht="26.25" x14ac:dyDescent="0.25">
      <c r="A4" s="245"/>
      <c r="B4" s="246"/>
      <c r="C4" s="246"/>
      <c r="D4" s="247"/>
      <c r="E4" s="244" t="s">
        <v>10</v>
      </c>
      <c r="F4" s="246"/>
      <c r="G4" s="248"/>
      <c r="H4" s="248"/>
      <c r="I4" s="248"/>
      <c r="J4" s="248"/>
      <c r="K4" s="248"/>
      <c r="L4" s="248"/>
    </row>
    <row r="5" spans="1:23" ht="20.100000000000001" customHeight="1" x14ac:dyDescent="0.25">
      <c r="B5" s="108"/>
      <c r="C5" s="109" t="s">
        <v>11</v>
      </c>
      <c r="D5" s="154" t="s">
        <v>12</v>
      </c>
      <c r="E5" s="110"/>
      <c r="F5" s="109" t="s">
        <v>13</v>
      </c>
      <c r="G5" s="110" t="str">
        <f>IFERROR(CONCATENATE(VLOOKUP(D5,TableCourses[],2,FALSE)," ",VLOOKUP(D5,TableCourses[],3,FALSE)),"")</f>
        <v>OC-PROJM v.1</v>
      </c>
      <c r="H5" s="110"/>
      <c r="I5" s="110"/>
      <c r="J5" s="110"/>
      <c r="K5" s="110"/>
      <c r="L5" s="174" t="str">
        <f>CONCATENATE(VLOOKUP(D5,TableCourses[],2,FALSE),VLOOKUP(D6,TableStudyPeriod[],2,FALSE))</f>
        <v>OC-PROJMSP4</v>
      </c>
    </row>
    <row r="6" spans="1:23" ht="20.100000000000001" customHeight="1" x14ac:dyDescent="0.25">
      <c r="A6" s="112"/>
      <c r="B6" s="113"/>
      <c r="C6" s="109" t="s">
        <v>14</v>
      </c>
      <c r="D6" s="153" t="s">
        <v>36</v>
      </c>
      <c r="E6" s="114"/>
      <c r="F6" s="109" t="s">
        <v>16</v>
      </c>
      <c r="G6" s="110" t="str">
        <f>IFERROR(VLOOKUP($D$5,TableCourses[],7,FALSE),"")</f>
        <v xml:space="preserve">100 credit points required </v>
      </c>
      <c r="H6" s="115"/>
      <c r="I6" s="115"/>
      <c r="J6" s="115"/>
      <c r="K6" s="115"/>
      <c r="L6" s="115"/>
      <c r="W6" s="25"/>
    </row>
    <row r="7" spans="1:23" s="27" customFormat="1" ht="14.1" customHeight="1" x14ac:dyDescent="0.25">
      <c r="A7" s="116" t="s">
        <v>17</v>
      </c>
      <c r="B7" s="116"/>
      <c r="C7" s="116"/>
      <c r="D7" s="117"/>
      <c r="E7" s="118"/>
      <c r="F7" s="116"/>
      <c r="G7" s="116"/>
      <c r="H7" s="119" t="s">
        <v>18</v>
      </c>
      <c r="I7" s="120"/>
      <c r="J7" s="120"/>
      <c r="K7" s="121"/>
      <c r="L7" s="118"/>
      <c r="M7" s="122"/>
      <c r="N7" s="122"/>
      <c r="O7" s="122"/>
      <c r="W7" s="26"/>
    </row>
    <row r="8" spans="1:23" s="27" customFormat="1" ht="21" x14ac:dyDescent="0.25">
      <c r="A8" s="116" t="s">
        <v>19</v>
      </c>
      <c r="B8" s="116"/>
      <c r="C8" s="123" t="s">
        <v>20</v>
      </c>
      <c r="D8" s="117" t="s">
        <v>3</v>
      </c>
      <c r="E8" s="123" t="s">
        <v>21</v>
      </c>
      <c r="F8" s="116" t="s">
        <v>22</v>
      </c>
      <c r="G8" s="123" t="s">
        <v>23</v>
      </c>
      <c r="H8" s="180" t="s">
        <v>24</v>
      </c>
      <c r="I8" s="181" t="s">
        <v>25</v>
      </c>
      <c r="J8" s="181" t="s">
        <v>26</v>
      </c>
      <c r="K8" s="182" t="s">
        <v>27</v>
      </c>
      <c r="L8" s="116" t="s">
        <v>28</v>
      </c>
      <c r="M8" s="122"/>
      <c r="N8" s="122"/>
      <c r="O8" s="122"/>
      <c r="W8" s="26"/>
    </row>
    <row r="9" spans="1:23" s="29" customFormat="1" ht="20.100000000000001" customHeight="1" x14ac:dyDescent="0.15">
      <c r="A9" s="214" t="str">
        <f>IFERROR(IF(HLOOKUP($L$5,Unitsets!$K$3:$AP$15,M9,FALSE)=0,"",HLOOKUP($L$5,Unitsets!$K$3:$AP$15,M9,FALSE)),"")</f>
        <v>PRJM6015</v>
      </c>
      <c r="B9" s="215">
        <f>IFERROR(IF(VLOOKUP($A9,TableHandbook[],2,FALSE)=0,"",VLOOKUP($A9,TableHandbook[],2,FALSE)),"")</f>
        <v>1</v>
      </c>
      <c r="C9" s="126" t="str">
        <f>IFERROR(IF(VLOOKUP($A9,TableHandbook[],3,FALSE)=0,"",VLOOKUP($A9,TableHandbook[],3,FALSE)),"")</f>
        <v>PRM510</v>
      </c>
      <c r="D9" s="127" t="str">
        <f>IFERROR(IF(VLOOKUP($A9,TableHandbook[],4,FALSE)=0,"",VLOOKUP($A9,TableHandbook[],4,FALSE)),"")</f>
        <v>Project and People</v>
      </c>
      <c r="E9" s="126" t="str">
        <f>IF(A9="","",VLOOKUP($D$6,TableStudyPeriod[],2,FALSE))</f>
        <v>SP4</v>
      </c>
      <c r="F9" s="128" t="str">
        <f>IFERROR(IF(VLOOKUP($A9,TableHandbook[],6,FALSE)=0,"",VLOOKUP($A9,TableHandbook[],6,FALSE)),"")</f>
        <v>None</v>
      </c>
      <c r="G9" s="126">
        <f>IFERROR(IF(VLOOKUP($A9,TableHandbook[],5,FALSE)=0,"",VLOOKUP($A9,TableHandbook[],5,FALSE)),"")</f>
        <v>25</v>
      </c>
      <c r="H9" s="183" t="str">
        <f>IFERROR(VLOOKUP($A9,TableHandbook[],H$2,FALSE),"")</f>
        <v/>
      </c>
      <c r="I9" s="184" t="str">
        <f>IFERROR(VLOOKUP($A9,TableHandbook[],I$2,FALSE),"")</f>
        <v>Y</v>
      </c>
      <c r="J9" s="184" t="str">
        <f>IFERROR(VLOOKUP($A9,TableHandbook[],J$2,FALSE),"")</f>
        <v/>
      </c>
      <c r="K9" s="185" t="str">
        <f>IFERROR(VLOOKUP($A9,TableHandbook[],K$2,FALSE),"")</f>
        <v>Y</v>
      </c>
      <c r="L9" s="97"/>
      <c r="M9" s="164">
        <v>2</v>
      </c>
      <c r="N9" s="129"/>
      <c r="O9" s="129"/>
      <c r="W9" s="28"/>
    </row>
    <row r="10" spans="1:23" s="29" customFormat="1" ht="20.100000000000001" customHeight="1" x14ac:dyDescent="0.15">
      <c r="A10" s="216" t="str">
        <f>IFERROR(IF(HLOOKUP($L$5,Unitsets!$K$3:$AP$15,M10,FALSE)=0,"",HLOOKUP($L$5,Unitsets!$K$3:$AP$15,M10,FALSE)),"")</f>
        <v>PRJM6021</v>
      </c>
      <c r="B10" s="217">
        <f>IFERROR(IF(VLOOKUP($A10,TableHandbook[],2,FALSE)=0,"",VLOOKUP($A10,TableHandbook[],2,FALSE)),"")</f>
        <v>2</v>
      </c>
      <c r="C10" s="131" t="str">
        <f>IFERROR(IF(VLOOKUP($A10,TableHandbook[],3,FALSE)=0,"",VLOOKUP($A10,TableHandbook[],3,FALSE)),"")</f>
        <v>PRM530</v>
      </c>
      <c r="D10" s="132" t="str">
        <f>IFERROR(IF(VLOOKUP($A10,TableHandbook[],4,FALSE)=0,"",VLOOKUP($A10,TableHandbook[],4,FALSE)),"")</f>
        <v>Project Planning and Schedule Management</v>
      </c>
      <c r="E10" s="131" t="str">
        <f>IF(A10="","",E9)</f>
        <v>SP4</v>
      </c>
      <c r="F10" s="133" t="str">
        <f>IFERROR(IF(VLOOKUP($A10,TableHandbook[],6,FALSE)=0,"",VLOOKUP($A10,TableHandbook[],6,FALSE)),"")</f>
        <v>None</v>
      </c>
      <c r="G10" s="131">
        <f>IFERROR(IF(VLOOKUP($A10,TableHandbook[],5,FALSE)=0,"",VLOOKUP($A10,TableHandbook[],5,FALSE)),"")</f>
        <v>25</v>
      </c>
      <c r="H10" s="186" t="str">
        <f>IFERROR(VLOOKUP($A10,TableHandbook[],H$2,FALSE),"")</f>
        <v/>
      </c>
      <c r="I10" s="187" t="str">
        <f>IFERROR(VLOOKUP($A10,TableHandbook[],I$2,FALSE),"")</f>
        <v>Y</v>
      </c>
      <c r="J10" s="187" t="str">
        <f>IFERROR(VLOOKUP($A10,TableHandbook[],J$2,FALSE),"")</f>
        <v/>
      </c>
      <c r="K10" s="188" t="str">
        <f>IFERROR(VLOOKUP($A10,TableHandbook[],K$2,FALSE),"")</f>
        <v>Y</v>
      </c>
      <c r="L10" s="98"/>
      <c r="M10" s="164">
        <v>3</v>
      </c>
      <c r="N10" s="129"/>
      <c r="O10" s="129"/>
      <c r="W10" s="28"/>
    </row>
    <row r="11" spans="1:23" s="29" customFormat="1" ht="4.5" customHeight="1" x14ac:dyDescent="0.15">
      <c r="A11" s="218"/>
      <c r="B11" s="219"/>
      <c r="C11" s="159"/>
      <c r="D11" s="159"/>
      <c r="E11" s="159"/>
      <c r="F11" s="160"/>
      <c r="G11" s="159"/>
      <c r="H11" s="189"/>
      <c r="I11" s="190"/>
      <c r="J11" s="190"/>
      <c r="K11" s="191"/>
      <c r="L11" s="162"/>
      <c r="M11" s="164"/>
      <c r="N11" s="129"/>
      <c r="O11" s="129"/>
      <c r="P11" s="129"/>
      <c r="W11" s="28"/>
    </row>
    <row r="12" spans="1:23" s="29" customFormat="1" ht="20.100000000000001" customHeight="1" x14ac:dyDescent="0.15">
      <c r="A12" s="220" t="str">
        <f>IFERROR(IF(HLOOKUP($L$5,Unitsets!$K$3:$AP$15,M12,FALSE)=0,"",HLOOKUP($L$5,Unitsets!$K$3:$AP$15,M12,FALSE)),"")</f>
        <v>PRJM6013</v>
      </c>
      <c r="B12" s="221">
        <f>IFERROR(IF(VLOOKUP($A12,TableHandbook[],2,FALSE)=0,"",VLOOKUP($A12,TableHandbook[],2,FALSE)),"")</f>
        <v>2</v>
      </c>
      <c r="C12" s="135" t="str">
        <f>IFERROR(IF(VLOOKUP($A12,TableHandbook[],3,FALSE)=0,"",VLOOKUP($A12,TableHandbook[],3,FALSE)),"")</f>
        <v>PRM500</v>
      </c>
      <c r="D12" s="136" t="str">
        <f>IFERROR(IF(VLOOKUP($A12,TableHandbook[],4,FALSE)=0,"",VLOOKUP($A12,TableHandbook[],4,FALSE)),"")</f>
        <v>Project Management Overview</v>
      </c>
      <c r="E12" s="135" t="str">
        <f>IF(A12="","",VLOOKUP($D$6,TableStudyPeriod[],3,FALSE))</f>
        <v>SP1</v>
      </c>
      <c r="F12" s="137" t="str">
        <f>IFERROR(IF(VLOOKUP($A12,TableHandbook[],6,FALSE)=0,"",VLOOKUP($A12,TableHandbook[],6,FALSE)),"")</f>
        <v>None</v>
      </c>
      <c r="G12" s="135">
        <f>IFERROR(IF(VLOOKUP($A12,TableHandbook[],5,FALSE)=0,"",VLOOKUP($A12,TableHandbook[],5,FALSE)),"")</f>
        <v>25</v>
      </c>
      <c r="H12" s="192" t="str">
        <f>IFERROR(VLOOKUP($A12,TableHandbook[],H$2,FALSE),"")</f>
        <v>Y</v>
      </c>
      <c r="I12" s="193" t="str">
        <f>IFERROR(VLOOKUP($A12,TableHandbook[],I$2,FALSE),"")</f>
        <v/>
      </c>
      <c r="J12" s="193" t="str">
        <f>IFERROR(VLOOKUP($A12,TableHandbook[],J$2,FALSE),"")</f>
        <v>Y</v>
      </c>
      <c r="K12" s="194" t="str">
        <f>IFERROR(VLOOKUP($A12,TableHandbook[],K$2,FALSE),"")</f>
        <v/>
      </c>
      <c r="L12" s="99"/>
      <c r="M12" s="164">
        <v>4</v>
      </c>
      <c r="N12" s="129"/>
      <c r="O12" s="129"/>
      <c r="W12" s="28"/>
    </row>
    <row r="13" spans="1:23" s="29" customFormat="1" ht="20.100000000000001" customHeight="1" x14ac:dyDescent="0.15">
      <c r="A13" s="216" t="str">
        <f>IFERROR(IF(HLOOKUP($L$5,Unitsets!$K$3:$AP$15,M13,FALSE)=0,"",HLOOKUP($L$5,Unitsets!$K$3:$AP$15,M13,FALSE)),"")</f>
        <v>PRJM6016</v>
      </c>
      <c r="B13" s="217">
        <f>IFERROR(IF(VLOOKUP($A13,TableHandbook[],2,FALSE)=0,"",VLOOKUP($A13,TableHandbook[],2,FALSE)),"")</f>
        <v>1</v>
      </c>
      <c r="C13" s="131" t="str">
        <f>IFERROR(IF(VLOOKUP($A13,TableHandbook[],3,FALSE)=0,"",VLOOKUP($A13,TableHandbook[],3,FALSE)),"")</f>
        <v>PRM520</v>
      </c>
      <c r="D13" s="132" t="str">
        <f>IFERROR(IF(VLOOKUP($A13,TableHandbook[],4,FALSE)=0,"",VLOOKUP($A13,TableHandbook[],4,FALSE)),"")</f>
        <v>Project Cost Management</v>
      </c>
      <c r="E13" s="131" t="str">
        <f>IF(A13="","",E12)</f>
        <v>SP1</v>
      </c>
      <c r="F13" s="133" t="str">
        <f>IFERROR(IF(VLOOKUP($A13,TableHandbook[],6,FALSE)=0,"",VLOOKUP($A13,TableHandbook[],6,FALSE)),"")</f>
        <v>None</v>
      </c>
      <c r="G13" s="131">
        <f>IFERROR(IF(VLOOKUP($A13,TableHandbook[],5,FALSE)=0,"",VLOOKUP($A13,TableHandbook[],5,FALSE)),"")</f>
        <v>25</v>
      </c>
      <c r="H13" s="186" t="str">
        <f>IFERROR(VLOOKUP($A13,TableHandbook[],H$2,FALSE),"")</f>
        <v>Y</v>
      </c>
      <c r="I13" s="187" t="str">
        <f>IFERROR(VLOOKUP($A13,TableHandbook[],I$2,FALSE),"")</f>
        <v/>
      </c>
      <c r="J13" s="187" t="str">
        <f>IFERROR(VLOOKUP($A13,TableHandbook[],J$2,FALSE),"")</f>
        <v>Y</v>
      </c>
      <c r="K13" s="188" t="str">
        <f>IFERROR(VLOOKUP($A13,TableHandbook[],K$2,FALSE),"")</f>
        <v/>
      </c>
      <c r="L13" s="98"/>
      <c r="M13" s="164">
        <v>5</v>
      </c>
      <c r="N13" s="129"/>
      <c r="O13" s="129"/>
      <c r="W13" s="28"/>
    </row>
    <row r="15" spans="1:23" s="25" customFormat="1" ht="32.25" customHeight="1" x14ac:dyDescent="0.25">
      <c r="A15" s="252" t="s">
        <v>29</v>
      </c>
      <c r="B15" s="252"/>
      <c r="C15" s="252"/>
      <c r="D15" s="252"/>
      <c r="E15" s="252"/>
      <c r="F15" s="252"/>
      <c r="G15" s="252"/>
      <c r="H15" s="252"/>
      <c r="I15" s="252"/>
      <c r="J15" s="252"/>
      <c r="K15" s="252"/>
      <c r="L15" s="252"/>
      <c r="M15" s="23"/>
      <c r="N15" s="23"/>
      <c r="O15" s="23"/>
      <c r="P15" s="23"/>
      <c r="Q15" s="23"/>
      <c r="R15" s="23"/>
      <c r="S15" s="23"/>
      <c r="T15" s="23"/>
      <c r="U15" s="23"/>
      <c r="V15" s="23"/>
    </row>
    <row r="16" spans="1:23" s="33" customFormat="1" ht="24.75" customHeight="1" x14ac:dyDescent="0.3">
      <c r="A16" s="95" t="s">
        <v>30</v>
      </c>
      <c r="B16" s="95"/>
      <c r="C16" s="95"/>
      <c r="D16" s="96"/>
      <c r="E16" s="96"/>
      <c r="F16" s="96"/>
      <c r="G16" s="96"/>
      <c r="H16" s="96"/>
      <c r="I16" s="96"/>
      <c r="J16" s="96"/>
      <c r="K16" s="96"/>
      <c r="L16" s="96"/>
      <c r="M16" s="149"/>
      <c r="N16" s="149"/>
      <c r="O16" s="149"/>
      <c r="W16" s="32"/>
    </row>
    <row r="17" spans="1:22" s="25" customFormat="1" ht="15" customHeight="1" x14ac:dyDescent="0.25">
      <c r="A17" s="150" t="s">
        <v>31</v>
      </c>
      <c r="B17" s="150"/>
      <c r="C17" s="150"/>
      <c r="D17" s="150"/>
      <c r="E17" s="151"/>
      <c r="F17" s="148"/>
      <c r="G17" s="152"/>
      <c r="H17" s="152"/>
      <c r="I17" s="152"/>
      <c r="J17" s="152"/>
      <c r="K17" s="152"/>
      <c r="L17" s="152" t="s">
        <v>32</v>
      </c>
      <c r="M17" s="23"/>
      <c r="N17" s="23"/>
      <c r="O17" s="23"/>
      <c r="P17" s="23"/>
      <c r="Q17" s="23"/>
      <c r="R17" s="23"/>
      <c r="S17" s="23"/>
      <c r="T17" s="23"/>
      <c r="U17" s="23"/>
      <c r="V17" s="23"/>
    </row>
  </sheetData>
  <sheetProtection formatCells="0"/>
  <mergeCells count="2">
    <mergeCell ref="A3:D3"/>
    <mergeCell ref="A15:L15"/>
  </mergeCells>
  <conditionalFormatting sqref="A9:L13">
    <cfRule type="expression" dxfId="26" priority="2">
      <formula>$A9=""</formula>
    </cfRule>
  </conditionalFormatting>
  <conditionalFormatting sqref="D5:D6">
    <cfRule type="containsText" dxfId="25" priority="4" operator="containsText" text="Choose">
      <formula>NOT(ISERROR(SEARCH("Choose",D5)))</formula>
    </cfRule>
  </conditionalFormatting>
  <conditionalFormatting sqref="H9:K13">
    <cfRule type="expression" dxfId="24" priority="1">
      <formula>$E9=H$8</formula>
    </cfRule>
  </conditionalFormatting>
  <dataValidations count="1">
    <dataValidation type="list" allowBlank="1" showInputMessage="1" showErrorMessage="1" sqref="L11" xr:uid="{00000000-0002-0000-0000-000000000000}"/>
  </dataValidations>
  <hyperlinks>
    <hyperlink ref="A16:L16" r:id="rId1" display="If you have any queries about your course, please contact Curtin Connect." xr:uid="{00000000-0004-0000-0000-000000000000}"/>
  </hyperlinks>
  <printOptions horizontalCentered="1"/>
  <pageMargins left="0.31496062992125984" right="0.31496062992125984" top="0.39370078740157483" bottom="0.39370078740157483" header="0.19685039370078741" footer="0.19685039370078741"/>
  <pageSetup paperSize="9" scale="94"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Unitsets!$A$12:$A$16</xm:f>
          </x14:formula1>
          <xm:sqref>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29"/>
  <sheetViews>
    <sheetView showGridLines="0" tabSelected="1" topLeftCell="A3" zoomScaleNormal="100" workbookViewId="0">
      <selection activeCell="D6" sqref="D6"/>
    </sheetView>
  </sheetViews>
  <sheetFormatPr defaultRowHeight="15" x14ac:dyDescent="0.25"/>
  <cols>
    <col min="1" max="1" width="8.5" style="267" customWidth="1"/>
    <col min="2" max="2" width="3.25" style="267" customWidth="1"/>
    <col min="3" max="3" width="11.875" style="267" bestFit="1" customWidth="1"/>
    <col min="4" max="4" width="49.625" style="257" bestFit="1" customWidth="1"/>
    <col min="5" max="5" width="6.375" style="257" customWidth="1"/>
    <col min="6" max="6" width="16.75" style="257" bestFit="1" customWidth="1"/>
    <col min="7" max="7" width="5.625" style="257" customWidth="1"/>
    <col min="8" max="11" width="4.625" style="257" customWidth="1"/>
    <col min="12" max="12" width="15.625" style="257" customWidth="1"/>
    <col min="13" max="13" width="2.5" style="257" hidden="1" customWidth="1"/>
    <col min="14" max="16384" width="9" style="257"/>
  </cols>
  <sheetData>
    <row r="1" spans="1:16" hidden="1" x14ac:dyDescent="0.25">
      <c r="A1" s="253" t="s">
        <v>0</v>
      </c>
      <c r="B1" s="254" t="s">
        <v>1</v>
      </c>
      <c r="C1" s="254" t="s">
        <v>2</v>
      </c>
      <c r="D1" s="255" t="s">
        <v>3</v>
      </c>
      <c r="E1" s="254" t="s">
        <v>4</v>
      </c>
      <c r="F1" s="254" t="s">
        <v>5</v>
      </c>
      <c r="G1" s="255" t="s">
        <v>6</v>
      </c>
      <c r="H1" s="256" t="s">
        <v>7</v>
      </c>
      <c r="I1" s="255"/>
      <c r="J1" s="255"/>
      <c r="K1" s="255"/>
      <c r="L1" s="255" t="s">
        <v>8</v>
      </c>
    </row>
    <row r="2" spans="1:16" hidden="1" x14ac:dyDescent="0.25">
      <c r="A2" s="258"/>
      <c r="B2" s="259">
        <v>2</v>
      </c>
      <c r="C2" s="259">
        <v>3</v>
      </c>
      <c r="D2" s="259">
        <v>4</v>
      </c>
      <c r="E2" s="259"/>
      <c r="F2" s="259">
        <v>6</v>
      </c>
      <c r="G2" s="259">
        <v>5</v>
      </c>
      <c r="H2" s="259">
        <v>7</v>
      </c>
      <c r="I2" s="259">
        <v>8</v>
      </c>
      <c r="J2" s="259">
        <v>9</v>
      </c>
      <c r="K2" s="259">
        <v>10</v>
      </c>
      <c r="L2" s="260"/>
    </row>
    <row r="3" spans="1:16" ht="39.950000000000003" customHeight="1" x14ac:dyDescent="0.25">
      <c r="A3" s="261" t="s">
        <v>9</v>
      </c>
      <c r="B3" s="261"/>
      <c r="C3" s="261"/>
      <c r="D3" s="261"/>
      <c r="E3" s="262"/>
      <c r="F3" s="262"/>
      <c r="G3" s="262"/>
      <c r="H3" s="262"/>
      <c r="I3" s="262"/>
      <c r="J3" s="262"/>
      <c r="K3" s="262"/>
      <c r="L3" s="262"/>
    </row>
    <row r="4" spans="1:16" ht="26.25" x14ac:dyDescent="0.25">
      <c r="A4" s="263"/>
      <c r="B4" s="264"/>
      <c r="C4" s="264"/>
      <c r="D4" s="265"/>
      <c r="E4" s="265" t="s">
        <v>10</v>
      </c>
      <c r="F4" s="264"/>
      <c r="G4" s="266"/>
      <c r="H4" s="266"/>
      <c r="I4" s="266"/>
      <c r="J4" s="266"/>
      <c r="K4" s="266"/>
      <c r="L4" s="266"/>
    </row>
    <row r="5" spans="1:16" ht="20.100000000000001" customHeight="1" x14ac:dyDescent="0.25">
      <c r="B5" s="268"/>
      <c r="C5" s="269" t="s">
        <v>11</v>
      </c>
      <c r="D5" s="270" t="s">
        <v>33</v>
      </c>
      <c r="E5" s="271"/>
      <c r="F5" s="269" t="s">
        <v>13</v>
      </c>
      <c r="G5" s="271" t="str">
        <f>IFERROR(CONCATENATE(VLOOKUP(D5,TableCourses[],2,FALSE)," ",VLOOKUP(D5,TableCourses[],3,FALSE)),"")</f>
        <v>OG-PROJM v.2</v>
      </c>
      <c r="H5" s="271"/>
      <c r="I5" s="271"/>
      <c r="J5" s="271"/>
      <c r="K5" s="271"/>
      <c r="L5" s="272" t="e">
        <f>CONCATENATE(VLOOKUP(D5,TableCourses[],2,FALSE),VLOOKUP(D6,TableStudyPeriod[],2,FALSE))</f>
        <v>#N/A</v>
      </c>
    </row>
    <row r="6" spans="1:16" ht="20.100000000000001" customHeight="1" x14ac:dyDescent="0.25">
      <c r="A6" s="273"/>
      <c r="B6" s="274"/>
      <c r="C6" s="269" t="s">
        <v>14</v>
      </c>
      <c r="D6" s="153" t="s">
        <v>90</v>
      </c>
      <c r="E6" s="275"/>
      <c r="F6" s="269" t="s">
        <v>16</v>
      </c>
      <c r="G6" s="271" t="str">
        <f>IFERROR(VLOOKUP($D$5,TableCourses[],7,FALSE),"")</f>
        <v xml:space="preserve">200 credit points required </v>
      </c>
      <c r="H6" s="276"/>
      <c r="I6" s="276"/>
      <c r="J6" s="276"/>
      <c r="K6" s="276"/>
      <c r="L6" s="276"/>
    </row>
    <row r="7" spans="1:16" s="284" customFormat="1" ht="14.1" customHeight="1" x14ac:dyDescent="0.25">
      <c r="A7" s="277" t="s">
        <v>17</v>
      </c>
      <c r="B7" s="277"/>
      <c r="C7" s="277"/>
      <c r="D7" s="278"/>
      <c r="E7" s="279"/>
      <c r="F7" s="277"/>
      <c r="G7" s="277"/>
      <c r="H7" s="280" t="s">
        <v>18</v>
      </c>
      <c r="I7" s="281"/>
      <c r="J7" s="281"/>
      <c r="K7" s="282"/>
      <c r="L7" s="279"/>
      <c r="M7" s="283"/>
      <c r="N7" s="283"/>
      <c r="O7" s="283"/>
    </row>
    <row r="8" spans="1:16" s="284" customFormat="1" ht="21" x14ac:dyDescent="0.25">
      <c r="A8" s="277" t="s">
        <v>19</v>
      </c>
      <c r="B8" s="277"/>
      <c r="C8" s="285" t="s">
        <v>20</v>
      </c>
      <c r="D8" s="278" t="s">
        <v>3</v>
      </c>
      <c r="E8" s="285" t="s">
        <v>21</v>
      </c>
      <c r="F8" s="277" t="s">
        <v>22</v>
      </c>
      <c r="G8" s="285" t="s">
        <v>23</v>
      </c>
      <c r="H8" s="286" t="s">
        <v>24</v>
      </c>
      <c r="I8" s="287" t="s">
        <v>25</v>
      </c>
      <c r="J8" s="287" t="s">
        <v>26</v>
      </c>
      <c r="K8" s="288" t="s">
        <v>27</v>
      </c>
      <c r="L8" s="277" t="s">
        <v>28</v>
      </c>
      <c r="M8" s="283"/>
      <c r="N8" s="283"/>
      <c r="O8" s="283"/>
    </row>
    <row r="9" spans="1:16" s="299" customFormat="1" ht="20.100000000000001" customHeight="1" x14ac:dyDescent="0.15">
      <c r="A9" s="289" t="str">
        <f>IFERROR(IF(HLOOKUP($L$5,Unitsets!$K$3:$AP$15,M9,FALSE)=0,"",HLOOKUP($L$5,Unitsets!$K$3:$AP$15,M9,FALSE)),"")</f>
        <v/>
      </c>
      <c r="B9" s="290" t="str">
        <f>IFERROR(IF(VLOOKUP($A9,TableHandbook[],2,FALSE)=0,"",VLOOKUP($A9,TableHandbook[],2,FALSE)),"")</f>
        <v/>
      </c>
      <c r="C9" s="291" t="str">
        <f>IFERROR(IF(VLOOKUP($A9,TableHandbook[],3,FALSE)=0,"",VLOOKUP($A9,TableHandbook[],3,FALSE)),"")</f>
        <v/>
      </c>
      <c r="D9" s="292" t="str">
        <f>IFERROR(IF(VLOOKUP($A9,TableHandbook[],4,FALSE)=0,"",VLOOKUP($A9,TableHandbook[],4,FALSE)),"")</f>
        <v/>
      </c>
      <c r="E9" s="291" t="str">
        <f>IF(A9="","",VLOOKUP($D$6,TableStudyPeriod[],2,FALSE))</f>
        <v/>
      </c>
      <c r="F9" s="293" t="str">
        <f>IFERROR(IF(VLOOKUP($A9,TableHandbook[],6,FALSE)=0,"",VLOOKUP($A9,TableHandbook[],6,FALSE)),"")</f>
        <v/>
      </c>
      <c r="G9" s="291" t="str">
        <f>IFERROR(IF(VLOOKUP($A9,TableHandbook[],5,FALSE)=0,"",VLOOKUP($A9,TableHandbook[],5,FALSE)),"")</f>
        <v/>
      </c>
      <c r="H9" s="294" t="str">
        <f>IFERROR(VLOOKUP($A9,TableHandbook[],H$2,FALSE),"")</f>
        <v/>
      </c>
      <c r="I9" s="295" t="str">
        <f>IFERROR(VLOOKUP($A9,TableHandbook[],I$2,FALSE),"")</f>
        <v/>
      </c>
      <c r="J9" s="295" t="str">
        <f>IFERROR(VLOOKUP($A9,TableHandbook[],J$2,FALSE),"")</f>
        <v/>
      </c>
      <c r="K9" s="296" t="str">
        <f>IFERROR(VLOOKUP($A9,TableHandbook[],K$2,FALSE),"")</f>
        <v/>
      </c>
      <c r="L9" s="97"/>
      <c r="M9" s="297">
        <v>2</v>
      </c>
      <c r="N9" s="298"/>
      <c r="O9" s="298"/>
    </row>
    <row r="10" spans="1:16" s="299" customFormat="1" ht="20.100000000000001" customHeight="1" x14ac:dyDescent="0.15">
      <c r="A10" s="300" t="str">
        <f>IFERROR(IF(HLOOKUP($L$5,Unitsets!$K$3:$AP$15,M10,FALSE)=0,"",HLOOKUP($L$5,Unitsets!$K$3:$AP$15,M10,FALSE)),"")</f>
        <v/>
      </c>
      <c r="B10" s="301" t="str">
        <f>IFERROR(IF(VLOOKUP($A10,TableHandbook[],2,FALSE)=0,"",VLOOKUP($A10,TableHandbook[],2,FALSE)),"")</f>
        <v/>
      </c>
      <c r="C10" s="301" t="str">
        <f>IFERROR(IF(VLOOKUP($A10,TableHandbook[],3,FALSE)=0,"",VLOOKUP($A10,TableHandbook[],3,FALSE)),"")</f>
        <v/>
      </c>
      <c r="D10" s="302" t="str">
        <f>IFERROR(IF(VLOOKUP($A10,TableHandbook[],4,FALSE)=0,"",VLOOKUP($A10,TableHandbook[],4,FALSE)),"")</f>
        <v/>
      </c>
      <c r="E10" s="301" t="str">
        <f>IF(A10="","",E9)</f>
        <v/>
      </c>
      <c r="F10" s="303" t="str">
        <f>IFERROR(IF(VLOOKUP($A10,TableHandbook[],6,FALSE)=0,"",VLOOKUP($A10,TableHandbook[],6,FALSE)),"")</f>
        <v/>
      </c>
      <c r="G10" s="301" t="str">
        <f>IFERROR(IF(VLOOKUP($A10,TableHandbook[],5,FALSE)=0,"",VLOOKUP($A10,TableHandbook[],5,FALSE)),"")</f>
        <v/>
      </c>
      <c r="H10" s="304" t="str">
        <f>IFERROR(VLOOKUP($A10,TableHandbook[],H$2,FALSE),"")</f>
        <v/>
      </c>
      <c r="I10" s="305" t="str">
        <f>IFERROR(VLOOKUP($A10,TableHandbook[],I$2,FALSE),"")</f>
        <v/>
      </c>
      <c r="J10" s="305" t="str">
        <f>IFERROR(VLOOKUP($A10,TableHandbook[],J$2,FALSE),"")</f>
        <v/>
      </c>
      <c r="K10" s="306" t="str">
        <f>IFERROR(VLOOKUP($A10,TableHandbook[],K$2,FALSE),"")</f>
        <v/>
      </c>
      <c r="L10" s="98"/>
      <c r="M10" s="297">
        <v>3</v>
      </c>
      <c r="N10" s="298"/>
      <c r="O10" s="298"/>
    </row>
    <row r="11" spans="1:16" s="299" customFormat="1" ht="4.5" customHeight="1" x14ac:dyDescent="0.15">
      <c r="A11" s="307"/>
      <c r="B11" s="308"/>
      <c r="C11" s="308"/>
      <c r="D11" s="308"/>
      <c r="E11" s="308"/>
      <c r="F11" s="309"/>
      <c r="G11" s="308"/>
      <c r="H11" s="310"/>
      <c r="I11" s="311"/>
      <c r="J11" s="311"/>
      <c r="K11" s="312"/>
      <c r="L11" s="361"/>
      <c r="M11" s="297"/>
      <c r="N11" s="298"/>
      <c r="O11" s="298"/>
      <c r="P11" s="298"/>
    </row>
    <row r="12" spans="1:16" s="299" customFormat="1" ht="20.100000000000001" customHeight="1" x14ac:dyDescent="0.15">
      <c r="A12" s="313" t="str">
        <f>IFERROR(IF(HLOOKUP($L$5,Unitsets!$K$3:$AP$15,M12,FALSE)=0,"",HLOOKUP($L$5,Unitsets!$K$3:$AP$15,M12,FALSE)),"")</f>
        <v/>
      </c>
      <c r="B12" s="314" t="str">
        <f>IFERROR(IF(VLOOKUP($A12,TableHandbook[],2,FALSE)=0,"",VLOOKUP($A12,TableHandbook[],2,FALSE)),"")</f>
        <v/>
      </c>
      <c r="C12" s="314" t="str">
        <f>IFERROR(IF(VLOOKUP($A12,TableHandbook[],3,FALSE)=0,"",VLOOKUP($A12,TableHandbook[],3,FALSE)),"")</f>
        <v/>
      </c>
      <c r="D12" s="315" t="str">
        <f>IFERROR(IF(VLOOKUP($A12,TableHandbook[],4,FALSE)=0,"",VLOOKUP($A12,TableHandbook[],4,FALSE)),"")</f>
        <v/>
      </c>
      <c r="E12" s="314" t="str">
        <f>IF(A12="","",VLOOKUP($D$6,TableStudyPeriod[],3,FALSE))</f>
        <v/>
      </c>
      <c r="F12" s="316" t="str">
        <f>IFERROR(IF(VLOOKUP($A12,TableHandbook[],6,FALSE)=0,"",VLOOKUP($A12,TableHandbook[],6,FALSE)),"")</f>
        <v/>
      </c>
      <c r="G12" s="314" t="str">
        <f>IFERROR(IF(VLOOKUP($A12,TableHandbook[],5,FALSE)=0,"",VLOOKUP($A12,TableHandbook[],5,FALSE)),"")</f>
        <v/>
      </c>
      <c r="H12" s="317" t="str">
        <f>IFERROR(VLOOKUP($A12,TableHandbook[],H$2,FALSE),"")</f>
        <v/>
      </c>
      <c r="I12" s="318" t="str">
        <f>IFERROR(VLOOKUP($A12,TableHandbook[],I$2,FALSE),"")</f>
        <v/>
      </c>
      <c r="J12" s="318" t="str">
        <f>IFERROR(VLOOKUP($A12,TableHandbook[],J$2,FALSE),"")</f>
        <v/>
      </c>
      <c r="K12" s="319" t="str">
        <f>IFERROR(VLOOKUP($A12,TableHandbook[],K$2,FALSE),"")</f>
        <v/>
      </c>
      <c r="L12" s="99"/>
      <c r="M12" s="297">
        <v>4</v>
      </c>
      <c r="N12" s="298"/>
      <c r="O12" s="298"/>
    </row>
    <row r="13" spans="1:16" s="299" customFormat="1" ht="20.100000000000001" customHeight="1" x14ac:dyDescent="0.15">
      <c r="A13" s="300" t="str">
        <f>IFERROR(IF(HLOOKUP($L$5,Unitsets!$K$3:$AP$15,M13,FALSE)=0,"",HLOOKUP($L$5,Unitsets!$K$3:$AP$15,M13,FALSE)),"")</f>
        <v/>
      </c>
      <c r="B13" s="301" t="str">
        <f>IFERROR(IF(VLOOKUP($A13,TableHandbook[],2,FALSE)=0,"",VLOOKUP($A13,TableHandbook[],2,FALSE)),"")</f>
        <v/>
      </c>
      <c r="C13" s="301" t="str">
        <f>IFERROR(IF(VLOOKUP($A13,TableHandbook[],3,FALSE)=0,"",VLOOKUP($A13,TableHandbook[],3,FALSE)),"")</f>
        <v/>
      </c>
      <c r="D13" s="302" t="str">
        <f>IFERROR(IF(VLOOKUP($A13,TableHandbook[],4,FALSE)=0,"",VLOOKUP($A13,TableHandbook[],4,FALSE)),"")</f>
        <v/>
      </c>
      <c r="E13" s="301" t="str">
        <f>IF(A13="","",E12)</f>
        <v/>
      </c>
      <c r="F13" s="303" t="str">
        <f>IFERROR(IF(VLOOKUP($A13,TableHandbook[],6,FALSE)=0,"",VLOOKUP($A13,TableHandbook[],6,FALSE)),"")</f>
        <v/>
      </c>
      <c r="G13" s="301" t="str">
        <f>IFERROR(IF(VLOOKUP($A13,TableHandbook[],5,FALSE)=0,"",VLOOKUP($A13,TableHandbook[],5,FALSE)),"")</f>
        <v/>
      </c>
      <c r="H13" s="304" t="str">
        <f>IFERROR(VLOOKUP($A13,TableHandbook[],H$2,FALSE),"")</f>
        <v/>
      </c>
      <c r="I13" s="305" t="str">
        <f>IFERROR(VLOOKUP($A13,TableHandbook[],I$2,FALSE),"")</f>
        <v/>
      </c>
      <c r="J13" s="305" t="str">
        <f>IFERROR(VLOOKUP($A13,TableHandbook[],J$2,FALSE),"")</f>
        <v/>
      </c>
      <c r="K13" s="306" t="str">
        <f>IFERROR(VLOOKUP($A13,TableHandbook[],K$2,FALSE),"")</f>
        <v/>
      </c>
      <c r="L13" s="98"/>
      <c r="M13" s="297">
        <v>5</v>
      </c>
      <c r="N13" s="298"/>
      <c r="O13" s="298"/>
    </row>
    <row r="14" spans="1:16" s="299" customFormat="1" ht="4.5" customHeight="1" x14ac:dyDescent="0.15">
      <c r="A14" s="307"/>
      <c r="B14" s="308"/>
      <c r="C14" s="308"/>
      <c r="D14" s="308"/>
      <c r="E14" s="308"/>
      <c r="F14" s="309"/>
      <c r="G14" s="308"/>
      <c r="H14" s="310"/>
      <c r="I14" s="311"/>
      <c r="J14" s="311"/>
      <c r="K14" s="312"/>
      <c r="L14" s="361"/>
      <c r="M14" s="297"/>
      <c r="N14" s="298"/>
      <c r="O14" s="298"/>
      <c r="P14" s="298"/>
    </row>
    <row r="15" spans="1:16" s="299" customFormat="1" ht="20.100000000000001" customHeight="1" x14ac:dyDescent="0.15">
      <c r="A15" s="313" t="str">
        <f>IFERROR(IF(HLOOKUP($L$5,Unitsets!$K$3:$AP$15,M15,FALSE)=0,"",HLOOKUP($L$5,Unitsets!$K$3:$AP$15,M15,FALSE)),"")</f>
        <v/>
      </c>
      <c r="B15" s="320" t="str">
        <f>IFERROR(IF(VLOOKUP($A15,TableHandbook[],2,FALSE)=0,"",VLOOKUP($A15,TableHandbook[],2,FALSE)),"")</f>
        <v/>
      </c>
      <c r="C15" s="320" t="str">
        <f>IFERROR(IF(VLOOKUP($A15,TableHandbook[],3,FALSE)=0,"",VLOOKUP($A15,TableHandbook[],3,FALSE)),"")</f>
        <v/>
      </c>
      <c r="D15" s="315" t="str">
        <f>IFERROR(IF(VLOOKUP($A15,TableHandbook[],4,FALSE)=0,"",VLOOKUP($A15,TableHandbook[],4,FALSE)),"")</f>
        <v/>
      </c>
      <c r="E15" s="314" t="str">
        <f>IF(A15="","",VLOOKUP($D$6,TableStudyPeriod[],4,FALSE))</f>
        <v/>
      </c>
      <c r="F15" s="316" t="str">
        <f>IFERROR(IF(VLOOKUP($A15,TableHandbook[],6,FALSE)=0,"",VLOOKUP($A15,TableHandbook[],6,FALSE)),"")</f>
        <v/>
      </c>
      <c r="G15" s="320" t="str">
        <f>IFERROR(IF(VLOOKUP($A15,TableHandbook[],5,FALSE)=0,"",VLOOKUP($A15,TableHandbook[],5,FALSE)),"")</f>
        <v/>
      </c>
      <c r="H15" s="321" t="str">
        <f>IFERROR(VLOOKUP($A15,TableHandbook[],H$2,FALSE),"")</f>
        <v/>
      </c>
      <c r="I15" s="322" t="str">
        <f>IFERROR(VLOOKUP($A15,TableHandbook[],I$2,FALSE),"")</f>
        <v/>
      </c>
      <c r="J15" s="322" t="str">
        <f>IFERROR(VLOOKUP($A15,TableHandbook[],J$2,FALSE),"")</f>
        <v/>
      </c>
      <c r="K15" s="323" t="str">
        <f>IFERROR(VLOOKUP($A15,TableHandbook[],K$2,FALSE),"")</f>
        <v/>
      </c>
      <c r="L15" s="99"/>
      <c r="M15" s="297">
        <v>6</v>
      </c>
      <c r="N15" s="298"/>
      <c r="O15" s="298"/>
    </row>
    <row r="16" spans="1:16" s="329" customFormat="1" ht="20.100000000000001" customHeight="1" x14ac:dyDescent="0.15">
      <c r="A16" s="300" t="str">
        <f>IFERROR(IF(HLOOKUP($L$5,Unitsets!$K$3:$AP$15,M16,FALSE)=0,"",HLOOKUP($L$5,Unitsets!$K$3:$AP$15,M16,FALSE)),"")</f>
        <v/>
      </c>
      <c r="B16" s="324" t="str">
        <f>IFERROR(IF(VLOOKUP($A16,TableHandbook[],2,FALSE)=0,"",VLOOKUP($A16,TableHandbook[],2,FALSE)),"")</f>
        <v/>
      </c>
      <c r="C16" s="324" t="str">
        <f>IFERROR(IF(VLOOKUP($A16,TableHandbook[],3,FALSE)=0,"",VLOOKUP($A16,TableHandbook[],3,FALSE)),"")</f>
        <v/>
      </c>
      <c r="D16" s="302" t="str">
        <f>IFERROR(IF(VLOOKUP($A16,TableHandbook[],4,FALSE)=0,"",VLOOKUP($A16,TableHandbook[],4,FALSE)),"")</f>
        <v/>
      </c>
      <c r="E16" s="301" t="str">
        <f>IF(A16="","",E15)</f>
        <v/>
      </c>
      <c r="F16" s="303" t="str">
        <f>IFERROR(IF(VLOOKUP($A16,TableHandbook[],6,FALSE)=0,"",VLOOKUP($A16,TableHandbook[],6,FALSE)),"")</f>
        <v/>
      </c>
      <c r="G16" s="324" t="str">
        <f>IFERROR(IF(VLOOKUP($A16,TableHandbook[],5,FALSE)=0,"",VLOOKUP($A16,TableHandbook[],5,FALSE)),"")</f>
        <v/>
      </c>
      <c r="H16" s="325" t="str">
        <f>IFERROR(VLOOKUP($A16,TableHandbook[],H$2,FALSE),"")</f>
        <v/>
      </c>
      <c r="I16" s="326" t="str">
        <f>IFERROR(VLOOKUP($A16,TableHandbook[],I$2,FALSE),"")</f>
        <v/>
      </c>
      <c r="J16" s="326" t="str">
        <f>IFERROR(VLOOKUP($A16,TableHandbook[],J$2,FALSE),"")</f>
        <v/>
      </c>
      <c r="K16" s="327" t="str">
        <f>IFERROR(VLOOKUP($A16,TableHandbook[],K$2,FALSE),"")</f>
        <v/>
      </c>
      <c r="L16" s="100"/>
      <c r="M16" s="297">
        <v>7</v>
      </c>
      <c r="N16" s="328"/>
      <c r="O16" s="328"/>
    </row>
    <row r="17" spans="1:16" s="299" customFormat="1" ht="4.5" customHeight="1" x14ac:dyDescent="0.15">
      <c r="A17" s="307"/>
      <c r="B17" s="308"/>
      <c r="C17" s="308"/>
      <c r="D17" s="308"/>
      <c r="E17" s="308"/>
      <c r="F17" s="309"/>
      <c r="G17" s="308"/>
      <c r="H17" s="310"/>
      <c r="I17" s="311"/>
      <c r="J17" s="311"/>
      <c r="K17" s="312"/>
      <c r="L17" s="361"/>
      <c r="M17" s="297"/>
      <c r="N17" s="298"/>
      <c r="O17" s="298"/>
      <c r="P17" s="298"/>
    </row>
    <row r="18" spans="1:16" s="329" customFormat="1" ht="20.100000000000001" customHeight="1" x14ac:dyDescent="0.15">
      <c r="A18" s="313" t="str">
        <f>IFERROR(IF(HLOOKUP($L$5,Unitsets!$K$3:$AP$15,M18,FALSE)=0,"",HLOOKUP($L$5,Unitsets!$K$3:$AP$15,M18,FALSE)),"")</f>
        <v/>
      </c>
      <c r="B18" s="320" t="str">
        <f>IFERROR(IF(VLOOKUP($A18,TableHandbook[],2,FALSE)=0,"",VLOOKUP($A18,TableHandbook[],2,FALSE)),"")</f>
        <v/>
      </c>
      <c r="C18" s="320" t="str">
        <f>IFERROR(IF(VLOOKUP($A18,TableHandbook[],3,FALSE)=0,"",VLOOKUP($A18,TableHandbook[],3,FALSE)),"")</f>
        <v/>
      </c>
      <c r="D18" s="315" t="str">
        <f>IFERROR(IF(VLOOKUP($A18,TableHandbook[],4,FALSE)=0,"",VLOOKUP($A18,TableHandbook[],4,FALSE)),"")</f>
        <v/>
      </c>
      <c r="E18" s="314" t="str">
        <f>IF(A18="","",VLOOKUP($D$6,TableStudyPeriod[],5,FALSE))</f>
        <v/>
      </c>
      <c r="F18" s="316" t="str">
        <f>IFERROR(IF(VLOOKUP($A18,TableHandbook[],6,FALSE)=0,"",VLOOKUP($A18,TableHandbook[],6,FALSE)),"")</f>
        <v/>
      </c>
      <c r="G18" s="320" t="str">
        <f>IFERROR(IF(VLOOKUP($A18,TableHandbook[],5,FALSE)=0,"",VLOOKUP($A18,TableHandbook[],5,FALSE)),"")</f>
        <v/>
      </c>
      <c r="H18" s="321" t="str">
        <f>IFERROR(VLOOKUP($A18,TableHandbook[],H$2,FALSE),"")</f>
        <v/>
      </c>
      <c r="I18" s="322" t="str">
        <f>IFERROR(VLOOKUP($A18,TableHandbook[],I$2,FALSE),"")</f>
        <v/>
      </c>
      <c r="J18" s="322" t="str">
        <f>IFERROR(VLOOKUP($A18,TableHandbook[],J$2,FALSE),"")</f>
        <v/>
      </c>
      <c r="K18" s="323" t="str">
        <f>IFERROR(VLOOKUP($A18,TableHandbook[],K$2,FALSE),"")</f>
        <v/>
      </c>
      <c r="L18" s="99"/>
      <c r="M18" s="297">
        <v>8</v>
      </c>
      <c r="N18" s="328"/>
      <c r="O18" s="328"/>
    </row>
    <row r="19" spans="1:16" s="329" customFormat="1" ht="20.100000000000001" customHeight="1" x14ac:dyDescent="0.15">
      <c r="A19" s="289" t="str">
        <f>IFERROR(IF(HLOOKUP($L$5,Unitsets!$K$3:$AP$15,M19,FALSE)=0,"",HLOOKUP($L$5,Unitsets!$K$3:$AP$15,M19,FALSE)),"")</f>
        <v/>
      </c>
      <c r="B19" s="330" t="str">
        <f>IFERROR(IF(VLOOKUP($A19,TableHandbook[],2,FALSE)=0,"",VLOOKUP($A19,TableHandbook[],2,FALSE)),"")</f>
        <v/>
      </c>
      <c r="C19" s="330" t="str">
        <f>IFERROR(IF(VLOOKUP($A19,TableHandbook[],3,FALSE)=0,"",VLOOKUP($A19,TableHandbook[],3,FALSE)),"")</f>
        <v/>
      </c>
      <c r="D19" s="331" t="str">
        <f>IFERROR(IF(VLOOKUP($A19,TableHandbook[],4,FALSE)=0,"",VLOOKUP($A19,TableHandbook[],4,FALSE)),"")</f>
        <v/>
      </c>
      <c r="E19" s="330" t="str">
        <f>IF(A19="","",E18)</f>
        <v/>
      </c>
      <c r="F19" s="293" t="str">
        <f>IFERROR(IF(VLOOKUP($A19,TableHandbook[],6,FALSE)=0,"",VLOOKUP($A19,TableHandbook[],6,FALSE)),"")</f>
        <v/>
      </c>
      <c r="G19" s="330" t="str">
        <f>IFERROR(IF(VLOOKUP($A19,TableHandbook[],5,FALSE)=0,"",VLOOKUP($A19,TableHandbook[],5,FALSE)),"")</f>
        <v/>
      </c>
      <c r="H19" s="325" t="str">
        <f>IFERROR(VLOOKUP($A19,TableHandbook[],H$2,FALSE),"")</f>
        <v/>
      </c>
      <c r="I19" s="326" t="str">
        <f>IFERROR(VLOOKUP($A19,TableHandbook[],I$2,FALSE),"")</f>
        <v/>
      </c>
      <c r="J19" s="326" t="str">
        <f>IFERROR(VLOOKUP($A19,TableHandbook[],J$2,FALSE),"")</f>
        <v/>
      </c>
      <c r="K19" s="327" t="str">
        <f>IFERROR(VLOOKUP($A19,TableHandbook[],K$2,FALSE),"")</f>
        <v/>
      </c>
      <c r="L19" s="101"/>
      <c r="M19" s="297">
        <v>9</v>
      </c>
      <c r="N19" s="328"/>
      <c r="O19" s="328"/>
    </row>
    <row r="20" spans="1:16" s="337" customFormat="1" ht="13.9" customHeight="1" x14ac:dyDescent="0.2">
      <c r="A20" s="332"/>
      <c r="B20" s="332"/>
      <c r="C20" s="332"/>
      <c r="D20" s="333"/>
      <c r="E20" s="333"/>
      <c r="F20" s="334"/>
      <c r="G20" s="334"/>
      <c r="H20" s="334"/>
      <c r="I20" s="334"/>
      <c r="J20" s="334"/>
      <c r="K20" s="334"/>
      <c r="L20" s="334"/>
      <c r="M20" s="335"/>
      <c r="N20" s="336"/>
      <c r="O20" s="336"/>
    </row>
    <row r="21" spans="1:16" ht="16.5" x14ac:dyDescent="0.25">
      <c r="A21" s="338" t="s">
        <v>34</v>
      </c>
      <c r="B21" s="277"/>
      <c r="C21" s="277"/>
      <c r="D21" s="278"/>
      <c r="E21" s="279"/>
      <c r="F21" s="277"/>
      <c r="G21" s="277"/>
      <c r="H21" s="280" t="str">
        <f>H7</f>
        <v>2025 Availabilities</v>
      </c>
      <c r="I21" s="281"/>
      <c r="J21" s="281"/>
      <c r="K21" s="282"/>
      <c r="L21" s="279"/>
      <c r="M21" s="339"/>
    </row>
    <row r="22" spans="1:16" s="340" customFormat="1" x14ac:dyDescent="0.25">
      <c r="A22" s="277"/>
      <c r="B22" s="277"/>
      <c r="C22" s="285" t="s">
        <v>20</v>
      </c>
      <c r="D22" s="278" t="s">
        <v>3</v>
      </c>
      <c r="E22" s="285"/>
      <c r="F22" s="277" t="s">
        <v>22</v>
      </c>
      <c r="G22" s="277" t="s">
        <v>35</v>
      </c>
      <c r="H22" s="286" t="str">
        <f>H8</f>
        <v>SP1</v>
      </c>
      <c r="I22" s="287" t="str">
        <f t="shared" ref="I22:K22" si="0">I8</f>
        <v>SP2</v>
      </c>
      <c r="J22" s="287" t="str">
        <f t="shared" si="0"/>
        <v>SP3</v>
      </c>
      <c r="K22" s="288" t="str">
        <f t="shared" si="0"/>
        <v>SP4</v>
      </c>
      <c r="L22" s="277" t="str">
        <f>L8</f>
        <v>Notes / Progress</v>
      </c>
      <c r="M22" s="339"/>
    </row>
    <row r="23" spans="1:16" ht="18" customHeight="1" x14ac:dyDescent="0.25">
      <c r="A23" s="341" t="str">
        <f>IFERROR(IF(HLOOKUP($L$5,RangeAltCores,M23,FALSE)=0,"",HLOOKUP($L$5,RangeAltCores,M23,FALSE)),"")</f>
        <v/>
      </c>
      <c r="B23" s="342" t="str">
        <f>IFERROR(IF(VLOOKUP($A23,TableHandbook[],2,FALSE)=0,"",VLOOKUP($A23,TableHandbook[],2,FALSE)),"")</f>
        <v/>
      </c>
      <c r="C23" s="342" t="str">
        <f>IFERROR(IF(VLOOKUP($A23,TableHandbook[],3,FALSE)=0,"",VLOOKUP($A23,TableHandbook[],3,FALSE)),"")</f>
        <v/>
      </c>
      <c r="D23" s="343" t="str">
        <f>IFERROR(IF(VLOOKUP($A23,TableHandbook[],4,FALSE)=0,"",VLOOKUP($A23,TableHandbook[],4,FALSE)),"")</f>
        <v/>
      </c>
      <c r="E23" s="344"/>
      <c r="F23" s="345" t="str">
        <f>IFERROR(IF(VLOOKUP($A23,TableHandbook[],6,FALSE)=0,"",VLOOKUP($A23,TableHandbook[],6,FALSE)),"")</f>
        <v/>
      </c>
      <c r="G23" s="345" t="str">
        <f>IFERROR(IF(VLOOKUP($A23,TableHandbook[],5,FALSE)=0,"",VLOOKUP($A23,TableHandbook[],5,FALSE)),"")</f>
        <v/>
      </c>
      <c r="H23" s="346" t="str">
        <f>IFERROR(VLOOKUP($A23,TableHandbook[],H$2,FALSE),"")</f>
        <v/>
      </c>
      <c r="I23" s="347" t="str">
        <f>IFERROR(VLOOKUP($A23,TableHandbook[],I$2,FALSE),"")</f>
        <v/>
      </c>
      <c r="J23" s="347" t="str">
        <f>IFERROR(VLOOKUP($A23,TableHandbook[],J$2,FALSE),"")</f>
        <v/>
      </c>
      <c r="K23" s="348" t="str">
        <f>IFERROR(VLOOKUP($A23,TableHandbook[],K$2,FALSE),"")</f>
        <v/>
      </c>
      <c r="L23" s="101"/>
      <c r="M23" s="297">
        <v>2</v>
      </c>
    </row>
    <row r="24" spans="1:16" ht="18" customHeight="1" x14ac:dyDescent="0.25">
      <c r="A24" s="341" t="str">
        <f>IFERROR(IF(HLOOKUP($L$5,RangeAltCores,M24,FALSE)=0,"",HLOOKUP($L$5,RangeAltCores,M24,FALSE)),"")</f>
        <v/>
      </c>
      <c r="B24" s="342" t="str">
        <f>IFERROR(IF(VLOOKUP($A24,TableHandbook[],2,FALSE)=0,"",VLOOKUP($A24,TableHandbook[],2,FALSE)),"")</f>
        <v/>
      </c>
      <c r="C24" s="342" t="str">
        <f>IFERROR(IF(VLOOKUP($A24,TableHandbook[],3,FALSE)=0,"",VLOOKUP($A24,TableHandbook[],3,FALSE)),"")</f>
        <v/>
      </c>
      <c r="D24" s="343" t="str">
        <f>IFERROR(IF(VLOOKUP($A24,TableHandbook[],4,FALSE)=0,"",VLOOKUP($A24,TableHandbook[],4,FALSE)),"")</f>
        <v/>
      </c>
      <c r="E24" s="344"/>
      <c r="F24" s="345" t="str">
        <f>IFERROR(IF(VLOOKUP($A24,TableHandbook[],6,FALSE)=0,"",VLOOKUP($A24,TableHandbook[],6,FALSE)),"")</f>
        <v/>
      </c>
      <c r="G24" s="345" t="str">
        <f>IFERROR(IF(VLOOKUP($A24,TableHandbook[],5,FALSE)=0,"",VLOOKUP($A24,TableHandbook[],5,FALSE)),"")</f>
        <v/>
      </c>
      <c r="H24" s="349" t="str">
        <f>IFERROR(VLOOKUP($A24,TableHandbook[],H$2,FALSE),"")</f>
        <v/>
      </c>
      <c r="I24" s="350" t="str">
        <f>IFERROR(VLOOKUP($A24,TableHandbook[],I$2,FALSE),"")</f>
        <v/>
      </c>
      <c r="J24" s="350" t="str">
        <f>IFERROR(VLOOKUP($A24,TableHandbook[],J$2,FALSE),"")</f>
        <v/>
      </c>
      <c r="K24" s="351" t="str">
        <f>IFERROR(VLOOKUP($A24,TableHandbook[],K$2,FALSE),"")</f>
        <v/>
      </c>
      <c r="L24" s="101"/>
      <c r="M24" s="297">
        <v>3</v>
      </c>
    </row>
    <row r="25" spans="1:16" ht="18" customHeight="1" x14ac:dyDescent="0.25">
      <c r="A25" s="341" t="str">
        <f>IFERROR(IF(HLOOKUP($L$5,RangeAltCores,M25,FALSE)=0,"",HLOOKUP($L$5,RangeAltCores,M25,FALSE)),"")</f>
        <v/>
      </c>
      <c r="B25" s="342" t="str">
        <f>IFERROR(IF(VLOOKUP($A25,TableHandbook[],2,FALSE)=0,"",VLOOKUP($A25,TableHandbook[],2,FALSE)),"")</f>
        <v/>
      </c>
      <c r="C25" s="342" t="str">
        <f>IFERROR(IF(VLOOKUP($A25,TableHandbook[],3,FALSE)=0,"",VLOOKUP($A25,TableHandbook[],3,FALSE)),"")</f>
        <v/>
      </c>
      <c r="D25" s="343" t="str">
        <f>IFERROR(IF(VLOOKUP($A25,TableHandbook[],4,FALSE)=0,"",VLOOKUP($A25,TableHandbook[],4,FALSE)),"")</f>
        <v/>
      </c>
      <c r="E25" s="344"/>
      <c r="F25" s="345" t="str">
        <f>IFERROR(IF(VLOOKUP($A25,TableHandbook[],6,FALSE)=0,"",VLOOKUP($A25,TableHandbook[],6,FALSE)),"")</f>
        <v/>
      </c>
      <c r="G25" s="345" t="str">
        <f>IFERROR(IF(VLOOKUP($A25,TableHandbook[],5,FALSE)=0,"",VLOOKUP($A25,TableHandbook[],5,FALSE)),"")</f>
        <v/>
      </c>
      <c r="H25" s="352" t="str">
        <f>IFERROR(VLOOKUP($A25,TableHandbook[],H$2,FALSE),"")</f>
        <v/>
      </c>
      <c r="I25" s="353" t="str">
        <f>IFERROR(VLOOKUP($A25,TableHandbook[],I$2,FALSE),"")</f>
        <v/>
      </c>
      <c r="J25" s="353" t="str">
        <f>IFERROR(VLOOKUP($A25,TableHandbook[],J$2,FALSE),"")</f>
        <v/>
      </c>
      <c r="K25" s="354" t="str">
        <f>IFERROR(VLOOKUP($A25,TableHandbook[],K$2,FALSE),"")</f>
        <v/>
      </c>
      <c r="L25" s="101"/>
      <c r="M25" s="297">
        <v>4</v>
      </c>
    </row>
    <row r="27" spans="1:16" ht="32.25" customHeight="1" x14ac:dyDescent="0.25">
      <c r="A27" s="355" t="s">
        <v>29</v>
      </c>
      <c r="B27" s="355"/>
      <c r="C27" s="355"/>
      <c r="D27" s="355"/>
      <c r="E27" s="355"/>
      <c r="F27" s="355"/>
      <c r="G27" s="355"/>
      <c r="H27" s="355"/>
      <c r="I27" s="355"/>
      <c r="J27" s="355"/>
      <c r="K27" s="355"/>
      <c r="L27" s="355"/>
    </row>
    <row r="28" spans="1:16" s="357" customFormat="1" ht="24.75" customHeight="1" x14ac:dyDescent="0.3">
      <c r="A28" s="95" t="s">
        <v>30</v>
      </c>
      <c r="B28" s="95"/>
      <c r="C28" s="95"/>
      <c r="D28" s="96"/>
      <c r="E28" s="96"/>
      <c r="F28" s="96"/>
      <c r="G28" s="96"/>
      <c r="H28" s="96"/>
      <c r="I28" s="96"/>
      <c r="J28" s="96"/>
      <c r="K28" s="96"/>
      <c r="L28" s="96"/>
      <c r="M28" s="356"/>
      <c r="N28" s="356"/>
      <c r="O28" s="356"/>
    </row>
    <row r="29" spans="1:16" ht="15" customHeight="1" x14ac:dyDescent="0.25">
      <c r="A29" s="358" t="s">
        <v>31</v>
      </c>
      <c r="B29" s="358"/>
      <c r="C29" s="358"/>
      <c r="D29" s="358"/>
      <c r="E29" s="359"/>
      <c r="F29" s="334"/>
      <c r="G29" s="360"/>
      <c r="H29" s="360"/>
      <c r="I29" s="360"/>
      <c r="J29" s="360"/>
      <c r="K29" s="360"/>
      <c r="L29" s="360" t="s">
        <v>32</v>
      </c>
    </row>
  </sheetData>
  <sheetProtection algorithmName="SHA-512" hashValue="8fMiPLJa6LH6eVZblzY6U2zIDoUD8EY5acRdSH+LbKGOAUOCXuxLqxBv1UU0zCAXgy//IVjNwyUalKGY68zeCw==" saltValue="OIAlUR4bzaTC3cIrAZUVdQ==" spinCount="100000" sheet="1" objects="1" scenarios="1" formatCells="0" formatColumns="0" formatRows="0"/>
  <mergeCells count="2">
    <mergeCell ref="A3:D3"/>
    <mergeCell ref="A27:L27"/>
  </mergeCells>
  <conditionalFormatting sqref="A9:L19 A23:L25">
    <cfRule type="expression" dxfId="23" priority="2">
      <formula>$A9=""</formula>
    </cfRule>
  </conditionalFormatting>
  <conditionalFormatting sqref="A23:L25">
    <cfRule type="expression" dxfId="22" priority="3">
      <formula>LEFT($D23,5)="Study"</formula>
    </cfRule>
  </conditionalFormatting>
  <conditionalFormatting sqref="D5:D6">
    <cfRule type="containsText" dxfId="21" priority="4" operator="containsText" text="Choose">
      <formula>NOT(ISERROR(SEARCH("Choose",D5)))</formula>
    </cfRule>
  </conditionalFormatting>
  <conditionalFormatting sqref="H9:K19">
    <cfRule type="expression" dxfId="20" priority="1">
      <formula>$E9=H$8</formula>
    </cfRule>
  </conditionalFormatting>
  <dataValidations count="1">
    <dataValidation type="list" allowBlank="1" showInputMessage="1" showErrorMessage="1" sqref="L14 L11 L17" xr:uid="{00000000-0002-0000-0100-000000000000}"/>
  </dataValidations>
  <hyperlinks>
    <hyperlink ref="A28:L28" r:id="rId1" display="If you have any queries about your course, please contact Curtin Connect." xr:uid="{00000000-0004-0000-0100-000000000000}"/>
  </hyperlinks>
  <printOptions horizontalCentered="1"/>
  <pageMargins left="0.31496062992125984" right="0.31496062992125984" top="0.39370078740157483" bottom="0.39370078740157483" header="0.19685039370078741" footer="0.19685039370078741"/>
  <pageSetup paperSize="9" scale="95" orientation="landscape" r:id="rId2"/>
  <rowBreaks count="1" manualBreakCount="1">
    <brk id="19" max="10"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Unitsets!$A$12:$A$16</xm:f>
          </x14:formula1>
          <xm:sqref>D6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30"/>
  <sheetViews>
    <sheetView showGridLines="0" topLeftCell="A3" zoomScaleNormal="100" workbookViewId="0">
      <selection activeCell="L9" sqref="L9"/>
    </sheetView>
  </sheetViews>
  <sheetFormatPr defaultRowHeight="15" x14ac:dyDescent="0.25"/>
  <cols>
    <col min="1" max="1" width="8.5" style="24" customWidth="1"/>
    <col min="2" max="2" width="3.25" style="24" customWidth="1"/>
    <col min="3" max="3" width="11.875" style="24" bestFit="1" customWidth="1"/>
    <col min="4" max="4" width="66.125" style="23" customWidth="1"/>
    <col min="5" max="5" width="6.375" style="23" customWidth="1"/>
    <col min="6" max="6" width="16.75" style="23" bestFit="1" customWidth="1"/>
    <col min="7" max="7" width="5.625" style="23" customWidth="1"/>
    <col min="8" max="11" width="4.625" style="23" customWidth="1"/>
    <col min="12" max="12" width="15.625" style="23" customWidth="1"/>
    <col min="13" max="13" width="2.5" style="23" hidden="1" customWidth="1"/>
    <col min="14" max="16384" width="9" style="23"/>
  </cols>
  <sheetData>
    <row r="1" spans="1:23" hidden="1" x14ac:dyDescent="0.25">
      <c r="A1" s="19" t="s">
        <v>0</v>
      </c>
      <c r="B1" s="20" t="s">
        <v>1</v>
      </c>
      <c r="C1" s="20" t="s">
        <v>2</v>
      </c>
      <c r="D1" s="21" t="s">
        <v>3</v>
      </c>
      <c r="E1" s="20" t="s">
        <v>4</v>
      </c>
      <c r="F1" s="20" t="s">
        <v>5</v>
      </c>
      <c r="G1" s="21" t="s">
        <v>6</v>
      </c>
      <c r="H1" s="22" t="s">
        <v>7</v>
      </c>
      <c r="I1" s="21"/>
      <c r="J1" s="21"/>
      <c r="K1" s="21"/>
      <c r="L1" s="21" t="s">
        <v>8</v>
      </c>
    </row>
    <row r="2" spans="1:23" hidden="1" x14ac:dyDescent="0.25">
      <c r="A2" s="155"/>
      <c r="B2" s="157">
        <v>2</v>
      </c>
      <c r="C2" s="157">
        <v>3</v>
      </c>
      <c r="D2" s="157">
        <v>4</v>
      </c>
      <c r="E2" s="157"/>
      <c r="F2" s="157">
        <v>6</v>
      </c>
      <c r="G2" s="157">
        <v>5</v>
      </c>
      <c r="H2" s="157">
        <v>7</v>
      </c>
      <c r="I2" s="157">
        <v>8</v>
      </c>
      <c r="J2" s="157">
        <v>9</v>
      </c>
      <c r="K2" s="157">
        <v>10</v>
      </c>
      <c r="L2" s="156"/>
    </row>
    <row r="3" spans="1:23" ht="39.950000000000003" customHeight="1" x14ac:dyDescent="0.25">
      <c r="A3" s="251" t="s">
        <v>9</v>
      </c>
      <c r="B3" s="251"/>
      <c r="C3" s="251"/>
      <c r="D3" s="251"/>
      <c r="E3" s="107"/>
      <c r="F3" s="107"/>
      <c r="G3" s="107"/>
      <c r="H3" s="107"/>
      <c r="I3" s="107"/>
      <c r="J3" s="107"/>
      <c r="K3" s="107"/>
      <c r="L3" s="107"/>
    </row>
    <row r="4" spans="1:23" ht="26.25" x14ac:dyDescent="0.25">
      <c r="A4" s="247"/>
      <c r="B4" s="246"/>
      <c r="C4" s="246"/>
      <c r="D4" s="244" t="s">
        <v>10</v>
      </c>
      <c r="E4" s="247"/>
      <c r="F4" s="246"/>
      <c r="G4" s="248"/>
      <c r="H4" s="248"/>
      <c r="I4" s="248"/>
      <c r="J4" s="248"/>
      <c r="K4" s="248"/>
      <c r="L4" s="243" t="str">
        <f>CONCATENATE(VLOOKUP(D6,TableStreams[],2,FALSE),VLOOKUP(D7,TableStudyPeriod[],2,FALSE))</f>
        <v>OUSP-PROFLSP3</v>
      </c>
    </row>
    <row r="5" spans="1:23" ht="20.100000000000001" customHeight="1" x14ac:dyDescent="0.25">
      <c r="B5" s="108"/>
      <c r="C5" s="109" t="s">
        <v>11</v>
      </c>
      <c r="D5" s="154" t="s">
        <v>204</v>
      </c>
      <c r="E5" s="110"/>
      <c r="F5" s="109" t="s">
        <v>13</v>
      </c>
      <c r="G5" s="110" t="str">
        <f>IFERROR(CONCATENATE(VLOOKUP(D5,TableCourses[],2,FALSE)," ",VLOOKUP(D5,TableCourses[],3,FALSE)),"")</f>
        <v>OM-PROJM v.1</v>
      </c>
      <c r="H5" s="110"/>
      <c r="I5" s="110"/>
      <c r="J5" s="110"/>
      <c r="K5" s="110"/>
      <c r="L5" s="111"/>
    </row>
    <row r="6" spans="1:23" ht="20.100000000000001" customHeight="1" x14ac:dyDescent="0.25">
      <c r="B6" s="108"/>
      <c r="C6" s="109" t="s">
        <v>219</v>
      </c>
      <c r="D6" s="154" t="s">
        <v>39</v>
      </c>
      <c r="E6" s="110"/>
      <c r="F6" s="109" t="s">
        <v>220</v>
      </c>
      <c r="G6" s="110" t="str">
        <f>IFERROR(CONCATENATE(VLOOKUP(D6,TableStreams[],2,FALSE)," ",VLOOKUP(D6,TableStreams[],3,FALSE)),"")</f>
        <v>OUSP-PROFL v.2</v>
      </c>
      <c r="H6" s="110"/>
      <c r="I6" s="110"/>
      <c r="J6" s="110"/>
      <c r="K6" s="110"/>
      <c r="L6" s="111"/>
    </row>
    <row r="7" spans="1:23" ht="20.100000000000001" customHeight="1" x14ac:dyDescent="0.25">
      <c r="A7" s="112"/>
      <c r="B7" s="113"/>
      <c r="C7" s="109" t="s">
        <v>14</v>
      </c>
      <c r="D7" s="153" t="s">
        <v>98</v>
      </c>
      <c r="E7" s="114"/>
      <c r="F7" s="109" t="s">
        <v>16</v>
      </c>
      <c r="G7" s="110" t="str">
        <f>IFERROR(VLOOKUP($D$5,TableCourses[],7,FALSE),"")</f>
        <v>300 credit points required</v>
      </c>
      <c r="H7" s="115"/>
      <c r="I7" s="115"/>
      <c r="J7" s="115"/>
      <c r="K7" s="115"/>
      <c r="L7" s="115"/>
      <c r="W7" s="25"/>
    </row>
    <row r="8" spans="1:23" s="27" customFormat="1" ht="14.1" customHeight="1" x14ac:dyDescent="0.25">
      <c r="A8" s="116" t="s">
        <v>17</v>
      </c>
      <c r="B8" s="116"/>
      <c r="C8" s="116"/>
      <c r="D8" s="117"/>
      <c r="E8" s="118"/>
      <c r="F8" s="116"/>
      <c r="G8" s="116"/>
      <c r="H8" s="119" t="s">
        <v>18</v>
      </c>
      <c r="I8" s="120"/>
      <c r="J8" s="120"/>
      <c r="K8" s="121"/>
      <c r="L8" s="118"/>
      <c r="M8" s="122"/>
      <c r="N8" s="122"/>
      <c r="O8" s="122"/>
      <c r="W8" s="26"/>
    </row>
    <row r="9" spans="1:23" s="27" customFormat="1" ht="21" x14ac:dyDescent="0.25">
      <c r="A9" s="116" t="s">
        <v>19</v>
      </c>
      <c r="B9" s="116"/>
      <c r="C9" s="123" t="s">
        <v>20</v>
      </c>
      <c r="D9" s="117" t="s">
        <v>3</v>
      </c>
      <c r="E9" s="123" t="s">
        <v>21</v>
      </c>
      <c r="F9" s="116" t="s">
        <v>22</v>
      </c>
      <c r="G9" s="123" t="s">
        <v>23</v>
      </c>
      <c r="H9" s="180" t="s">
        <v>24</v>
      </c>
      <c r="I9" s="181" t="s">
        <v>25</v>
      </c>
      <c r="J9" s="181" t="s">
        <v>26</v>
      </c>
      <c r="K9" s="182" t="s">
        <v>27</v>
      </c>
      <c r="L9" s="116" t="s">
        <v>28</v>
      </c>
      <c r="M9" s="122"/>
      <c r="N9" s="122"/>
      <c r="O9" s="122"/>
      <c r="W9" s="26"/>
    </row>
    <row r="10" spans="1:23" s="29" customFormat="1" ht="20.100000000000001" customHeight="1" x14ac:dyDescent="0.15">
      <c r="A10" s="124" t="str">
        <f>IFERROR(IF(HLOOKUP($L$4,Unitsets!$K$3:$AP$15,M10,FALSE)=0,"",HLOOKUP($L$4,Unitsets!$K$3:$AP$15,M10,FALSE)),"")</f>
        <v>PRJM6013</v>
      </c>
      <c r="B10" s="125">
        <f>IFERROR(IF(VLOOKUP($A10,TableHandbook[],2,FALSE)=0,"",VLOOKUP($A10,TableHandbook[],2,FALSE)),"")</f>
        <v>2</v>
      </c>
      <c r="C10" s="126" t="str">
        <f>IFERROR(IF(VLOOKUP($A10,TableHandbook[],3,FALSE)=0,"",VLOOKUP($A10,TableHandbook[],3,FALSE)),"")</f>
        <v>PRM500</v>
      </c>
      <c r="D10" s="127" t="str">
        <f>IFERROR(IF(VLOOKUP($A10,TableHandbook[],4,FALSE)=0,"",VLOOKUP($A10,TableHandbook[],4,FALSE)),"")</f>
        <v>Project Management Overview</v>
      </c>
      <c r="E10" s="126" t="str">
        <f>IF(A10="","",VLOOKUP($D$7,TableStudyPeriod[],2,FALSE))</f>
        <v>SP3</v>
      </c>
      <c r="F10" s="128" t="str">
        <f>IFERROR(IF(VLOOKUP($A10,TableHandbook[],6,FALSE)=0,"",VLOOKUP($A10,TableHandbook[],6,FALSE)),"")</f>
        <v>None</v>
      </c>
      <c r="G10" s="126">
        <f>IFERROR(IF(VLOOKUP($A10,TableHandbook[],5,FALSE)=0,"",VLOOKUP($A10,TableHandbook[],5,FALSE)),"")</f>
        <v>25</v>
      </c>
      <c r="H10" s="183" t="str">
        <f>IFERROR(VLOOKUP($A10,TableHandbook[],H$2,FALSE),"")</f>
        <v>Y</v>
      </c>
      <c r="I10" s="184" t="str">
        <f>IFERROR(VLOOKUP($A10,TableHandbook[],I$2,FALSE),"")</f>
        <v/>
      </c>
      <c r="J10" s="184" t="str">
        <f>IFERROR(VLOOKUP($A10,TableHandbook[],J$2,FALSE),"")</f>
        <v>Y</v>
      </c>
      <c r="K10" s="185" t="str">
        <f>IFERROR(VLOOKUP($A10,TableHandbook[],K$2,FALSE),"")</f>
        <v/>
      </c>
      <c r="L10" s="97"/>
      <c r="M10" s="164">
        <v>2</v>
      </c>
      <c r="N10" s="129"/>
      <c r="O10" s="129"/>
      <c r="W10" s="28"/>
    </row>
    <row r="11" spans="1:23" s="29" customFormat="1" ht="20.100000000000001" customHeight="1" x14ac:dyDescent="0.15">
      <c r="A11" s="130" t="str">
        <f>IFERROR(IF(HLOOKUP($L$4,Unitsets!$K$3:$AP$15,M11,FALSE)=0,"",HLOOKUP($L$4,Unitsets!$K$3:$AP$15,M11,FALSE)),"")</f>
        <v>PRJM6016</v>
      </c>
      <c r="B11" s="131">
        <f>IFERROR(IF(VLOOKUP($A11,TableHandbook[],2,FALSE)=0,"",VLOOKUP($A11,TableHandbook[],2,FALSE)),"")</f>
        <v>1</v>
      </c>
      <c r="C11" s="131" t="str">
        <f>IFERROR(IF(VLOOKUP($A11,TableHandbook[],3,FALSE)=0,"",VLOOKUP($A11,TableHandbook[],3,FALSE)),"")</f>
        <v>PRM520</v>
      </c>
      <c r="D11" s="132" t="str">
        <f>IFERROR(IF(VLOOKUP($A11,TableHandbook[],4,FALSE)=0,"",VLOOKUP($A11,TableHandbook[],4,FALSE)),"")</f>
        <v>Project Cost Management</v>
      </c>
      <c r="E11" s="131" t="str">
        <f>IF(OR(A11="",A11="-"),"",E10)</f>
        <v>SP3</v>
      </c>
      <c r="F11" s="133" t="str">
        <f>IFERROR(IF(VLOOKUP($A11,TableHandbook[],6,FALSE)=0,"",VLOOKUP($A11,TableHandbook[],6,FALSE)),"")</f>
        <v>None</v>
      </c>
      <c r="G11" s="131">
        <f>IFERROR(IF(VLOOKUP($A11,TableHandbook[],5,FALSE)=0,"",VLOOKUP($A11,TableHandbook[],5,FALSE)),"")</f>
        <v>25</v>
      </c>
      <c r="H11" s="186" t="str">
        <f>IFERROR(VLOOKUP($A11,TableHandbook[],H$2,FALSE),"")</f>
        <v>Y</v>
      </c>
      <c r="I11" s="187" t="str">
        <f>IFERROR(VLOOKUP($A11,TableHandbook[],I$2,FALSE),"")</f>
        <v/>
      </c>
      <c r="J11" s="187" t="str">
        <f>IFERROR(VLOOKUP($A11,TableHandbook[],J$2,FALSE),"")</f>
        <v>Y</v>
      </c>
      <c r="K11" s="188" t="str">
        <f>IFERROR(VLOOKUP($A11,TableHandbook[],K$2,FALSE),"")</f>
        <v/>
      </c>
      <c r="L11" s="98"/>
      <c r="M11" s="164">
        <v>3</v>
      </c>
      <c r="N11" s="129"/>
      <c r="O11" s="129"/>
      <c r="W11" s="28"/>
    </row>
    <row r="12" spans="1:23" s="29" customFormat="1" ht="4.5" customHeight="1" x14ac:dyDescent="0.15">
      <c r="A12" s="158"/>
      <c r="B12" s="159"/>
      <c r="C12" s="159"/>
      <c r="D12" s="159"/>
      <c r="E12" s="159"/>
      <c r="F12" s="160"/>
      <c r="G12" s="159"/>
      <c r="H12" s="189"/>
      <c r="I12" s="190"/>
      <c r="J12" s="190"/>
      <c r="K12" s="191"/>
      <c r="L12" s="162"/>
      <c r="M12" s="164"/>
      <c r="N12" s="129"/>
      <c r="O12" s="129"/>
      <c r="P12" s="129"/>
      <c r="W12" s="28"/>
    </row>
    <row r="13" spans="1:23" s="29" customFormat="1" ht="20.100000000000001" customHeight="1" x14ac:dyDescent="0.15">
      <c r="A13" s="134" t="str">
        <f>IFERROR(IF(HLOOKUP($L$4,Unitsets!$K$3:$AP$15,M13,FALSE)=0,"",HLOOKUP($L$4,Unitsets!$K$3:$AP$15,M13,FALSE)),"")</f>
        <v>PRJM6015</v>
      </c>
      <c r="B13" s="135">
        <f>IFERROR(IF(VLOOKUP($A13,TableHandbook[],2,FALSE)=0,"",VLOOKUP($A13,TableHandbook[],2,FALSE)),"")</f>
        <v>1</v>
      </c>
      <c r="C13" s="135" t="str">
        <f>IFERROR(IF(VLOOKUP($A13,TableHandbook[],3,FALSE)=0,"",VLOOKUP($A13,TableHandbook[],3,FALSE)),"")</f>
        <v>PRM510</v>
      </c>
      <c r="D13" s="136" t="str">
        <f>IFERROR(IF(VLOOKUP($A13,TableHandbook[],4,FALSE)=0,"",VLOOKUP($A13,TableHandbook[],4,FALSE)),"")</f>
        <v>Project and People</v>
      </c>
      <c r="E13" s="135" t="str">
        <f>IF(A13="","",VLOOKUP($D$7,TableStudyPeriod[],3,FALSE))</f>
        <v>SP4</v>
      </c>
      <c r="F13" s="137" t="str">
        <f>IFERROR(IF(VLOOKUP($A13,TableHandbook[],6,FALSE)=0,"",VLOOKUP($A13,TableHandbook[],6,FALSE)),"")</f>
        <v>None</v>
      </c>
      <c r="G13" s="135">
        <f>IFERROR(IF(VLOOKUP($A13,TableHandbook[],5,FALSE)=0,"",VLOOKUP($A13,TableHandbook[],5,FALSE)),"")</f>
        <v>25</v>
      </c>
      <c r="H13" s="192" t="str">
        <f>IFERROR(VLOOKUP($A13,TableHandbook[],H$2,FALSE),"")</f>
        <v/>
      </c>
      <c r="I13" s="193" t="str">
        <f>IFERROR(VLOOKUP($A13,TableHandbook[],I$2,FALSE),"")</f>
        <v>Y</v>
      </c>
      <c r="J13" s="193" t="str">
        <f>IFERROR(VLOOKUP($A13,TableHandbook[],J$2,FALSE),"")</f>
        <v/>
      </c>
      <c r="K13" s="194" t="str">
        <f>IFERROR(VLOOKUP($A13,TableHandbook[],K$2,FALSE),"")</f>
        <v>Y</v>
      </c>
      <c r="L13" s="99"/>
      <c r="M13" s="164">
        <v>4</v>
      </c>
      <c r="N13" s="129"/>
      <c r="O13" s="129"/>
      <c r="W13" s="28"/>
    </row>
    <row r="14" spans="1:23" s="29" customFormat="1" ht="20.100000000000001" customHeight="1" x14ac:dyDescent="0.15">
      <c r="A14" s="130" t="str">
        <f>IFERROR(IF(HLOOKUP($L$4,Unitsets!$K$3:$AP$15,M14,FALSE)=0,"",HLOOKUP($L$4,Unitsets!$K$3:$AP$15,M14,FALSE)),"")</f>
        <v>PRJM6021</v>
      </c>
      <c r="B14" s="131">
        <f>IFERROR(IF(VLOOKUP($A14,TableHandbook[],2,FALSE)=0,"",VLOOKUP($A14,TableHandbook[],2,FALSE)),"")</f>
        <v>2</v>
      </c>
      <c r="C14" s="131" t="str">
        <f>IFERROR(IF(VLOOKUP($A14,TableHandbook[],3,FALSE)=0,"",VLOOKUP($A14,TableHandbook[],3,FALSE)),"")</f>
        <v>PRM530</v>
      </c>
      <c r="D14" s="132" t="str">
        <f>IFERROR(IF(VLOOKUP($A14,TableHandbook[],4,FALSE)=0,"",VLOOKUP($A14,TableHandbook[],4,FALSE)),"")</f>
        <v>Project Planning and Schedule Management</v>
      </c>
      <c r="E14" s="131" t="str">
        <f>IF(OR(A14="",A14="-"),"",E13)</f>
        <v>SP4</v>
      </c>
      <c r="F14" s="133" t="str">
        <f>IFERROR(IF(VLOOKUP($A14,TableHandbook[],6,FALSE)=0,"",VLOOKUP($A14,TableHandbook[],6,FALSE)),"")</f>
        <v>None</v>
      </c>
      <c r="G14" s="131">
        <f>IFERROR(IF(VLOOKUP($A14,TableHandbook[],5,FALSE)=0,"",VLOOKUP($A14,TableHandbook[],5,FALSE)),"")</f>
        <v>25</v>
      </c>
      <c r="H14" s="186" t="str">
        <f>IFERROR(VLOOKUP($A14,TableHandbook[],H$2,FALSE),"")</f>
        <v/>
      </c>
      <c r="I14" s="187" t="str">
        <f>IFERROR(VLOOKUP($A14,TableHandbook[],I$2,FALSE),"")</f>
        <v>Y</v>
      </c>
      <c r="J14" s="187" t="str">
        <f>IFERROR(VLOOKUP($A14,TableHandbook[],J$2,FALSE),"")</f>
        <v/>
      </c>
      <c r="K14" s="188" t="str">
        <f>IFERROR(VLOOKUP($A14,TableHandbook[],K$2,FALSE),"")</f>
        <v>Y</v>
      </c>
      <c r="L14" s="98"/>
      <c r="M14" s="164">
        <v>5</v>
      </c>
      <c r="N14" s="129"/>
      <c r="O14" s="129"/>
      <c r="W14" s="28"/>
    </row>
    <row r="15" spans="1:23" s="29" customFormat="1" ht="4.5" customHeight="1" x14ac:dyDescent="0.15">
      <c r="A15" s="158"/>
      <c r="B15" s="159"/>
      <c r="C15" s="159"/>
      <c r="D15" s="159"/>
      <c r="E15" s="159"/>
      <c r="F15" s="160"/>
      <c r="G15" s="159"/>
      <c r="H15" s="189"/>
      <c r="I15" s="190"/>
      <c r="J15" s="190"/>
      <c r="K15" s="191"/>
      <c r="L15" s="162"/>
      <c r="M15" s="164"/>
      <c r="N15" s="129"/>
      <c r="O15" s="129"/>
      <c r="P15" s="129"/>
      <c r="W15" s="28"/>
    </row>
    <row r="16" spans="1:23" s="29" customFormat="1" ht="20.100000000000001" customHeight="1" x14ac:dyDescent="0.15">
      <c r="A16" s="134" t="str">
        <f>IFERROR(IF(HLOOKUP($L$4,Unitsets!$K$3:$AP$15,M16,FALSE)=0,"",HLOOKUP($L$4,Unitsets!$K$3:$AP$15,M16,FALSE)),"")</f>
        <v>PRJM6018</v>
      </c>
      <c r="B16" s="138">
        <f>IFERROR(IF(VLOOKUP($A16,TableHandbook[],2,FALSE)=0,"",VLOOKUP($A16,TableHandbook[],2,FALSE)),"")</f>
        <v>1</v>
      </c>
      <c r="C16" s="138" t="str">
        <f>IFERROR(IF(VLOOKUP($A16,TableHandbook[],3,FALSE)=0,"",VLOOKUP($A16,TableHandbook[],3,FALSE)),"")</f>
        <v>PRM540</v>
      </c>
      <c r="D16" s="136" t="str">
        <f>IFERROR(IF(VLOOKUP($A16,TableHandbook[],4,FALSE)=0,"",VLOOKUP($A16,TableHandbook[],4,FALSE)),"")</f>
        <v>Project Procurement Management</v>
      </c>
      <c r="E16" s="135" t="str">
        <f>IF(A16="","",VLOOKUP($D$7,TableStudyPeriod[],4,FALSE))</f>
        <v>SP1</v>
      </c>
      <c r="F16" s="137" t="str">
        <f>IFERROR(IF(VLOOKUP($A16,TableHandbook[],6,FALSE)=0,"",VLOOKUP($A16,TableHandbook[],6,FALSE)),"")</f>
        <v>None</v>
      </c>
      <c r="G16" s="138">
        <f>IFERROR(IF(VLOOKUP($A16,TableHandbook[],5,FALSE)=0,"",VLOOKUP($A16,TableHandbook[],5,FALSE)),"")</f>
        <v>25</v>
      </c>
      <c r="H16" s="195" t="str">
        <f>IFERROR(VLOOKUP($A16,TableHandbook[],H$2,FALSE),"")</f>
        <v>Y</v>
      </c>
      <c r="I16" s="196" t="str">
        <f>IFERROR(VLOOKUP($A16,TableHandbook[],I$2,FALSE),"")</f>
        <v/>
      </c>
      <c r="J16" s="196" t="str">
        <f>IFERROR(VLOOKUP($A16,TableHandbook[],J$2,FALSE),"")</f>
        <v>Y</v>
      </c>
      <c r="K16" s="197" t="str">
        <f>IFERROR(VLOOKUP($A16,TableHandbook[],K$2,FALSE),"")</f>
        <v/>
      </c>
      <c r="L16" s="99"/>
      <c r="M16" s="164">
        <v>6</v>
      </c>
      <c r="N16" s="129"/>
      <c r="O16" s="129"/>
      <c r="W16" s="28"/>
    </row>
    <row r="17" spans="1:23" s="31" customFormat="1" ht="20.100000000000001" customHeight="1" x14ac:dyDescent="0.15">
      <c r="A17" s="130" t="str">
        <f>IFERROR(IF(HLOOKUP($L$4,Unitsets!$K$3:$AP$15,M17,FALSE)=0,"",HLOOKUP($L$4,Unitsets!$K$3:$AP$15,M17,FALSE)),"")</f>
        <v>PRJM6026</v>
      </c>
      <c r="B17" s="139">
        <f>IFERROR(IF(VLOOKUP($A17,TableHandbook[],2,FALSE)=0,"",VLOOKUP($A17,TableHandbook[],2,FALSE)),"")</f>
        <v>1</v>
      </c>
      <c r="C17" s="139" t="str">
        <f>IFERROR(IF(VLOOKUP($A17,TableHandbook[],3,FALSE)=0,"",VLOOKUP($A17,TableHandbook[],3,FALSE)),"")</f>
        <v>PRM630</v>
      </c>
      <c r="D17" s="132" t="str">
        <f>IFERROR(IF(VLOOKUP($A17,TableHandbook[],4,FALSE)=0,"",VLOOKUP($A17,TableHandbook[],4,FALSE)),"")</f>
        <v>Agile Management</v>
      </c>
      <c r="E17" s="131" t="str">
        <f>IF(OR(A17="",A17="-"),"",E16)</f>
        <v>SP1</v>
      </c>
      <c r="F17" s="133" t="str">
        <f>IFERROR(IF(VLOOKUP($A17,TableHandbook[],6,FALSE)=0,"",VLOOKUP($A17,TableHandbook[],6,FALSE)),"")</f>
        <v>None</v>
      </c>
      <c r="G17" s="139">
        <f>IFERROR(IF(VLOOKUP($A17,TableHandbook[],5,FALSE)=0,"",VLOOKUP($A17,TableHandbook[],5,FALSE)),"")</f>
        <v>25</v>
      </c>
      <c r="H17" s="198" t="str">
        <f>IFERROR(VLOOKUP($A17,TableHandbook[],H$2,FALSE),"")</f>
        <v>Y</v>
      </c>
      <c r="I17" s="199" t="str">
        <f>IFERROR(VLOOKUP($A17,TableHandbook[],I$2,FALSE),"")</f>
        <v/>
      </c>
      <c r="J17" s="199" t="str">
        <f>IFERROR(VLOOKUP($A17,TableHandbook[],J$2,FALSE),"")</f>
        <v>Y</v>
      </c>
      <c r="K17" s="200" t="str">
        <f>IFERROR(VLOOKUP($A17,TableHandbook[],K$2,FALSE),"")</f>
        <v/>
      </c>
      <c r="L17" s="100"/>
      <c r="M17" s="164">
        <v>7</v>
      </c>
      <c r="N17" s="140"/>
      <c r="O17" s="140"/>
      <c r="W17" s="30"/>
    </row>
    <row r="18" spans="1:23" s="29" customFormat="1" ht="4.5" customHeight="1" x14ac:dyDescent="0.15">
      <c r="A18" s="158"/>
      <c r="B18" s="159"/>
      <c r="C18" s="159"/>
      <c r="D18" s="159"/>
      <c r="E18" s="159"/>
      <c r="F18" s="160"/>
      <c r="G18" s="159"/>
      <c r="H18" s="189"/>
      <c r="I18" s="190"/>
      <c r="J18" s="190"/>
      <c r="K18" s="191"/>
      <c r="L18" s="162"/>
      <c r="M18" s="164"/>
      <c r="N18" s="129"/>
      <c r="O18" s="129"/>
      <c r="P18" s="129"/>
      <c r="W18" s="28"/>
    </row>
    <row r="19" spans="1:23" s="31" customFormat="1" ht="20.100000000000001" customHeight="1" x14ac:dyDescent="0.15">
      <c r="A19" s="134" t="str">
        <f>IFERROR(IF(HLOOKUP($L$4,Unitsets!$K$3:$AP$15,M19,FALSE)=0,"",HLOOKUP($L$4,Unitsets!$K$3:$AP$15,M19,FALSE)),"")</f>
        <v>PRJM6017</v>
      </c>
      <c r="B19" s="138">
        <f>IFERROR(IF(VLOOKUP($A19,TableHandbook[],2,FALSE)=0,"",VLOOKUP($A19,TableHandbook[],2,FALSE)),"")</f>
        <v>1</v>
      </c>
      <c r="C19" s="138" t="str">
        <f>IFERROR(IF(VLOOKUP($A19,TableHandbook[],3,FALSE)=0,"",VLOOKUP($A19,TableHandbook[],3,FALSE)),"")</f>
        <v>PRM600</v>
      </c>
      <c r="D19" s="136" t="str">
        <f>IFERROR(IF(VLOOKUP($A19,TableHandbook[],4,FALSE)=0,"",VLOOKUP($A19,TableHandbook[],4,FALSE)),"")</f>
        <v>Project Management Integrated Project</v>
      </c>
      <c r="E19" s="135" t="str">
        <f>IF(A19="","",VLOOKUP($D$7,TableStudyPeriod[],5,FALSE))</f>
        <v>SP2</v>
      </c>
      <c r="F19" s="137" t="str">
        <f>IFERROR(IF(VLOOKUP($A19,TableHandbook[],6,FALSE)=0,"",VLOOKUP($A19,TableHandbook[],6,FALSE)),"")</f>
        <v>150CP</v>
      </c>
      <c r="G19" s="138">
        <f>IFERROR(IF(VLOOKUP($A19,TableHandbook[],5,FALSE)=0,"",VLOOKUP($A19,TableHandbook[],5,FALSE)),"")</f>
        <v>50</v>
      </c>
      <c r="H19" s="195" t="str">
        <f>IFERROR(VLOOKUP($A19,TableHandbook[],H$2,FALSE),"")</f>
        <v>Y</v>
      </c>
      <c r="I19" s="196" t="str">
        <f>IFERROR(VLOOKUP($A19,TableHandbook[],I$2,FALSE),"")</f>
        <v>Y</v>
      </c>
      <c r="J19" s="196" t="str">
        <f>IFERROR(VLOOKUP($A19,TableHandbook[],J$2,FALSE),"")</f>
        <v>Y</v>
      </c>
      <c r="K19" s="197" t="str">
        <f>IFERROR(VLOOKUP($A19,TableHandbook[],K$2,FALSE),"")</f>
        <v/>
      </c>
      <c r="L19" s="99"/>
      <c r="M19" s="164">
        <v>8</v>
      </c>
      <c r="N19" s="140"/>
      <c r="O19" s="140"/>
      <c r="W19" s="30"/>
    </row>
    <row r="20" spans="1:23" s="31" customFormat="1" ht="20.100000000000001" customHeight="1" x14ac:dyDescent="0.15">
      <c r="A20" s="124" t="str">
        <f>IFERROR(IF(HLOOKUP($L$4,Unitsets!$K$3:$AP$15,M20,FALSE)=0,"",HLOOKUP($L$4,Unitsets!$K$3:$AP$15,M20,FALSE)),"")</f>
        <v>-</v>
      </c>
      <c r="B20" s="141" t="str">
        <f>IFERROR(IF(VLOOKUP($A20,TableHandbook[],2,FALSE)=0,"",VLOOKUP($A20,TableHandbook[],2,FALSE)),"")</f>
        <v/>
      </c>
      <c r="C20" s="141" t="str">
        <f>IFERROR(IF(VLOOKUP($A20,TableHandbook[],3,FALSE)=0,"",VLOOKUP($A20,TableHandbook[],3,FALSE)),"")</f>
        <v/>
      </c>
      <c r="D20" s="142" t="str">
        <f>IFERROR(IF(VLOOKUP($A20,TableHandbook[],4,FALSE)=0,"",VLOOKUP($A20,TableHandbook[],4,FALSE)),"")</f>
        <v>Please note this is a double (50CP) subject</v>
      </c>
      <c r="E20" s="141" t="str">
        <f>IF(OR(A20="",A20="-"),"",E19)</f>
        <v/>
      </c>
      <c r="F20" s="128" t="str">
        <f>IFERROR(IF(VLOOKUP($A20,TableHandbook[],6,FALSE)=0,"",VLOOKUP($A20,TableHandbook[],6,FALSE)),"")</f>
        <v/>
      </c>
      <c r="G20" s="141" t="str">
        <f>IFERROR(IF(VLOOKUP($A20,TableHandbook[],5,FALSE)=0,"",VLOOKUP($A20,TableHandbook[],5,FALSE)),"")</f>
        <v/>
      </c>
      <c r="H20" s="201" t="str">
        <f>IFERROR(VLOOKUP($A20,TableHandbook[],H$2,FALSE),"")</f>
        <v/>
      </c>
      <c r="I20" s="202" t="str">
        <f>IFERROR(VLOOKUP($A20,TableHandbook[],I$2,FALSE),"")</f>
        <v/>
      </c>
      <c r="J20" s="202" t="str">
        <f>IFERROR(VLOOKUP($A20,TableHandbook[],J$2,FALSE),"")</f>
        <v/>
      </c>
      <c r="K20" s="203" t="str">
        <f>IFERROR(VLOOKUP($A20,TableHandbook[],K$2,FALSE),"")</f>
        <v/>
      </c>
      <c r="L20" s="101"/>
      <c r="M20" s="164">
        <v>9</v>
      </c>
      <c r="N20" s="140"/>
      <c r="O20" s="140"/>
      <c r="W20" s="30"/>
    </row>
    <row r="21" spans="1:23" s="27" customFormat="1" ht="21" x14ac:dyDescent="0.25">
      <c r="A21" s="116" t="s">
        <v>37</v>
      </c>
      <c r="B21" s="116"/>
      <c r="C21" s="123" t="s">
        <v>20</v>
      </c>
      <c r="D21" s="117" t="s">
        <v>3</v>
      </c>
      <c r="E21" s="123" t="s">
        <v>21</v>
      </c>
      <c r="F21" s="116" t="s">
        <v>22</v>
      </c>
      <c r="G21" s="116" t="s">
        <v>35</v>
      </c>
      <c r="H21" s="180" t="str">
        <f>H9</f>
        <v>SP1</v>
      </c>
      <c r="I21" s="181" t="str">
        <f t="shared" ref="I21:K21" si="0">I9</f>
        <v>SP2</v>
      </c>
      <c r="J21" s="181" t="str">
        <f t="shared" si="0"/>
        <v>SP3</v>
      </c>
      <c r="K21" s="182" t="str">
        <f t="shared" si="0"/>
        <v>SP4</v>
      </c>
      <c r="L21" s="116" t="str">
        <f>L9</f>
        <v>Notes / Progress</v>
      </c>
      <c r="M21" s="165"/>
      <c r="N21" s="122"/>
      <c r="O21" s="122"/>
      <c r="W21" s="26"/>
    </row>
    <row r="22" spans="1:23" s="29" customFormat="1" ht="20.100000000000001" customHeight="1" x14ac:dyDescent="0.15">
      <c r="A22" s="143" t="str">
        <f>IFERROR(IF(HLOOKUP($L$4,Unitsets!$K$3:$AP$15,M22,FALSE)=0,"",HLOOKUP($L$4,Unitsets!$K$3:$AP$15,M22,FALSE)),"")</f>
        <v>URDE6007</v>
      </c>
      <c r="B22" s="138">
        <f>IFERROR(IF(VLOOKUP($A22,TableHandbook[],2,FALSE)=0,"",VLOOKUP($A22,TableHandbook[],2,FALSE)),"")</f>
        <v>1</v>
      </c>
      <c r="C22" s="138" t="str">
        <f>IFERROR(IF(VLOOKUP($A22,TableHandbook[],3,FALSE)=0,"",VLOOKUP($A22,TableHandbook[],3,FALSE)),"")</f>
        <v>DBE600</v>
      </c>
      <c r="D22" s="144" t="str">
        <f>IFERROR(IF(VLOOKUP($A22,TableHandbook[],4,FALSE)=0,"",VLOOKUP($A22,TableHandbook[],4,FALSE)),"")</f>
        <v>Design and Built Environment Research Methods</v>
      </c>
      <c r="E22" s="138" t="str">
        <f>IF(A22="","",VLOOKUP($D$7,TableStudyPeriod[],2,FALSE))</f>
        <v>SP3</v>
      </c>
      <c r="F22" s="137" t="str">
        <f>IFERROR(IF(VLOOKUP($A22,TableHandbook[],6,FALSE)=0,"",VLOOKUP($A22,TableHandbook[],6,FALSE)),"")</f>
        <v>None</v>
      </c>
      <c r="G22" s="135">
        <f>IFERROR(IF(VLOOKUP($A22,TableHandbook[],5,FALSE)=0,"",VLOOKUP($A22,TableHandbook[],5,FALSE)),"")</f>
        <v>25</v>
      </c>
      <c r="H22" s="192" t="str">
        <f>IFERROR(VLOOKUP($A22,TableHandbook[],H$2,FALSE),"")</f>
        <v>Y</v>
      </c>
      <c r="I22" s="193" t="str">
        <f>IFERROR(VLOOKUP($A22,TableHandbook[],I$2,FALSE),"")</f>
        <v/>
      </c>
      <c r="J22" s="193" t="str">
        <f>IFERROR(VLOOKUP($A22,TableHandbook[],J$2,FALSE),"")</f>
        <v>Y</v>
      </c>
      <c r="K22" s="194" t="str">
        <f>IFERROR(VLOOKUP($A22,TableHandbook[],K$2,FALSE),"")</f>
        <v/>
      </c>
      <c r="L22" s="249"/>
      <c r="M22" s="164">
        <v>10</v>
      </c>
      <c r="N22" s="129"/>
      <c r="O22" s="129"/>
      <c r="W22" s="28"/>
    </row>
    <row r="23" spans="1:23" s="29" customFormat="1" ht="20.100000000000001" customHeight="1" x14ac:dyDescent="0.15">
      <c r="A23" s="145" t="str">
        <f>IFERROR(IF(HLOOKUP($L$4,Unitsets!$K$3:$AP$15,M23,FALSE)=0,"",HLOOKUP($L$4,Unitsets!$K$3:$AP$15,M23,FALSE)),"")</f>
        <v>Elective</v>
      </c>
      <c r="B23" s="139" t="str">
        <f>IFERROR(IF(VLOOKUP($A23,TableHandbook[],2,FALSE)=0,"",VLOOKUP($A23,TableHandbook[],2,FALSE)),"")</f>
        <v/>
      </c>
      <c r="C23" s="139" t="str">
        <f>IFERROR(IF(VLOOKUP($A23,TableHandbook[],3,FALSE)=0,"",VLOOKUP($A23,TableHandbook[],3,FALSE)),"")</f>
        <v/>
      </c>
      <c r="D23" s="146" t="str">
        <f>IFERROR(IF(VLOOKUP($A23,TableHandbook[],4,FALSE)=0,"",VLOOKUP($A23,TableHandbook[],4,FALSE)),"")</f>
        <v>Study a Postgraduate Level Elective Subject</v>
      </c>
      <c r="E23" s="131" t="str">
        <f>IF(OR(A23="",A23="-"),"",E22)</f>
        <v>SP3</v>
      </c>
      <c r="F23" s="133" t="str">
        <f>IFERROR(IF(VLOOKUP($A23,TableHandbook[],6,FALSE)=0,"",VLOOKUP($A23,TableHandbook[],6,FALSE)),"")</f>
        <v>Check OUA Website</v>
      </c>
      <c r="G23" s="131">
        <f>IFERROR(IF(VLOOKUP($A23,TableHandbook[],5,FALSE)=0,"",VLOOKUP($A23,TableHandbook[],5,FALSE)),"")</f>
        <v>25</v>
      </c>
      <c r="H23" s="186" t="str">
        <f>IFERROR(VLOOKUP($A23,TableHandbook[],H$2,FALSE),"")</f>
        <v/>
      </c>
      <c r="I23" s="187" t="str">
        <f>IFERROR(VLOOKUP($A23,TableHandbook[],I$2,FALSE),"")</f>
        <v/>
      </c>
      <c r="J23" s="187" t="str">
        <f>IFERROR(VLOOKUP($A23,TableHandbook[],J$2,FALSE),"")</f>
        <v/>
      </c>
      <c r="K23" s="188" t="str">
        <f>IFERROR(VLOOKUP($A23,TableHandbook[],K$2,FALSE),"")</f>
        <v/>
      </c>
      <c r="L23" s="250"/>
      <c r="M23" s="164">
        <v>11</v>
      </c>
      <c r="N23" s="129"/>
      <c r="O23" s="129"/>
      <c r="W23" s="28"/>
    </row>
    <row r="24" spans="1:23" s="29" customFormat="1" ht="4.5" customHeight="1" x14ac:dyDescent="0.15">
      <c r="A24" s="163"/>
      <c r="B24" s="159"/>
      <c r="C24" s="159"/>
      <c r="D24" s="159"/>
      <c r="E24" s="159"/>
      <c r="F24" s="160"/>
      <c r="G24" s="159"/>
      <c r="H24" s="189"/>
      <c r="I24" s="190"/>
      <c r="J24" s="190"/>
      <c r="K24" s="191"/>
      <c r="L24" s="161"/>
      <c r="M24" s="164"/>
      <c r="N24" s="129"/>
      <c r="O24" s="129"/>
      <c r="P24" s="129"/>
      <c r="W24" s="28"/>
    </row>
    <row r="25" spans="1:23" s="29" customFormat="1" ht="20.100000000000001" customHeight="1" x14ac:dyDescent="0.15">
      <c r="A25" s="143" t="str">
        <f>IFERROR(IF(HLOOKUP($L$4,Unitsets!$K$3:$AP$15,M25,FALSE)=0,"",HLOOKUP($L$4,Unitsets!$K$3:$AP$15,M25,FALSE)),"")</f>
        <v>PRJM6020</v>
      </c>
      <c r="B25" s="138">
        <f>IFERROR(IF(VLOOKUP($A25,TableHandbook[],2,FALSE)=0,"",VLOOKUP($A25,TableHandbook[],2,FALSE)),"")</f>
        <v>1</v>
      </c>
      <c r="C25" s="138" t="str">
        <f>IFERROR(IF(VLOOKUP($A25,TableHandbook[],3,FALSE)=0,"",VLOOKUP($A25,TableHandbook[],3,FALSE)),"")</f>
        <v>PRM550</v>
      </c>
      <c r="D25" s="147" t="str">
        <f>IFERROR(IF(VLOOKUP($A25,TableHandbook[],4,FALSE)=0,"",VLOOKUP($A25,TableHandbook[],4,FALSE)),"")</f>
        <v>Project Risk Management</v>
      </c>
      <c r="E25" s="138" t="str">
        <f>IF(A25="","",VLOOKUP($D$7,TableStudyPeriod[],3,FALSE))</f>
        <v>SP4</v>
      </c>
      <c r="F25" s="137" t="str">
        <f>IFERROR(IF(VLOOKUP($A25,TableHandbook[],6,FALSE)=0,"",VLOOKUP($A25,TableHandbook[],6,FALSE)),"")</f>
        <v>50CP</v>
      </c>
      <c r="G25" s="135">
        <f>IFERROR(IF(VLOOKUP($A25,TableHandbook[],5,FALSE)=0,"",VLOOKUP($A25,TableHandbook[],5,FALSE)),"")</f>
        <v>25</v>
      </c>
      <c r="H25" s="192" t="str">
        <f>IFERROR(VLOOKUP($A25,TableHandbook[],H$2,FALSE),"")</f>
        <v/>
      </c>
      <c r="I25" s="193" t="str">
        <f>IFERROR(VLOOKUP($A25,TableHandbook[],I$2,FALSE),"")</f>
        <v>Y</v>
      </c>
      <c r="J25" s="193" t="str">
        <f>IFERROR(VLOOKUP($A25,TableHandbook[],J$2,FALSE),"")</f>
        <v/>
      </c>
      <c r="K25" s="194" t="str">
        <f>IFERROR(VLOOKUP($A25,TableHandbook[],K$2,FALSE),"")</f>
        <v>Y</v>
      </c>
      <c r="L25" s="249"/>
      <c r="M25" s="164">
        <v>12</v>
      </c>
      <c r="N25" s="129"/>
      <c r="O25" s="129"/>
      <c r="W25" s="28"/>
    </row>
    <row r="26" spans="1:23" s="29" customFormat="1" ht="20.25" customHeight="1" x14ac:dyDescent="0.15">
      <c r="A26" s="145" t="str">
        <f>IFERROR(IF(HLOOKUP($L$4,Unitsets!$K$3:$AP$15,M26,FALSE)=0,"",HLOOKUP($L$4,Unitsets!$K$3:$AP$15,M26,FALSE)),"")</f>
        <v>PRJM6014</v>
      </c>
      <c r="B26" s="139">
        <f>IFERROR(IF(VLOOKUP($A26,TableHandbook[],2,FALSE)=0,"",VLOOKUP($A26,TableHandbook[],2,FALSE)),"")</f>
        <v>1</v>
      </c>
      <c r="C26" s="139" t="str">
        <f>IFERROR(IF(VLOOKUP($A26,TableHandbook[],3,FALSE)=0,"",VLOOKUP($A26,TableHandbook[],3,FALSE)),"")</f>
        <v>PRM560</v>
      </c>
      <c r="D26" s="146" t="str">
        <f>IFERROR(IF(VLOOKUP($A26,TableHandbook[],4,FALSE)=0,"",VLOOKUP($A26,TableHandbook[],4,FALSE)),"")</f>
        <v>Program and Portfolio Management</v>
      </c>
      <c r="E26" s="131" t="str">
        <f>IF(OR(A26="",A26="-"),"",E25)</f>
        <v>SP4</v>
      </c>
      <c r="F26" s="133" t="str">
        <f>IFERROR(IF(VLOOKUP($A26,TableHandbook[],6,FALSE)=0,"",VLOOKUP($A26,TableHandbook[],6,FALSE)),"")</f>
        <v>50CP</v>
      </c>
      <c r="G26" s="131">
        <f>IFERROR(IF(VLOOKUP($A26,TableHandbook[],5,FALSE)=0,"",VLOOKUP($A26,TableHandbook[],5,FALSE)),"")</f>
        <v>25</v>
      </c>
      <c r="H26" s="186" t="str">
        <f>IFERROR(VLOOKUP($A26,TableHandbook[],H$2,FALSE),"")</f>
        <v/>
      </c>
      <c r="I26" s="187" t="str">
        <f>IFERROR(VLOOKUP($A26,TableHandbook[],I$2,FALSE),"")</f>
        <v>Y</v>
      </c>
      <c r="J26" s="187" t="str">
        <f>IFERROR(VLOOKUP($A26,TableHandbook[],J$2,FALSE),"")</f>
        <v/>
      </c>
      <c r="K26" s="188" t="str">
        <f>IFERROR(VLOOKUP($A26,TableHandbook[],K$2,FALSE),"")</f>
        <v>Y</v>
      </c>
      <c r="L26" s="250"/>
      <c r="M26" s="164">
        <v>13</v>
      </c>
      <c r="N26" s="129"/>
      <c r="O26" s="129"/>
      <c r="W26" s="28"/>
    </row>
    <row r="28" spans="1:23" s="25" customFormat="1" ht="32.25" customHeight="1" x14ac:dyDescent="0.25">
      <c r="A28" s="252" t="s">
        <v>29</v>
      </c>
      <c r="B28" s="252"/>
      <c r="C28" s="252"/>
      <c r="D28" s="252"/>
      <c r="E28" s="252"/>
      <c r="F28" s="252"/>
      <c r="G28" s="252"/>
      <c r="H28" s="252"/>
      <c r="I28" s="252"/>
      <c r="J28" s="252"/>
      <c r="K28" s="252"/>
      <c r="L28" s="252"/>
      <c r="M28" s="23"/>
      <c r="N28" s="23"/>
      <c r="O28" s="23"/>
      <c r="P28" s="23"/>
      <c r="Q28" s="23"/>
      <c r="R28" s="23"/>
      <c r="S28" s="23"/>
      <c r="T28" s="23"/>
      <c r="U28" s="23"/>
      <c r="V28" s="23"/>
    </row>
    <row r="29" spans="1:23" s="33" customFormat="1" ht="24.75" customHeight="1" x14ac:dyDescent="0.3">
      <c r="A29" s="95" t="s">
        <v>30</v>
      </c>
      <c r="B29" s="95"/>
      <c r="C29" s="95"/>
      <c r="D29" s="96"/>
      <c r="E29" s="96"/>
      <c r="F29" s="96"/>
      <c r="G29" s="96"/>
      <c r="H29" s="96"/>
      <c r="I29" s="96"/>
      <c r="J29" s="96"/>
      <c r="K29" s="96"/>
      <c r="L29" s="96"/>
      <c r="M29" s="149"/>
      <c r="N29" s="149"/>
      <c r="O29" s="149"/>
      <c r="W29" s="32"/>
    </row>
    <row r="30" spans="1:23" s="25" customFormat="1" ht="15" customHeight="1" x14ac:dyDescent="0.25">
      <c r="A30" s="150" t="s">
        <v>31</v>
      </c>
      <c r="B30" s="150"/>
      <c r="C30" s="150"/>
      <c r="D30" s="150"/>
      <c r="E30" s="151"/>
      <c r="F30" s="148"/>
      <c r="G30" s="152"/>
      <c r="H30" s="152"/>
      <c r="I30" s="152"/>
      <c r="J30" s="152"/>
      <c r="K30" s="152"/>
      <c r="L30" s="152" t="s">
        <v>32</v>
      </c>
      <c r="M30" s="23"/>
      <c r="N30" s="23"/>
      <c r="O30" s="23"/>
      <c r="P30" s="23"/>
      <c r="Q30" s="23"/>
      <c r="R30" s="23"/>
      <c r="S30" s="23"/>
      <c r="T30" s="23"/>
      <c r="U30" s="23"/>
      <c r="V30" s="23"/>
    </row>
  </sheetData>
  <sheetProtection formatCells="0"/>
  <mergeCells count="2">
    <mergeCell ref="A3:D3"/>
    <mergeCell ref="A28:L28"/>
  </mergeCells>
  <conditionalFormatting sqref="A10:L26">
    <cfRule type="expression" dxfId="19" priority="2">
      <formula>$A10=""</formula>
    </cfRule>
  </conditionalFormatting>
  <conditionalFormatting sqref="D5:D7">
    <cfRule type="containsText" dxfId="18" priority="5" operator="containsText" text="Choose">
      <formula>NOT(ISERROR(SEARCH("Choose",D5)))</formula>
    </cfRule>
  </conditionalFormatting>
  <conditionalFormatting sqref="H10:K26">
    <cfRule type="expression" dxfId="17" priority="1">
      <formula>$E10=H$9</formula>
    </cfRule>
  </conditionalFormatting>
  <dataValidations count="1">
    <dataValidation type="list" allowBlank="1" showInputMessage="1" showErrorMessage="1" sqref="L15 L12 L18 L24" xr:uid="{00000000-0002-0000-0200-000000000000}"/>
  </dataValidations>
  <hyperlinks>
    <hyperlink ref="A29:L29" r:id="rId1" display="If you have any queries about your course, please contact Curtin Connect." xr:uid="{00000000-0004-0000-0200-000000000000}"/>
  </hyperlinks>
  <printOptions horizontalCentered="1"/>
  <pageMargins left="0.31496062992125984" right="0.31496062992125984" top="0.39370078740157483" bottom="0.39370078740157483" header="0.19685039370078741" footer="0.19685039370078741"/>
  <pageSetup paperSize="9" scale="85" orientation="landscape"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Unitsets!$A$12:$A$16</xm:f>
          </x14:formula1>
          <xm:sqref>D7</xm:sqref>
        </x14:dataValidation>
        <x14:dataValidation type="list" showInputMessage="1" showErrorMessage="1" xr:uid="{5B88F528-4B67-4FED-A635-BEDFAAD86BA0}">
          <x14:formula1>
            <xm:f>Unitsets!$A$19:$A$21</xm:f>
          </x14:formula1>
          <xm:sqref>D6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51"/>
  <sheetViews>
    <sheetView zoomScale="85" zoomScaleNormal="85" workbookViewId="0">
      <selection activeCell="L9" sqref="L9"/>
    </sheetView>
  </sheetViews>
  <sheetFormatPr defaultRowHeight="15.75" x14ac:dyDescent="0.25"/>
  <cols>
    <col min="1" max="1" width="65.875" style="10" bestFit="1" customWidth="1"/>
    <col min="2" max="2" width="22.25" style="8" bestFit="1" customWidth="1"/>
    <col min="3" max="3" width="12.75" style="8" bestFit="1" customWidth="1"/>
    <col min="4" max="4" width="17.375" style="8" bestFit="1" customWidth="1"/>
    <col min="5" max="5" width="14.875" style="8" bestFit="1" customWidth="1"/>
    <col min="6" max="6" width="19.125" style="8" bestFit="1" customWidth="1"/>
    <col min="7" max="7" width="19.875" style="8" bestFit="1" customWidth="1"/>
    <col min="8" max="8" width="16.625" style="8" bestFit="1" customWidth="1"/>
    <col min="9" max="9" width="12.625" style="8" bestFit="1" customWidth="1"/>
    <col min="10" max="10" width="3.625" customWidth="1"/>
    <col min="11" max="11" width="5" bestFit="1" customWidth="1"/>
    <col min="12" max="12" width="12.875" bestFit="1" customWidth="1"/>
    <col min="13" max="13" width="5" customWidth="1"/>
    <col min="14" max="14" width="13.25" bestFit="1" customWidth="1"/>
    <col min="15" max="15" width="5" customWidth="1"/>
    <col min="16" max="16" width="13.25" bestFit="1" customWidth="1"/>
    <col min="17" max="17" width="5" customWidth="1"/>
    <col min="18" max="18" width="13.25" bestFit="1" customWidth="1"/>
    <col min="19" max="19" width="5" customWidth="1"/>
    <col min="20" max="20" width="12.875" bestFit="1" customWidth="1"/>
    <col min="21" max="21" width="5" customWidth="1"/>
    <col min="22" max="22" width="13.25" bestFit="1" customWidth="1"/>
    <col min="23" max="23" width="5" customWidth="1"/>
    <col min="24" max="24" width="13.25" bestFit="1" customWidth="1"/>
    <col min="25" max="25" width="5" customWidth="1"/>
    <col min="26" max="26" width="13.25" bestFit="1" customWidth="1"/>
    <col min="27" max="27" width="5.25" bestFit="1" customWidth="1"/>
    <col min="28" max="28" width="14.625" bestFit="1" customWidth="1"/>
    <col min="29" max="29" width="5.25" bestFit="1" customWidth="1"/>
    <col min="30" max="30" width="15" bestFit="1" customWidth="1"/>
    <col min="31" max="31" width="5.25" bestFit="1" customWidth="1"/>
    <col min="32" max="32" width="15" bestFit="1" customWidth="1"/>
    <col min="33" max="33" width="5.25" bestFit="1" customWidth="1"/>
    <col min="34" max="34" width="15" bestFit="1" customWidth="1"/>
    <col min="35" max="35" width="5.25" bestFit="1" customWidth="1"/>
    <col min="36" max="36" width="14.875" bestFit="1" customWidth="1"/>
    <col min="37" max="37" width="5.25" bestFit="1" customWidth="1"/>
    <col min="38" max="38" width="15.125" bestFit="1" customWidth="1"/>
    <col min="39" max="39" width="5.25" bestFit="1" customWidth="1"/>
    <col min="40" max="40" width="15.125" bestFit="1" customWidth="1"/>
    <col min="41" max="41" width="5.25" bestFit="1" customWidth="1"/>
    <col min="42" max="42" width="15.125" bestFit="1" customWidth="1"/>
    <col min="43" max="43" width="6.625" customWidth="1"/>
  </cols>
  <sheetData>
    <row r="1" spans="1:43" x14ac:dyDescent="0.25">
      <c r="A1" s="12" t="s">
        <v>38</v>
      </c>
      <c r="B1" s="13"/>
      <c r="C1" s="13"/>
      <c r="D1" s="13"/>
    </row>
    <row r="2" spans="1:43" x14ac:dyDescent="0.25">
      <c r="K2" s="78" t="s">
        <v>12</v>
      </c>
      <c r="L2" s="79"/>
      <c r="M2" s="80"/>
      <c r="N2" s="79"/>
      <c r="O2" s="79"/>
      <c r="P2" s="79"/>
      <c r="Q2" s="79"/>
      <c r="R2" s="81"/>
      <c r="S2" s="78" t="s">
        <v>33</v>
      </c>
      <c r="T2" s="79"/>
      <c r="U2" s="80"/>
      <c r="V2" s="79"/>
      <c r="W2" s="79"/>
      <c r="X2" s="79"/>
      <c r="Y2" s="79"/>
      <c r="Z2" s="81"/>
      <c r="AA2" s="78" t="s">
        <v>39</v>
      </c>
      <c r="AB2" s="79"/>
      <c r="AC2" s="80"/>
      <c r="AD2" s="79"/>
      <c r="AE2" s="79"/>
      <c r="AF2" s="79"/>
      <c r="AG2" s="79"/>
      <c r="AH2" s="81"/>
      <c r="AI2" s="78" t="s">
        <v>40</v>
      </c>
      <c r="AJ2" s="79"/>
      <c r="AK2" s="80"/>
      <c r="AL2" s="79"/>
      <c r="AM2" s="79"/>
      <c r="AN2" s="79"/>
      <c r="AO2" s="79"/>
      <c r="AP2" s="81"/>
      <c r="AQ2" s="9"/>
    </row>
    <row r="3" spans="1:43" x14ac:dyDescent="0.25">
      <c r="I3" s="64" t="s">
        <v>41</v>
      </c>
      <c r="J3" s="2">
        <v>1</v>
      </c>
      <c r="K3" s="42"/>
      <c r="L3" s="60" t="s">
        <v>42</v>
      </c>
      <c r="M3" s="41"/>
      <c r="N3" s="60" t="s">
        <v>43</v>
      </c>
      <c r="O3" s="42"/>
      <c r="P3" s="60" t="s">
        <v>44</v>
      </c>
      <c r="Q3" s="41"/>
      <c r="R3" s="60" t="s">
        <v>45</v>
      </c>
      <c r="S3" s="42"/>
      <c r="T3" s="50" t="s">
        <v>46</v>
      </c>
      <c r="U3" s="42"/>
      <c r="V3" s="50" t="s">
        <v>47</v>
      </c>
      <c r="W3" s="42"/>
      <c r="X3" s="50" t="s">
        <v>48</v>
      </c>
      <c r="Y3" s="42"/>
      <c r="Z3" s="50" t="s">
        <v>49</v>
      </c>
      <c r="AA3" s="61"/>
      <c r="AB3" s="82" t="s">
        <v>221</v>
      </c>
      <c r="AC3" s="83"/>
      <c r="AD3" s="84" t="s">
        <v>222</v>
      </c>
      <c r="AE3" s="85"/>
      <c r="AF3" s="86" t="s">
        <v>223</v>
      </c>
      <c r="AG3" s="87"/>
      <c r="AH3" s="88" t="s">
        <v>224</v>
      </c>
      <c r="AI3" s="89"/>
      <c r="AJ3" s="82" t="s">
        <v>225</v>
      </c>
      <c r="AK3" s="83"/>
      <c r="AL3" s="84" t="s">
        <v>226</v>
      </c>
      <c r="AM3" s="85"/>
      <c r="AN3" s="86" t="s">
        <v>227</v>
      </c>
      <c r="AO3" s="87"/>
      <c r="AP3" s="88" t="s">
        <v>228</v>
      </c>
      <c r="AQ3" s="35"/>
    </row>
    <row r="4" spans="1:43" x14ac:dyDescent="0.25">
      <c r="J4" s="15">
        <v>2</v>
      </c>
      <c r="K4" s="43" t="s">
        <v>50</v>
      </c>
      <c r="L4" s="102" t="s">
        <v>67</v>
      </c>
      <c r="M4" s="43" t="s">
        <v>52</v>
      </c>
      <c r="N4" s="102" t="s">
        <v>53</v>
      </c>
      <c r="O4" s="43" t="s">
        <v>54</v>
      </c>
      <c r="P4" s="222" t="str">
        <f>L4</f>
        <v>PRJM6013</v>
      </c>
      <c r="Q4" s="43" t="s">
        <v>55</v>
      </c>
      <c r="R4" s="222" t="str">
        <f>N4</f>
        <v>PRJM6015</v>
      </c>
      <c r="S4" s="43" t="s">
        <v>50</v>
      </c>
      <c r="T4" s="44" t="s">
        <v>67</v>
      </c>
      <c r="U4" s="43" t="s">
        <v>52</v>
      </c>
      <c r="V4" s="44" t="s">
        <v>53</v>
      </c>
      <c r="W4" s="43" t="s">
        <v>54</v>
      </c>
      <c r="X4" s="222" t="str">
        <f>T4</f>
        <v>PRJM6013</v>
      </c>
      <c r="Y4" s="43" t="s">
        <v>55</v>
      </c>
      <c r="Z4" s="223" t="str">
        <f>V4</f>
        <v>PRJM6015</v>
      </c>
      <c r="AA4" s="44" t="s">
        <v>50</v>
      </c>
      <c r="AB4" s="102" t="s">
        <v>67</v>
      </c>
      <c r="AC4" s="65" t="s">
        <v>52</v>
      </c>
      <c r="AD4" s="102" t="s">
        <v>53</v>
      </c>
      <c r="AE4" s="65" t="s">
        <v>54</v>
      </c>
      <c r="AF4" s="102" t="s">
        <v>67</v>
      </c>
      <c r="AG4" s="43" t="s">
        <v>55</v>
      </c>
      <c r="AH4" s="54" t="s">
        <v>53</v>
      </c>
      <c r="AI4" s="102" t="s">
        <v>50</v>
      </c>
      <c r="AJ4" s="102" t="s">
        <v>67</v>
      </c>
      <c r="AK4" s="65" t="s">
        <v>52</v>
      </c>
      <c r="AL4" s="102" t="s">
        <v>53</v>
      </c>
      <c r="AM4" s="65" t="s">
        <v>54</v>
      </c>
      <c r="AN4" s="102" t="s">
        <v>67</v>
      </c>
      <c r="AO4" s="43" t="s">
        <v>55</v>
      </c>
      <c r="AP4" s="54" t="s">
        <v>53</v>
      </c>
      <c r="AQ4" s="2"/>
    </row>
    <row r="5" spans="1:43" x14ac:dyDescent="0.25">
      <c r="A5" s="77" t="s">
        <v>57</v>
      </c>
      <c r="J5" s="15">
        <v>3</v>
      </c>
      <c r="K5" s="45" t="s">
        <v>50</v>
      </c>
      <c r="L5" s="2" t="s">
        <v>70</v>
      </c>
      <c r="M5" s="45" t="s">
        <v>52</v>
      </c>
      <c r="N5" s="2" t="s">
        <v>59</v>
      </c>
      <c r="O5" s="45" t="s">
        <v>54</v>
      </c>
      <c r="P5" s="209" t="str">
        <f t="shared" ref="P5:R7" si="0">L5</f>
        <v>PRJM6016</v>
      </c>
      <c r="Q5" s="45" t="s">
        <v>55</v>
      </c>
      <c r="R5" s="209" t="str">
        <f t="shared" si="0"/>
        <v>PRJM6021</v>
      </c>
      <c r="S5" s="45" t="s">
        <v>50</v>
      </c>
      <c r="T5" s="2" t="s">
        <v>70</v>
      </c>
      <c r="U5" s="45" t="s">
        <v>52</v>
      </c>
      <c r="V5" s="2" t="s">
        <v>59</v>
      </c>
      <c r="W5" s="45" t="s">
        <v>54</v>
      </c>
      <c r="X5" s="209" t="str">
        <f t="shared" ref="X5:Z11" si="1">T5</f>
        <v>PRJM6016</v>
      </c>
      <c r="Y5" s="45" t="s">
        <v>55</v>
      </c>
      <c r="Z5" s="224" t="str">
        <f t="shared" si="1"/>
        <v>PRJM6021</v>
      </c>
      <c r="AA5" s="3" t="s">
        <v>50</v>
      </c>
      <c r="AB5" s="2" t="s">
        <v>70</v>
      </c>
      <c r="AC5" s="67" t="s">
        <v>52</v>
      </c>
      <c r="AD5" s="2" t="s">
        <v>59</v>
      </c>
      <c r="AE5" s="67" t="s">
        <v>54</v>
      </c>
      <c r="AF5" s="2" t="s">
        <v>70</v>
      </c>
      <c r="AG5" s="45" t="s">
        <v>55</v>
      </c>
      <c r="AH5" s="46" t="s">
        <v>59</v>
      </c>
      <c r="AI5" s="2" t="s">
        <v>50</v>
      </c>
      <c r="AJ5" s="2" t="s">
        <v>70</v>
      </c>
      <c r="AK5" s="67" t="s">
        <v>52</v>
      </c>
      <c r="AL5" s="2" t="s">
        <v>59</v>
      </c>
      <c r="AM5" s="67" t="s">
        <v>54</v>
      </c>
      <c r="AN5" s="2" t="s">
        <v>70</v>
      </c>
      <c r="AO5" s="45" t="s">
        <v>55</v>
      </c>
      <c r="AP5" s="46" t="s">
        <v>59</v>
      </c>
      <c r="AQ5" s="2"/>
    </row>
    <row r="6" spans="1:43" x14ac:dyDescent="0.25">
      <c r="A6" s="8" t="s">
        <v>61</v>
      </c>
      <c r="B6" s="10" t="s">
        <v>0</v>
      </c>
      <c r="C6" s="8" t="s">
        <v>62</v>
      </c>
      <c r="D6" s="8" t="s">
        <v>63</v>
      </c>
      <c r="E6" s="8" t="s">
        <v>64</v>
      </c>
      <c r="F6" s="8" t="s">
        <v>65</v>
      </c>
      <c r="G6" s="8" t="s">
        <v>23</v>
      </c>
      <c r="H6" s="8" t="s">
        <v>66</v>
      </c>
      <c r="J6" s="15">
        <v>4</v>
      </c>
      <c r="K6" s="45" t="s">
        <v>52</v>
      </c>
      <c r="L6" s="2" t="s">
        <v>53</v>
      </c>
      <c r="M6" s="45" t="s">
        <v>54</v>
      </c>
      <c r="N6" s="2" t="s">
        <v>67</v>
      </c>
      <c r="O6" s="45" t="s">
        <v>55</v>
      </c>
      <c r="P6" s="209" t="str">
        <f t="shared" si="0"/>
        <v>PRJM6015</v>
      </c>
      <c r="Q6" s="45" t="s">
        <v>50</v>
      </c>
      <c r="R6" s="209" t="str">
        <f t="shared" si="0"/>
        <v>PRJM6013</v>
      </c>
      <c r="S6" s="45" t="s">
        <v>52</v>
      </c>
      <c r="T6" s="2" t="s">
        <v>53</v>
      </c>
      <c r="U6" s="45" t="s">
        <v>54</v>
      </c>
      <c r="V6" s="2" t="s">
        <v>67</v>
      </c>
      <c r="W6" s="45" t="s">
        <v>55</v>
      </c>
      <c r="X6" s="209" t="str">
        <f t="shared" si="1"/>
        <v>PRJM6015</v>
      </c>
      <c r="Y6" s="45" t="s">
        <v>50</v>
      </c>
      <c r="Z6" s="224" t="str">
        <f t="shared" si="1"/>
        <v>PRJM6013</v>
      </c>
      <c r="AA6" s="3" t="s">
        <v>52</v>
      </c>
      <c r="AB6" s="2" t="s">
        <v>53</v>
      </c>
      <c r="AC6" s="67" t="s">
        <v>54</v>
      </c>
      <c r="AD6" s="2" t="s">
        <v>67</v>
      </c>
      <c r="AE6" s="67" t="s">
        <v>55</v>
      </c>
      <c r="AF6" s="2" t="s">
        <v>53</v>
      </c>
      <c r="AG6" s="45" t="s">
        <v>50</v>
      </c>
      <c r="AH6" s="46" t="s">
        <v>67</v>
      </c>
      <c r="AI6" s="2" t="s">
        <v>52</v>
      </c>
      <c r="AJ6" s="2" t="s">
        <v>53</v>
      </c>
      <c r="AK6" s="67" t="s">
        <v>54</v>
      </c>
      <c r="AL6" s="2" t="s">
        <v>67</v>
      </c>
      <c r="AM6" s="67" t="s">
        <v>55</v>
      </c>
      <c r="AN6" s="2" t="s">
        <v>53</v>
      </c>
      <c r="AO6" s="45" t="s">
        <v>50</v>
      </c>
      <c r="AP6" s="46" t="s">
        <v>67</v>
      </c>
      <c r="AQ6" s="2"/>
    </row>
    <row r="7" spans="1:43" x14ac:dyDescent="0.25">
      <c r="A7" s="39" t="s">
        <v>204</v>
      </c>
      <c r="B7" s="236" t="s">
        <v>128</v>
      </c>
      <c r="C7" s="236" t="s">
        <v>83</v>
      </c>
      <c r="D7" s="235">
        <v>42917</v>
      </c>
      <c r="E7" s="234">
        <v>3</v>
      </c>
      <c r="F7" s="235">
        <v>44562</v>
      </c>
      <c r="G7" s="40" t="s">
        <v>68</v>
      </c>
      <c r="H7" s="237" t="s">
        <v>69</v>
      </c>
      <c r="J7" s="15">
        <v>5</v>
      </c>
      <c r="K7" s="45" t="s">
        <v>52</v>
      </c>
      <c r="L7" s="2" t="s">
        <v>59</v>
      </c>
      <c r="M7" s="47" t="s">
        <v>54</v>
      </c>
      <c r="N7" s="48" t="s">
        <v>70</v>
      </c>
      <c r="O7" s="47" t="s">
        <v>55</v>
      </c>
      <c r="P7" s="210" t="str">
        <f t="shared" si="0"/>
        <v>PRJM6021</v>
      </c>
      <c r="Q7" s="47" t="s">
        <v>50</v>
      </c>
      <c r="R7" s="210" t="str">
        <f t="shared" si="0"/>
        <v>PRJM6016</v>
      </c>
      <c r="S7" s="45" t="s">
        <v>52</v>
      </c>
      <c r="T7" s="2" t="s">
        <v>59</v>
      </c>
      <c r="U7" s="45" t="s">
        <v>54</v>
      </c>
      <c r="V7" s="2" t="s">
        <v>70</v>
      </c>
      <c r="W7" s="45" t="s">
        <v>55</v>
      </c>
      <c r="X7" s="209" t="str">
        <f t="shared" si="1"/>
        <v>PRJM6021</v>
      </c>
      <c r="Y7" s="45" t="s">
        <v>50</v>
      </c>
      <c r="Z7" s="224" t="str">
        <f t="shared" si="1"/>
        <v>PRJM6016</v>
      </c>
      <c r="AA7" s="3" t="s">
        <v>52</v>
      </c>
      <c r="AB7" s="2" t="s">
        <v>59</v>
      </c>
      <c r="AC7" s="67" t="s">
        <v>54</v>
      </c>
      <c r="AD7" s="2" t="s">
        <v>70</v>
      </c>
      <c r="AE7" s="67" t="s">
        <v>55</v>
      </c>
      <c r="AF7" s="2" t="s">
        <v>59</v>
      </c>
      <c r="AG7" s="45" t="s">
        <v>50</v>
      </c>
      <c r="AH7" s="46" t="s">
        <v>70</v>
      </c>
      <c r="AI7" s="2" t="s">
        <v>52</v>
      </c>
      <c r="AJ7" s="2" t="s">
        <v>59</v>
      </c>
      <c r="AK7" s="67" t="s">
        <v>54</v>
      </c>
      <c r="AL7" s="2" t="s">
        <v>70</v>
      </c>
      <c r="AM7" s="67" t="s">
        <v>55</v>
      </c>
      <c r="AN7" s="2" t="s">
        <v>59</v>
      </c>
      <c r="AO7" s="45" t="s">
        <v>50</v>
      </c>
      <c r="AP7" s="46" t="s">
        <v>70</v>
      </c>
      <c r="AQ7" s="2"/>
    </row>
    <row r="8" spans="1:43" x14ac:dyDescent="0.25">
      <c r="A8" s="39" t="s">
        <v>33</v>
      </c>
      <c r="B8" s="236" t="s">
        <v>74</v>
      </c>
      <c r="C8" s="236" t="s">
        <v>75</v>
      </c>
      <c r="D8" s="235">
        <v>44562</v>
      </c>
      <c r="E8" s="236">
        <v>4</v>
      </c>
      <c r="F8" s="235">
        <v>44562</v>
      </c>
      <c r="G8" s="40" t="s">
        <v>76</v>
      </c>
      <c r="H8" s="237" t="s">
        <v>69</v>
      </c>
      <c r="J8" s="15">
        <v>6</v>
      </c>
      <c r="K8" s="56"/>
      <c r="L8" s="211"/>
      <c r="M8" s="2"/>
      <c r="N8" s="212"/>
      <c r="O8" s="2"/>
      <c r="P8" s="2"/>
      <c r="Q8" s="2"/>
      <c r="R8" s="2"/>
      <c r="S8" s="45" t="s">
        <v>54</v>
      </c>
      <c r="T8" s="2" t="s">
        <v>114</v>
      </c>
      <c r="U8" s="45" t="s">
        <v>55</v>
      </c>
      <c r="V8" s="2" t="s">
        <v>115</v>
      </c>
      <c r="W8" s="45" t="s">
        <v>50</v>
      </c>
      <c r="X8" s="209" t="str">
        <f>T8</f>
        <v>PRJM6018</v>
      </c>
      <c r="Y8" s="45" t="s">
        <v>52</v>
      </c>
      <c r="Z8" s="224" t="str">
        <f>V8</f>
        <v>PRJM6014</v>
      </c>
      <c r="AA8" s="3" t="s">
        <v>54</v>
      </c>
      <c r="AB8" s="2" t="s">
        <v>114</v>
      </c>
      <c r="AC8" s="67" t="s">
        <v>55</v>
      </c>
      <c r="AD8" s="2" t="s">
        <v>116</v>
      </c>
      <c r="AE8" s="67" t="s">
        <v>50</v>
      </c>
      <c r="AF8" s="2" t="s">
        <v>114</v>
      </c>
      <c r="AG8" s="45" t="s">
        <v>52</v>
      </c>
      <c r="AH8" s="226" t="s">
        <v>117</v>
      </c>
      <c r="AI8" s="2" t="s">
        <v>54</v>
      </c>
      <c r="AJ8" s="2" t="s">
        <v>114</v>
      </c>
      <c r="AK8" s="67" t="s">
        <v>55</v>
      </c>
      <c r="AL8" s="2" t="s">
        <v>116</v>
      </c>
      <c r="AM8" s="67" t="s">
        <v>50</v>
      </c>
      <c r="AN8" s="2" t="s">
        <v>114</v>
      </c>
      <c r="AO8" s="45" t="s">
        <v>52</v>
      </c>
      <c r="AP8" s="226" t="s">
        <v>117</v>
      </c>
      <c r="AQ8" s="2"/>
    </row>
    <row r="9" spans="1:43" x14ac:dyDescent="0.25">
      <c r="A9" s="39" t="s">
        <v>12</v>
      </c>
      <c r="B9" s="236" t="s">
        <v>82</v>
      </c>
      <c r="C9" s="236" t="s">
        <v>83</v>
      </c>
      <c r="D9" s="235">
        <v>42917</v>
      </c>
      <c r="E9" s="236">
        <v>3</v>
      </c>
      <c r="F9" s="235">
        <v>44652</v>
      </c>
      <c r="G9" s="40" t="s">
        <v>84</v>
      </c>
      <c r="H9" s="237" t="s">
        <v>69</v>
      </c>
      <c r="J9" s="15">
        <v>7</v>
      </c>
      <c r="K9" s="45"/>
      <c r="L9" s="212"/>
      <c r="M9" s="2"/>
      <c r="N9" s="212"/>
      <c r="O9" s="2"/>
      <c r="P9" s="2"/>
      <c r="Q9" s="2"/>
      <c r="R9" s="2"/>
      <c r="S9" s="45" t="s">
        <v>54</v>
      </c>
      <c r="T9" s="2" t="s">
        <v>104</v>
      </c>
      <c r="U9" s="45" t="s">
        <v>55</v>
      </c>
      <c r="V9" s="2" t="s">
        <v>116</v>
      </c>
      <c r="W9" s="45" t="s">
        <v>50</v>
      </c>
      <c r="X9" s="209" t="str">
        <f t="shared" si="1"/>
        <v>AltCore</v>
      </c>
      <c r="Y9" s="45" t="s">
        <v>52</v>
      </c>
      <c r="Z9" s="224" t="str">
        <f t="shared" si="1"/>
        <v>PRJM6020</v>
      </c>
      <c r="AA9" s="3" t="s">
        <v>54</v>
      </c>
      <c r="AB9" s="103" t="s">
        <v>119</v>
      </c>
      <c r="AC9" s="67" t="s">
        <v>55</v>
      </c>
      <c r="AD9" s="2" t="s">
        <v>115</v>
      </c>
      <c r="AE9" s="67" t="s">
        <v>50</v>
      </c>
      <c r="AF9" s="103" t="s">
        <v>119</v>
      </c>
      <c r="AG9" s="45" t="s">
        <v>52</v>
      </c>
      <c r="AH9" s="173" t="s">
        <v>80</v>
      </c>
      <c r="AI9" s="2" t="s">
        <v>54</v>
      </c>
      <c r="AJ9" s="103" t="s">
        <v>81</v>
      </c>
      <c r="AK9" s="67" t="s">
        <v>55</v>
      </c>
      <c r="AL9" s="2" t="s">
        <v>115</v>
      </c>
      <c r="AM9" s="67" t="s">
        <v>50</v>
      </c>
      <c r="AN9" s="103" t="s">
        <v>81</v>
      </c>
      <c r="AO9" s="45" t="s">
        <v>52</v>
      </c>
      <c r="AP9" s="173" t="s">
        <v>80</v>
      </c>
      <c r="AQ9" s="2"/>
    </row>
    <row r="10" spans="1:43" x14ac:dyDescent="0.25">
      <c r="J10" s="15">
        <v>8</v>
      </c>
      <c r="K10" s="45"/>
      <c r="L10" s="212"/>
      <c r="M10" s="2"/>
      <c r="N10" s="212"/>
      <c r="O10" s="57"/>
      <c r="P10" s="57"/>
      <c r="Q10" s="57"/>
      <c r="R10" s="57"/>
      <c r="S10" s="45" t="s">
        <v>55</v>
      </c>
      <c r="T10" s="2" t="s">
        <v>115</v>
      </c>
      <c r="U10" s="45" t="s">
        <v>50</v>
      </c>
      <c r="V10" s="2" t="s">
        <v>114</v>
      </c>
      <c r="W10" s="45" t="s">
        <v>52</v>
      </c>
      <c r="X10" s="209" t="str">
        <f t="shared" si="1"/>
        <v>PRJM6014</v>
      </c>
      <c r="Y10" s="45" t="s">
        <v>54</v>
      </c>
      <c r="Z10" s="224" t="str">
        <f t="shared" si="1"/>
        <v>PRJM6018</v>
      </c>
      <c r="AA10" s="3" t="s">
        <v>55</v>
      </c>
      <c r="AB10" s="2" t="s">
        <v>116</v>
      </c>
      <c r="AC10" s="67" t="s">
        <v>50</v>
      </c>
      <c r="AD10" s="2" t="s">
        <v>114</v>
      </c>
      <c r="AE10" s="67" t="s">
        <v>52</v>
      </c>
      <c r="AF10" s="170" t="s">
        <v>117</v>
      </c>
      <c r="AG10" s="45" t="s">
        <v>54</v>
      </c>
      <c r="AH10" s="46" t="s">
        <v>114</v>
      </c>
      <c r="AI10" s="2" t="s">
        <v>55</v>
      </c>
      <c r="AJ10" s="2" t="s">
        <v>116</v>
      </c>
      <c r="AK10" s="67" t="s">
        <v>50</v>
      </c>
      <c r="AL10" s="2" t="s">
        <v>114</v>
      </c>
      <c r="AM10" s="67" t="s">
        <v>52</v>
      </c>
      <c r="AN10" s="170" t="s">
        <v>117</v>
      </c>
      <c r="AO10" s="45" t="s">
        <v>54</v>
      </c>
      <c r="AP10" s="46" t="s">
        <v>114</v>
      </c>
      <c r="AQ10" s="2"/>
    </row>
    <row r="11" spans="1:43" x14ac:dyDescent="0.25">
      <c r="A11" s="77" t="s">
        <v>85</v>
      </c>
      <c r="J11" s="15">
        <v>9</v>
      </c>
      <c r="K11" s="45"/>
      <c r="L11" s="212"/>
      <c r="M11" s="2"/>
      <c r="N11" s="212"/>
      <c r="O11" s="18"/>
      <c r="P11" s="18"/>
      <c r="Q11" s="18"/>
      <c r="R11" s="18"/>
      <c r="S11" s="47" t="s">
        <v>55</v>
      </c>
      <c r="T11" s="48" t="s">
        <v>116</v>
      </c>
      <c r="U11" s="47" t="s">
        <v>50</v>
      </c>
      <c r="V11" s="48" t="s">
        <v>104</v>
      </c>
      <c r="W11" s="47" t="s">
        <v>52</v>
      </c>
      <c r="X11" s="210" t="str">
        <f t="shared" si="1"/>
        <v>PRJM6020</v>
      </c>
      <c r="Y11" s="47" t="s">
        <v>54</v>
      </c>
      <c r="Z11" s="225" t="str">
        <f t="shared" si="1"/>
        <v>AltCore</v>
      </c>
      <c r="AA11" s="3" t="s">
        <v>55</v>
      </c>
      <c r="AB11" s="2" t="s">
        <v>115</v>
      </c>
      <c r="AC11" s="67" t="s">
        <v>50</v>
      </c>
      <c r="AD11" s="103" t="s">
        <v>119</v>
      </c>
      <c r="AE11" s="69" t="s">
        <v>52</v>
      </c>
      <c r="AF11" s="170" t="s">
        <v>80</v>
      </c>
      <c r="AG11" s="104" t="s">
        <v>54</v>
      </c>
      <c r="AH11" s="105" t="s">
        <v>119</v>
      </c>
      <c r="AI11" s="2" t="s">
        <v>55</v>
      </c>
      <c r="AJ11" s="2" t="s">
        <v>115</v>
      </c>
      <c r="AK11" s="67" t="s">
        <v>50</v>
      </c>
      <c r="AL11" s="103" t="s">
        <v>81</v>
      </c>
      <c r="AM11" s="69" t="s">
        <v>52</v>
      </c>
      <c r="AN11" s="170" t="s">
        <v>80</v>
      </c>
      <c r="AO11" s="104" t="s">
        <v>54</v>
      </c>
      <c r="AP11" s="105" t="s">
        <v>81</v>
      </c>
      <c r="AQ11" s="2"/>
    </row>
    <row r="12" spans="1:43" x14ac:dyDescent="0.25">
      <c r="A12" s="11" t="s">
        <v>90</v>
      </c>
      <c r="B12" s="14" t="s">
        <v>91</v>
      </c>
      <c r="C12" s="8" t="s">
        <v>92</v>
      </c>
      <c r="D12" s="8" t="s">
        <v>93</v>
      </c>
      <c r="E12" s="8" t="s">
        <v>94</v>
      </c>
      <c r="J12" s="15">
        <v>10</v>
      </c>
      <c r="K12" s="52"/>
      <c r="L12" s="212"/>
      <c r="M12" s="3"/>
      <c r="N12" s="212"/>
      <c r="O12" s="3"/>
      <c r="P12" s="3"/>
      <c r="Q12" s="3"/>
      <c r="R12" s="3"/>
      <c r="S12" s="3"/>
      <c r="T12" s="2"/>
      <c r="U12" s="3"/>
      <c r="V12" s="2"/>
      <c r="W12" s="2"/>
      <c r="X12" s="2"/>
      <c r="Y12" s="2"/>
      <c r="Z12" s="2"/>
      <c r="AA12" s="51" t="s">
        <v>86</v>
      </c>
      <c r="AB12" s="106" t="s">
        <v>81</v>
      </c>
      <c r="AC12" s="43" t="s">
        <v>87</v>
      </c>
      <c r="AD12" s="172" t="s">
        <v>117</v>
      </c>
      <c r="AE12" s="1" t="s">
        <v>88</v>
      </c>
      <c r="AF12" s="106" t="s">
        <v>81</v>
      </c>
      <c r="AG12" s="56" t="s">
        <v>89</v>
      </c>
      <c r="AH12" s="54" t="s">
        <v>116</v>
      </c>
      <c r="AI12" s="1" t="s">
        <v>86</v>
      </c>
      <c r="AJ12" s="106" t="s">
        <v>119</v>
      </c>
      <c r="AK12" s="43" t="s">
        <v>87</v>
      </c>
      <c r="AL12" s="172" t="s">
        <v>117</v>
      </c>
      <c r="AM12" s="1" t="s">
        <v>88</v>
      </c>
      <c r="AN12" s="106" t="s">
        <v>119</v>
      </c>
      <c r="AO12" s="56" t="s">
        <v>89</v>
      </c>
      <c r="AP12" s="54" t="s">
        <v>116</v>
      </c>
      <c r="AQ12" s="3"/>
    </row>
    <row r="13" spans="1:43" x14ac:dyDescent="0.25">
      <c r="A13" s="8" t="s">
        <v>15</v>
      </c>
      <c r="B13" s="8" t="s">
        <v>24</v>
      </c>
      <c r="C13" s="8" t="s">
        <v>25</v>
      </c>
      <c r="D13" s="8" t="s">
        <v>26</v>
      </c>
      <c r="E13" s="8" t="s">
        <v>27</v>
      </c>
      <c r="J13" s="15">
        <v>11</v>
      </c>
      <c r="K13" s="52"/>
      <c r="L13" s="212"/>
      <c r="M13" s="3"/>
      <c r="N13" s="212"/>
      <c r="O13" s="18"/>
      <c r="P13" s="18"/>
      <c r="Q13" s="18"/>
      <c r="R13" s="18"/>
      <c r="U13" s="3"/>
      <c r="AA13" s="16" t="s">
        <v>86</v>
      </c>
      <c r="AB13" s="2" t="s">
        <v>95</v>
      </c>
      <c r="AC13" s="45" t="s">
        <v>87</v>
      </c>
      <c r="AD13" s="173" t="s">
        <v>80</v>
      </c>
      <c r="AE13" s="2" t="s">
        <v>88</v>
      </c>
      <c r="AF13" s="2" t="s">
        <v>95</v>
      </c>
      <c r="AG13" s="45" t="s">
        <v>89</v>
      </c>
      <c r="AH13" s="46" t="s">
        <v>115</v>
      </c>
      <c r="AI13" s="2" t="s">
        <v>86</v>
      </c>
      <c r="AJ13" s="2" t="s">
        <v>124</v>
      </c>
      <c r="AK13" s="45" t="s">
        <v>87</v>
      </c>
      <c r="AL13" s="173" t="s">
        <v>80</v>
      </c>
      <c r="AM13" s="2" t="s">
        <v>88</v>
      </c>
      <c r="AN13" s="2" t="s">
        <v>124</v>
      </c>
      <c r="AO13" s="45" t="s">
        <v>89</v>
      </c>
      <c r="AP13" s="46" t="s">
        <v>115</v>
      </c>
      <c r="AQ13" s="3"/>
    </row>
    <row r="14" spans="1:43" x14ac:dyDescent="0.25">
      <c r="A14" s="8" t="s">
        <v>97</v>
      </c>
      <c r="B14" s="8" t="s">
        <v>25</v>
      </c>
      <c r="C14" s="8" t="s">
        <v>26</v>
      </c>
      <c r="D14" s="8" t="s">
        <v>27</v>
      </c>
      <c r="E14" s="8" t="s">
        <v>24</v>
      </c>
      <c r="J14" s="15">
        <v>12</v>
      </c>
      <c r="K14" s="52"/>
      <c r="L14" s="212"/>
      <c r="M14" s="3"/>
      <c r="N14" s="212"/>
      <c r="O14" s="3"/>
      <c r="P14" s="3"/>
      <c r="Q14" s="3"/>
      <c r="R14" s="3"/>
      <c r="U14" s="3"/>
      <c r="V14" s="2"/>
      <c r="W14" s="2"/>
      <c r="X14" s="2"/>
      <c r="Y14" s="2"/>
      <c r="Z14" s="2"/>
      <c r="AA14" s="16" t="s">
        <v>87</v>
      </c>
      <c r="AB14" s="170" t="s">
        <v>117</v>
      </c>
      <c r="AC14" s="45" t="s">
        <v>88</v>
      </c>
      <c r="AD14" s="105" t="s">
        <v>81</v>
      </c>
      <c r="AE14" s="2" t="s">
        <v>89</v>
      </c>
      <c r="AF14" s="2" t="s">
        <v>116</v>
      </c>
      <c r="AG14" s="45" t="s">
        <v>86</v>
      </c>
      <c r="AH14" s="105" t="s">
        <v>81</v>
      </c>
      <c r="AI14" s="2" t="s">
        <v>87</v>
      </c>
      <c r="AJ14" s="170" t="s">
        <v>117</v>
      </c>
      <c r="AK14" s="45" t="s">
        <v>88</v>
      </c>
      <c r="AL14" s="105" t="s">
        <v>119</v>
      </c>
      <c r="AM14" s="2" t="s">
        <v>89</v>
      </c>
      <c r="AN14" s="2" t="s">
        <v>116</v>
      </c>
      <c r="AO14" s="45" t="s">
        <v>86</v>
      </c>
      <c r="AP14" s="105" t="s">
        <v>119</v>
      </c>
      <c r="AQ14" s="3"/>
    </row>
    <row r="15" spans="1:43" x14ac:dyDescent="0.25">
      <c r="A15" s="8" t="s">
        <v>98</v>
      </c>
      <c r="B15" s="8" t="s">
        <v>26</v>
      </c>
      <c r="C15" s="8" t="s">
        <v>27</v>
      </c>
      <c r="D15" s="8" t="s">
        <v>24</v>
      </c>
      <c r="E15" s="8" t="s">
        <v>25</v>
      </c>
      <c r="J15" s="15">
        <v>13</v>
      </c>
      <c r="K15" s="53"/>
      <c r="L15" s="213"/>
      <c r="M15" s="58"/>
      <c r="N15" s="213"/>
      <c r="O15" s="48"/>
      <c r="P15" s="48"/>
      <c r="Q15" s="48"/>
      <c r="R15" s="48"/>
      <c r="S15" s="38"/>
      <c r="T15" s="38"/>
      <c r="U15" s="58"/>
      <c r="V15" s="48"/>
      <c r="W15" s="48"/>
      <c r="X15" s="48"/>
      <c r="Y15" s="48"/>
      <c r="Z15" s="48"/>
      <c r="AA15" s="59" t="s">
        <v>87</v>
      </c>
      <c r="AB15" s="171" t="s">
        <v>80</v>
      </c>
      <c r="AC15" s="47" t="s">
        <v>88</v>
      </c>
      <c r="AD15" s="49" t="s">
        <v>95</v>
      </c>
      <c r="AE15" s="48" t="s">
        <v>89</v>
      </c>
      <c r="AF15" s="48" t="s">
        <v>115</v>
      </c>
      <c r="AG15" s="47" t="s">
        <v>86</v>
      </c>
      <c r="AH15" s="49" t="s">
        <v>95</v>
      </c>
      <c r="AI15" s="48" t="s">
        <v>87</v>
      </c>
      <c r="AJ15" s="171" t="s">
        <v>80</v>
      </c>
      <c r="AK15" s="47" t="s">
        <v>88</v>
      </c>
      <c r="AL15" s="49" t="s">
        <v>124</v>
      </c>
      <c r="AM15" s="48" t="s">
        <v>89</v>
      </c>
      <c r="AN15" s="48" t="s">
        <v>115</v>
      </c>
      <c r="AO15" s="47" t="s">
        <v>86</v>
      </c>
      <c r="AP15" s="49" t="s">
        <v>124</v>
      </c>
      <c r="AQ15" s="3"/>
    </row>
    <row r="16" spans="1:43" x14ac:dyDescent="0.25">
      <c r="A16" s="8" t="s">
        <v>36</v>
      </c>
      <c r="B16" s="8" t="s">
        <v>27</v>
      </c>
      <c r="C16" s="8" t="s">
        <v>24</v>
      </c>
      <c r="D16" s="8" t="s">
        <v>25</v>
      </c>
      <c r="E16" s="8" t="s">
        <v>26</v>
      </c>
      <c r="L16" s="15"/>
      <c r="M16" s="3"/>
      <c r="N16" s="2"/>
      <c r="O16" s="2"/>
      <c r="P16" s="2"/>
      <c r="Q16" s="2"/>
      <c r="R16" s="2"/>
      <c r="U16" s="3"/>
      <c r="V16" s="2"/>
      <c r="W16" s="2"/>
      <c r="X16" s="2"/>
      <c r="Y16" s="2"/>
      <c r="Z16" s="2"/>
      <c r="AA16" s="3"/>
      <c r="AB16" s="62" t="s">
        <v>99</v>
      </c>
      <c r="AC16" s="3"/>
      <c r="AD16" s="62" t="s">
        <v>99</v>
      </c>
      <c r="AF16" s="62" t="s">
        <v>99</v>
      </c>
      <c r="AH16" s="62" t="s">
        <v>99</v>
      </c>
      <c r="AI16" s="3"/>
      <c r="AJ16" s="62" t="s">
        <v>99</v>
      </c>
      <c r="AK16" s="3"/>
      <c r="AL16" s="62" t="s">
        <v>99</v>
      </c>
      <c r="AM16" s="3"/>
      <c r="AN16" s="62" t="s">
        <v>99</v>
      </c>
      <c r="AO16" s="3"/>
      <c r="AP16" s="62" t="s">
        <v>99</v>
      </c>
      <c r="AQ16" s="3"/>
    </row>
    <row r="17" spans="1:43" x14ac:dyDescent="0.25">
      <c r="A17"/>
      <c r="B17"/>
      <c r="C17"/>
      <c r="L17" s="15"/>
      <c r="M17" s="3"/>
      <c r="N17" s="2"/>
      <c r="O17" s="2"/>
      <c r="P17" s="2"/>
      <c r="Q17" s="2"/>
      <c r="R17" s="2"/>
      <c r="U17" s="3"/>
      <c r="V17" s="2"/>
      <c r="W17" s="2"/>
      <c r="X17" s="2"/>
      <c r="Y17" s="2"/>
      <c r="Z17" s="2"/>
      <c r="AA17" s="3"/>
      <c r="AH17" s="227" t="s">
        <v>100</v>
      </c>
      <c r="AP17" s="227" t="s">
        <v>100</v>
      </c>
      <c r="AQ17" s="3"/>
    </row>
    <row r="18" spans="1:43" x14ac:dyDescent="0.25">
      <c r="A18" s="77" t="s">
        <v>101</v>
      </c>
      <c r="C18"/>
      <c r="L18" s="15"/>
      <c r="M18" s="3"/>
      <c r="N18" s="2"/>
      <c r="O18" s="2"/>
      <c r="P18" s="2"/>
      <c r="Q18" s="2"/>
      <c r="R18" s="2"/>
      <c r="U18" s="3"/>
      <c r="V18" s="2"/>
      <c r="W18" s="2"/>
      <c r="X18" s="2"/>
      <c r="Y18" s="2"/>
      <c r="Z18" s="2"/>
      <c r="AA18" s="3"/>
      <c r="AC18" s="3"/>
      <c r="AG18" s="3"/>
      <c r="AH18" s="2"/>
      <c r="AI18" s="3"/>
      <c r="AJ18" s="2"/>
      <c r="AK18" s="3"/>
      <c r="AL18" s="2"/>
      <c r="AM18" s="3"/>
      <c r="AN18" s="2"/>
      <c r="AO18" s="3"/>
      <c r="AP18" s="3"/>
      <c r="AQ18" s="3"/>
    </row>
    <row r="19" spans="1:43" x14ac:dyDescent="0.25">
      <c r="A19" s="11" t="s">
        <v>61</v>
      </c>
      <c r="B19" s="10" t="s">
        <v>0</v>
      </c>
      <c r="C19" s="8" t="s">
        <v>62</v>
      </c>
      <c r="D19" s="8" t="s">
        <v>63</v>
      </c>
      <c r="E19" s="8" t="s">
        <v>64</v>
      </c>
      <c r="F19" s="8" t="s">
        <v>65</v>
      </c>
      <c r="G19" s="8" t="s">
        <v>23</v>
      </c>
      <c r="I19" s="64" t="s">
        <v>102</v>
      </c>
      <c r="J19" s="2">
        <v>1</v>
      </c>
      <c r="K19" s="42"/>
      <c r="L19" s="50" t="s">
        <v>42</v>
      </c>
      <c r="M19" s="41"/>
      <c r="N19" s="50" t="s">
        <v>43</v>
      </c>
      <c r="O19" s="42"/>
      <c r="P19" s="50" t="s">
        <v>44</v>
      </c>
      <c r="Q19" s="41"/>
      <c r="R19" s="60" t="s">
        <v>45</v>
      </c>
      <c r="S19" s="42"/>
      <c r="T19" s="50" t="s">
        <v>46</v>
      </c>
      <c r="U19" s="42"/>
      <c r="V19" s="50" t="s">
        <v>47</v>
      </c>
      <c r="W19" s="42"/>
      <c r="X19" s="50" t="s">
        <v>48</v>
      </c>
      <c r="Y19" s="42"/>
      <c r="Z19" s="60" t="s">
        <v>49</v>
      </c>
      <c r="AA19" s="42"/>
      <c r="AB19" s="90" t="s">
        <v>221</v>
      </c>
      <c r="AC19" s="91"/>
      <c r="AD19" s="92" t="s">
        <v>222</v>
      </c>
      <c r="AE19" s="93"/>
      <c r="AF19" s="92" t="s">
        <v>223</v>
      </c>
      <c r="AG19" s="93"/>
      <c r="AH19" s="94" t="s">
        <v>224</v>
      </c>
      <c r="AI19" s="91"/>
      <c r="AJ19" s="90" t="s">
        <v>225</v>
      </c>
      <c r="AK19" s="91"/>
      <c r="AL19" s="92" t="s">
        <v>226</v>
      </c>
      <c r="AM19" s="93"/>
      <c r="AN19" s="92" t="s">
        <v>227</v>
      </c>
      <c r="AO19" s="93"/>
      <c r="AP19" s="92" t="s">
        <v>228</v>
      </c>
      <c r="AQ19" s="3"/>
    </row>
    <row r="20" spans="1:43" x14ac:dyDescent="0.25">
      <c r="A20" s="6" t="s">
        <v>39</v>
      </c>
      <c r="B20" s="238" t="s">
        <v>105</v>
      </c>
      <c r="C20" s="239" t="s">
        <v>75</v>
      </c>
      <c r="D20" s="235">
        <v>44562</v>
      </c>
      <c r="E20" s="236">
        <v>2</v>
      </c>
      <c r="F20" s="235">
        <v>44562</v>
      </c>
      <c r="G20" s="7" t="s">
        <v>68</v>
      </c>
      <c r="J20" s="15">
        <v>2</v>
      </c>
      <c r="K20" s="65" t="s">
        <v>50</v>
      </c>
      <c r="L20" s="73" t="s">
        <v>103</v>
      </c>
      <c r="M20" s="65" t="s">
        <v>52</v>
      </c>
      <c r="N20" s="73" t="s">
        <v>103</v>
      </c>
      <c r="O20" s="65" t="s">
        <v>54</v>
      </c>
      <c r="P20" s="73" t="s">
        <v>103</v>
      </c>
      <c r="Q20" s="65" t="s">
        <v>55</v>
      </c>
      <c r="R20" s="73" t="s">
        <v>103</v>
      </c>
      <c r="S20" s="65" t="s">
        <v>50</v>
      </c>
      <c r="T20" s="66" t="s">
        <v>104</v>
      </c>
      <c r="U20" s="65" t="s">
        <v>52</v>
      </c>
      <c r="V20" s="66" t="s">
        <v>104</v>
      </c>
      <c r="W20" s="65" t="s">
        <v>54</v>
      </c>
      <c r="X20" s="66" t="s">
        <v>104</v>
      </c>
      <c r="Y20" s="65" t="s">
        <v>55</v>
      </c>
      <c r="Z20" s="66" t="s">
        <v>104</v>
      </c>
      <c r="AA20" s="55" t="s">
        <v>50</v>
      </c>
      <c r="AB20" s="73" t="s">
        <v>103</v>
      </c>
      <c r="AC20" s="55" t="s">
        <v>52</v>
      </c>
      <c r="AD20" s="73" t="s">
        <v>103</v>
      </c>
      <c r="AE20" s="55" t="s">
        <v>54</v>
      </c>
      <c r="AF20" s="73" t="s">
        <v>103</v>
      </c>
      <c r="AG20" s="55" t="s">
        <v>55</v>
      </c>
      <c r="AH20" s="73" t="s">
        <v>103</v>
      </c>
      <c r="AI20" s="55" t="s">
        <v>50</v>
      </c>
      <c r="AJ20" s="73" t="s">
        <v>103</v>
      </c>
      <c r="AK20" s="55" t="s">
        <v>52</v>
      </c>
      <c r="AL20" s="73" t="s">
        <v>103</v>
      </c>
      <c r="AM20" s="55" t="s">
        <v>54</v>
      </c>
      <c r="AN20" s="73" t="s">
        <v>103</v>
      </c>
      <c r="AO20" s="55" t="s">
        <v>55</v>
      </c>
      <c r="AP20" s="73" t="s">
        <v>103</v>
      </c>
      <c r="AQ20" s="3"/>
    </row>
    <row r="21" spans="1:43" x14ac:dyDescent="0.25">
      <c r="A21" s="6" t="s">
        <v>40</v>
      </c>
      <c r="B21" s="238" t="s">
        <v>106</v>
      </c>
      <c r="C21" s="239" t="s">
        <v>75</v>
      </c>
      <c r="D21" s="235">
        <v>44562</v>
      </c>
      <c r="E21" s="236">
        <v>2</v>
      </c>
      <c r="F21" s="235">
        <v>44562</v>
      </c>
      <c r="G21" s="7" t="s">
        <v>68</v>
      </c>
      <c r="J21" s="15">
        <v>3</v>
      </c>
      <c r="K21" s="67" t="s">
        <v>50</v>
      </c>
      <c r="L21" s="71"/>
      <c r="M21" s="67" t="s">
        <v>52</v>
      </c>
      <c r="N21" s="71"/>
      <c r="O21" s="67" t="s">
        <v>54</v>
      </c>
      <c r="P21" s="71"/>
      <c r="Q21" s="67" t="s">
        <v>55</v>
      </c>
      <c r="R21" s="71"/>
      <c r="S21" s="67" t="s">
        <v>50</v>
      </c>
      <c r="T21" s="68" t="s">
        <v>119</v>
      </c>
      <c r="U21" s="67" t="s">
        <v>52</v>
      </c>
      <c r="V21" s="68" t="s">
        <v>119</v>
      </c>
      <c r="W21" s="67" t="s">
        <v>54</v>
      </c>
      <c r="X21" s="68" t="s">
        <v>119</v>
      </c>
      <c r="Y21" s="67" t="s">
        <v>55</v>
      </c>
      <c r="Z21" s="68" t="s">
        <v>119</v>
      </c>
      <c r="AA21" s="16" t="s">
        <v>50</v>
      </c>
      <c r="AB21" s="71"/>
      <c r="AC21" s="16" t="s">
        <v>52</v>
      </c>
      <c r="AD21" s="71"/>
      <c r="AE21" s="16" t="s">
        <v>54</v>
      </c>
      <c r="AF21" s="71"/>
      <c r="AG21" s="16" t="s">
        <v>55</v>
      </c>
      <c r="AH21" s="71"/>
      <c r="AI21" s="16" t="s">
        <v>50</v>
      </c>
      <c r="AJ21" s="71"/>
      <c r="AK21" s="16" t="s">
        <v>52</v>
      </c>
      <c r="AL21" s="71"/>
      <c r="AM21" s="16" t="s">
        <v>54</v>
      </c>
      <c r="AN21" s="71"/>
      <c r="AO21" s="16" t="s">
        <v>55</v>
      </c>
      <c r="AP21" s="71"/>
      <c r="AQ21" s="3"/>
    </row>
    <row r="22" spans="1:43" x14ac:dyDescent="0.25">
      <c r="A22" s="6"/>
      <c r="B22" s="6"/>
      <c r="J22" s="15">
        <v>4</v>
      </c>
      <c r="K22" s="67" t="s">
        <v>52</v>
      </c>
      <c r="L22" s="71"/>
      <c r="M22" s="67" t="s">
        <v>54</v>
      </c>
      <c r="N22" s="71"/>
      <c r="O22" s="67" t="s">
        <v>55</v>
      </c>
      <c r="P22" s="71"/>
      <c r="Q22" s="67" t="s">
        <v>50</v>
      </c>
      <c r="R22" s="71"/>
      <c r="S22" s="67" t="s">
        <v>52</v>
      </c>
      <c r="T22" s="68" t="s">
        <v>81</v>
      </c>
      <c r="U22" s="67" t="s">
        <v>54</v>
      </c>
      <c r="V22" s="68" t="s">
        <v>81</v>
      </c>
      <c r="W22" s="67" t="s">
        <v>55</v>
      </c>
      <c r="X22" s="68" t="s">
        <v>81</v>
      </c>
      <c r="Y22" s="67" t="s">
        <v>50</v>
      </c>
      <c r="Z22" s="68" t="s">
        <v>81</v>
      </c>
      <c r="AA22" s="16" t="s">
        <v>52</v>
      </c>
      <c r="AB22" s="71"/>
      <c r="AC22" s="16" t="s">
        <v>54</v>
      </c>
      <c r="AD22" s="71"/>
      <c r="AE22" s="16" t="s">
        <v>55</v>
      </c>
      <c r="AF22" s="71"/>
      <c r="AG22" s="16" t="s">
        <v>50</v>
      </c>
      <c r="AH22" s="71"/>
      <c r="AI22" s="16" t="s">
        <v>52</v>
      </c>
      <c r="AJ22" s="71"/>
      <c r="AK22" s="16" t="s">
        <v>54</v>
      </c>
      <c r="AL22" s="71"/>
      <c r="AM22" s="16" t="s">
        <v>55</v>
      </c>
      <c r="AN22" s="71"/>
      <c r="AO22" s="16" t="s">
        <v>50</v>
      </c>
      <c r="AP22" s="71"/>
      <c r="AQ22" s="3"/>
    </row>
    <row r="23" spans="1:43" x14ac:dyDescent="0.25">
      <c r="A23" s="6"/>
      <c r="B23" s="6"/>
      <c r="J23" s="15">
        <v>5</v>
      </c>
      <c r="K23" s="69" t="s">
        <v>52</v>
      </c>
      <c r="L23" s="72"/>
      <c r="M23" s="69" t="s">
        <v>54</v>
      </c>
      <c r="N23" s="72"/>
      <c r="O23" s="69" t="s">
        <v>55</v>
      </c>
      <c r="P23" s="72"/>
      <c r="Q23" s="69" t="s">
        <v>50</v>
      </c>
      <c r="R23" s="72"/>
      <c r="S23" s="69" t="s">
        <v>52</v>
      </c>
      <c r="T23" s="70"/>
      <c r="U23" s="69" t="s">
        <v>54</v>
      </c>
      <c r="V23" s="70"/>
      <c r="W23" s="69" t="s">
        <v>55</v>
      </c>
      <c r="X23" s="70"/>
      <c r="Y23" s="69" t="s">
        <v>50</v>
      </c>
      <c r="Z23" s="70"/>
      <c r="AA23" s="17" t="s">
        <v>52</v>
      </c>
      <c r="AB23" s="72"/>
      <c r="AC23" s="17" t="s">
        <v>54</v>
      </c>
      <c r="AD23" s="72"/>
      <c r="AE23" s="17" t="s">
        <v>55</v>
      </c>
      <c r="AF23" s="72"/>
      <c r="AG23" s="17" t="s">
        <v>50</v>
      </c>
      <c r="AH23" s="72"/>
      <c r="AI23" s="17" t="s">
        <v>52</v>
      </c>
      <c r="AJ23" s="72"/>
      <c r="AK23" s="17" t="s">
        <v>54</v>
      </c>
      <c r="AL23" s="72"/>
      <c r="AM23" s="17" t="s">
        <v>55</v>
      </c>
      <c r="AN23" s="72"/>
      <c r="AO23" s="17" t="s">
        <v>50</v>
      </c>
      <c r="AP23" s="72"/>
      <c r="AQ23" s="8"/>
    </row>
    <row r="24" spans="1:43" x14ac:dyDescent="0.25">
      <c r="AF24" s="8"/>
      <c r="AG24" s="8"/>
      <c r="AQ24" s="8"/>
    </row>
    <row r="25" spans="1:43" x14ac:dyDescent="0.25">
      <c r="A25" s="10" t="s">
        <v>108</v>
      </c>
      <c r="B25" s="204">
        <v>45615</v>
      </c>
      <c r="C25" s="242" t="s">
        <v>109</v>
      </c>
      <c r="L25" t="s">
        <v>107</v>
      </c>
      <c r="N25" t="s">
        <v>107</v>
      </c>
      <c r="T25" t="s">
        <v>107</v>
      </c>
      <c r="U25" s="3"/>
      <c r="V25" t="s">
        <v>107</v>
      </c>
      <c r="W25" s="2"/>
      <c r="X25" s="2"/>
      <c r="Y25" s="2"/>
      <c r="Z25" s="2"/>
      <c r="AB25" t="s">
        <v>107</v>
      </c>
      <c r="AD25" t="s">
        <v>107</v>
      </c>
      <c r="AF25" t="s">
        <v>107</v>
      </c>
      <c r="AG25" s="8"/>
      <c r="AH25" t="s">
        <v>107</v>
      </c>
      <c r="AJ25" t="s">
        <v>107</v>
      </c>
      <c r="AL25" t="s">
        <v>107</v>
      </c>
      <c r="AN25" t="s">
        <v>107</v>
      </c>
      <c r="AP25" t="s">
        <v>107</v>
      </c>
      <c r="AQ25" s="8"/>
    </row>
    <row r="26" spans="1:43" x14ac:dyDescent="0.25">
      <c r="A26" s="10" t="s">
        <v>110</v>
      </c>
      <c r="B26" s="204">
        <v>45559</v>
      </c>
      <c r="L26" t="s">
        <v>67</v>
      </c>
      <c r="N26" t="s">
        <v>53</v>
      </c>
      <c r="T26" t="s">
        <v>67</v>
      </c>
      <c r="V26" t="s">
        <v>53</v>
      </c>
      <c r="W26" s="2"/>
      <c r="X26" s="2"/>
      <c r="Y26" s="2"/>
      <c r="Z26" s="2"/>
      <c r="AB26" t="s">
        <v>67</v>
      </c>
      <c r="AD26" t="s">
        <v>53</v>
      </c>
      <c r="AF26" t="s">
        <v>67</v>
      </c>
      <c r="AH26" t="s">
        <v>53</v>
      </c>
      <c r="AJ26" t="s">
        <v>67</v>
      </c>
      <c r="AL26" t="s">
        <v>53</v>
      </c>
      <c r="AN26" t="s">
        <v>67</v>
      </c>
      <c r="AP26" t="s">
        <v>53</v>
      </c>
    </row>
    <row r="27" spans="1:43" x14ac:dyDescent="0.25">
      <c r="A27" s="10" t="s">
        <v>111</v>
      </c>
      <c r="B27" s="204">
        <v>45615</v>
      </c>
      <c r="C27" s="242" t="s">
        <v>109</v>
      </c>
      <c r="D27"/>
      <c r="L27" t="s">
        <v>70</v>
      </c>
      <c r="N27" t="s">
        <v>59</v>
      </c>
      <c r="T27" t="s">
        <v>70</v>
      </c>
      <c r="V27" t="s">
        <v>59</v>
      </c>
      <c r="AB27" t="s">
        <v>70</v>
      </c>
      <c r="AD27" t="s">
        <v>59</v>
      </c>
      <c r="AF27" t="s">
        <v>70</v>
      </c>
      <c r="AH27" t="s">
        <v>59</v>
      </c>
      <c r="AJ27" t="s">
        <v>70</v>
      </c>
      <c r="AL27" t="s">
        <v>59</v>
      </c>
      <c r="AN27" t="s">
        <v>70</v>
      </c>
      <c r="AP27" t="s">
        <v>59</v>
      </c>
    </row>
    <row r="28" spans="1:43" x14ac:dyDescent="0.25">
      <c r="A28" s="10" t="s">
        <v>112</v>
      </c>
      <c r="B28" s="204">
        <v>45575</v>
      </c>
      <c r="C28"/>
      <c r="L28" t="s">
        <v>53</v>
      </c>
      <c r="N28" t="s">
        <v>67</v>
      </c>
      <c r="T28" t="s">
        <v>53</v>
      </c>
      <c r="V28" t="s">
        <v>67</v>
      </c>
      <c r="AB28" t="s">
        <v>53</v>
      </c>
      <c r="AD28" t="s">
        <v>67</v>
      </c>
      <c r="AF28" t="s">
        <v>53</v>
      </c>
      <c r="AH28" t="s">
        <v>67</v>
      </c>
      <c r="AJ28" t="s">
        <v>53</v>
      </c>
      <c r="AL28" t="s">
        <v>67</v>
      </c>
      <c r="AN28" t="s">
        <v>53</v>
      </c>
      <c r="AP28" t="s">
        <v>67</v>
      </c>
      <c r="AQ28" s="8"/>
    </row>
    <row r="29" spans="1:43" x14ac:dyDescent="0.25">
      <c r="A29" s="10" t="s">
        <v>113</v>
      </c>
      <c r="B29" s="204">
        <v>45636</v>
      </c>
      <c r="C29" s="205" t="s">
        <v>229</v>
      </c>
      <c r="L29" t="s">
        <v>59</v>
      </c>
      <c r="N29" t="s">
        <v>70</v>
      </c>
      <c r="T29" t="s">
        <v>59</v>
      </c>
      <c r="V29" t="s">
        <v>70</v>
      </c>
      <c r="AB29" t="s">
        <v>59</v>
      </c>
      <c r="AD29" t="s">
        <v>70</v>
      </c>
      <c r="AF29" t="s">
        <v>59</v>
      </c>
      <c r="AH29" t="s">
        <v>70</v>
      </c>
      <c r="AJ29" t="s">
        <v>59</v>
      </c>
      <c r="AL29" t="s">
        <v>70</v>
      </c>
      <c r="AN29" t="s">
        <v>59</v>
      </c>
      <c r="AP29" t="s">
        <v>70</v>
      </c>
    </row>
    <row r="30" spans="1:43" ht="15.75" customHeight="1" x14ac:dyDescent="0.25">
      <c r="A30" s="10" t="s">
        <v>118</v>
      </c>
      <c r="B30" s="204">
        <v>45575</v>
      </c>
      <c r="T30" t="s">
        <v>114</v>
      </c>
      <c r="V30" t="s">
        <v>115</v>
      </c>
      <c r="AB30" t="s">
        <v>114</v>
      </c>
      <c r="AD30" t="s">
        <v>116</v>
      </c>
      <c r="AF30" t="s">
        <v>114</v>
      </c>
      <c r="AH30" s="207" t="s">
        <v>117</v>
      </c>
      <c r="AJ30" t="s">
        <v>114</v>
      </c>
      <c r="AL30" t="s">
        <v>116</v>
      </c>
      <c r="AN30" t="s">
        <v>114</v>
      </c>
      <c r="AP30" s="207" t="s">
        <v>117</v>
      </c>
    </row>
    <row r="31" spans="1:43" x14ac:dyDescent="0.25">
      <c r="A31" s="10" t="s">
        <v>120</v>
      </c>
      <c r="B31" s="204">
        <v>45615</v>
      </c>
      <c r="C31" s="205" t="s">
        <v>121</v>
      </c>
      <c r="L31" t="s">
        <v>218</v>
      </c>
      <c r="N31" t="s">
        <v>218</v>
      </c>
      <c r="T31" t="s">
        <v>104</v>
      </c>
      <c r="V31" t="s">
        <v>116</v>
      </c>
      <c r="AB31" t="s">
        <v>119</v>
      </c>
      <c r="AD31" t="s">
        <v>115</v>
      </c>
      <c r="AF31" t="s">
        <v>119</v>
      </c>
      <c r="AH31" t="s">
        <v>80</v>
      </c>
      <c r="AJ31" t="s">
        <v>81</v>
      </c>
      <c r="AL31" t="s">
        <v>115</v>
      </c>
      <c r="AN31" t="s">
        <v>81</v>
      </c>
      <c r="AP31" t="s">
        <v>80</v>
      </c>
    </row>
    <row r="32" spans="1:43" ht="15.75" customHeight="1" x14ac:dyDescent="0.25">
      <c r="A32" s="10" t="s">
        <v>122</v>
      </c>
      <c r="B32" s="204">
        <v>45615</v>
      </c>
      <c r="C32"/>
      <c r="L32" t="s">
        <v>51</v>
      </c>
      <c r="N32" t="s">
        <v>56</v>
      </c>
      <c r="T32" t="s">
        <v>115</v>
      </c>
      <c r="V32" t="s">
        <v>114</v>
      </c>
      <c r="AB32" t="s">
        <v>116</v>
      </c>
      <c r="AD32" t="s">
        <v>114</v>
      </c>
      <c r="AF32" s="207" t="s">
        <v>117</v>
      </c>
      <c r="AH32" t="s">
        <v>114</v>
      </c>
      <c r="AJ32" t="s">
        <v>116</v>
      </c>
      <c r="AL32" t="s">
        <v>114</v>
      </c>
      <c r="AN32" s="207" t="s">
        <v>117</v>
      </c>
      <c r="AP32" t="s">
        <v>114</v>
      </c>
    </row>
    <row r="33" spans="1:42" ht="15.75" customHeight="1" x14ac:dyDescent="0.25">
      <c r="A33" s="10" t="s">
        <v>123</v>
      </c>
      <c r="B33" s="204">
        <v>45615</v>
      </c>
      <c r="L33" t="s">
        <v>58</v>
      </c>
      <c r="N33" t="s">
        <v>60</v>
      </c>
      <c r="T33" t="s">
        <v>116</v>
      </c>
      <c r="V33" t="s">
        <v>104</v>
      </c>
      <c r="AB33" t="s">
        <v>115</v>
      </c>
      <c r="AD33" t="s">
        <v>119</v>
      </c>
      <c r="AF33" t="s">
        <v>80</v>
      </c>
      <c r="AH33" t="s">
        <v>119</v>
      </c>
      <c r="AJ33" t="s">
        <v>115</v>
      </c>
      <c r="AL33" t="s">
        <v>81</v>
      </c>
      <c r="AN33" t="s">
        <v>80</v>
      </c>
      <c r="AP33" t="s">
        <v>81</v>
      </c>
    </row>
    <row r="34" spans="1:42" x14ac:dyDescent="0.25">
      <c r="L34" t="s">
        <v>56</v>
      </c>
      <c r="N34" t="s">
        <v>51</v>
      </c>
      <c r="AB34" t="s">
        <v>81</v>
      </c>
      <c r="AD34" s="207" t="s">
        <v>117</v>
      </c>
      <c r="AF34" t="s">
        <v>81</v>
      </c>
      <c r="AH34" t="s">
        <v>116</v>
      </c>
      <c r="AJ34" t="s">
        <v>119</v>
      </c>
      <c r="AL34" s="207" t="s">
        <v>117</v>
      </c>
      <c r="AN34" t="s">
        <v>119</v>
      </c>
      <c r="AP34" t="s">
        <v>116</v>
      </c>
    </row>
    <row r="35" spans="1:42" x14ac:dyDescent="0.25">
      <c r="A35" s="241" t="s">
        <v>230</v>
      </c>
      <c r="B35" s="240">
        <v>45638</v>
      </c>
      <c r="L35" t="s">
        <v>60</v>
      </c>
      <c r="N35" t="s">
        <v>58</v>
      </c>
      <c r="AB35" t="s">
        <v>95</v>
      </c>
      <c r="AD35" t="s">
        <v>80</v>
      </c>
      <c r="AF35" t="s">
        <v>95</v>
      </c>
      <c r="AH35" t="s">
        <v>115</v>
      </c>
      <c r="AJ35" t="s">
        <v>124</v>
      </c>
      <c r="AL35" t="s">
        <v>80</v>
      </c>
      <c r="AN35" t="s">
        <v>124</v>
      </c>
      <c r="AP35" t="s">
        <v>115</v>
      </c>
    </row>
    <row r="36" spans="1:42" x14ac:dyDescent="0.25">
      <c r="T36" t="s">
        <v>218</v>
      </c>
      <c r="V36" t="s">
        <v>218</v>
      </c>
      <c r="AB36" s="207" t="s">
        <v>117</v>
      </c>
      <c r="AD36" t="s">
        <v>81</v>
      </c>
      <c r="AF36" t="s">
        <v>116</v>
      </c>
      <c r="AH36" t="s">
        <v>81</v>
      </c>
      <c r="AJ36" s="207" t="s">
        <v>117</v>
      </c>
      <c r="AL36" t="s">
        <v>119</v>
      </c>
      <c r="AN36" t="s">
        <v>116</v>
      </c>
      <c r="AP36" t="s">
        <v>119</v>
      </c>
    </row>
    <row r="37" spans="1:42" x14ac:dyDescent="0.25">
      <c r="T37" t="s">
        <v>51</v>
      </c>
      <c r="V37" t="s">
        <v>56</v>
      </c>
      <c r="AB37" t="s">
        <v>80</v>
      </c>
      <c r="AD37" t="s">
        <v>95</v>
      </c>
      <c r="AF37" t="s">
        <v>115</v>
      </c>
      <c r="AH37" t="s">
        <v>95</v>
      </c>
      <c r="AJ37" t="s">
        <v>80</v>
      </c>
      <c r="AL37" t="s">
        <v>124</v>
      </c>
      <c r="AN37" t="s">
        <v>115</v>
      </c>
      <c r="AP37" t="s">
        <v>124</v>
      </c>
    </row>
    <row r="38" spans="1:42" x14ac:dyDescent="0.25">
      <c r="T38" t="s">
        <v>58</v>
      </c>
      <c r="V38" t="s">
        <v>60</v>
      </c>
    </row>
    <row r="39" spans="1:42" x14ac:dyDescent="0.25">
      <c r="T39" t="s">
        <v>56</v>
      </c>
      <c r="V39" t="s">
        <v>51</v>
      </c>
      <c r="AB39" t="s">
        <v>218</v>
      </c>
      <c r="AD39" t="s">
        <v>218</v>
      </c>
      <c r="AF39" t="s">
        <v>218</v>
      </c>
      <c r="AH39" t="s">
        <v>218</v>
      </c>
      <c r="AJ39" t="s">
        <v>218</v>
      </c>
      <c r="AL39" t="s">
        <v>218</v>
      </c>
      <c r="AN39" t="s">
        <v>218</v>
      </c>
      <c r="AP39" t="s">
        <v>218</v>
      </c>
    </row>
    <row r="40" spans="1:42" x14ac:dyDescent="0.25">
      <c r="T40" t="s">
        <v>60</v>
      </c>
      <c r="V40" t="s">
        <v>58</v>
      </c>
      <c r="AB40" t="s">
        <v>51</v>
      </c>
      <c r="AD40" t="s">
        <v>56</v>
      </c>
      <c r="AF40" t="s">
        <v>51</v>
      </c>
      <c r="AH40" t="s">
        <v>51</v>
      </c>
      <c r="AJ40" t="s">
        <v>51</v>
      </c>
      <c r="AL40" t="s">
        <v>56</v>
      </c>
      <c r="AN40" t="s">
        <v>51</v>
      </c>
      <c r="AP40" t="s">
        <v>56</v>
      </c>
    </row>
    <row r="41" spans="1:42" x14ac:dyDescent="0.25">
      <c r="T41" t="s">
        <v>71</v>
      </c>
      <c r="V41" t="s">
        <v>72</v>
      </c>
      <c r="AB41" t="s">
        <v>58</v>
      </c>
      <c r="AD41" t="s">
        <v>60</v>
      </c>
      <c r="AF41" t="s">
        <v>58</v>
      </c>
      <c r="AH41" t="s">
        <v>58</v>
      </c>
      <c r="AJ41" t="s">
        <v>58</v>
      </c>
      <c r="AL41" t="s">
        <v>60</v>
      </c>
      <c r="AN41" t="s">
        <v>58</v>
      </c>
      <c r="AP41" t="s">
        <v>60</v>
      </c>
    </row>
    <row r="42" spans="1:42" x14ac:dyDescent="0.25">
      <c r="T42" t="s">
        <v>77</v>
      </c>
      <c r="V42" t="s">
        <v>78</v>
      </c>
      <c r="AB42" t="s">
        <v>56</v>
      </c>
      <c r="AD42" t="s">
        <v>51</v>
      </c>
      <c r="AF42" t="s">
        <v>56</v>
      </c>
      <c r="AH42" t="s">
        <v>56</v>
      </c>
      <c r="AJ42" t="s">
        <v>56</v>
      </c>
      <c r="AL42" t="s">
        <v>51</v>
      </c>
      <c r="AN42" t="s">
        <v>56</v>
      </c>
      <c r="AP42" t="s">
        <v>51</v>
      </c>
    </row>
    <row r="43" spans="1:42" x14ac:dyDescent="0.25">
      <c r="T43" t="s">
        <v>72</v>
      </c>
      <c r="V43" t="s">
        <v>71</v>
      </c>
      <c r="AB43" t="s">
        <v>60</v>
      </c>
      <c r="AD43" t="s">
        <v>58</v>
      </c>
      <c r="AF43" t="s">
        <v>60</v>
      </c>
      <c r="AH43" t="s">
        <v>60</v>
      </c>
      <c r="AJ43" t="s">
        <v>60</v>
      </c>
      <c r="AL43" t="s">
        <v>58</v>
      </c>
      <c r="AN43" t="s">
        <v>60</v>
      </c>
      <c r="AP43" t="s">
        <v>58</v>
      </c>
    </row>
    <row r="44" spans="1:42" x14ac:dyDescent="0.25">
      <c r="T44" t="s">
        <v>78</v>
      </c>
      <c r="V44" t="s">
        <v>77</v>
      </c>
      <c r="AB44" t="s">
        <v>71</v>
      </c>
      <c r="AD44" t="s">
        <v>72</v>
      </c>
      <c r="AF44" t="s">
        <v>71</v>
      </c>
      <c r="AH44" t="s">
        <v>71</v>
      </c>
      <c r="AJ44" t="s">
        <v>71</v>
      </c>
      <c r="AL44" t="s">
        <v>72</v>
      </c>
      <c r="AN44" t="s">
        <v>71</v>
      </c>
      <c r="AP44" t="s">
        <v>73</v>
      </c>
    </row>
    <row r="45" spans="1:42" x14ac:dyDescent="0.25">
      <c r="AB45" t="s">
        <v>79</v>
      </c>
      <c r="AD45" t="s">
        <v>78</v>
      </c>
      <c r="AF45" t="s">
        <v>79</v>
      </c>
      <c r="AH45" t="s">
        <v>79</v>
      </c>
      <c r="AJ45" t="s">
        <v>81</v>
      </c>
      <c r="AL45" t="s">
        <v>78</v>
      </c>
      <c r="AN45" t="s">
        <v>81</v>
      </c>
      <c r="AP45" t="s">
        <v>80</v>
      </c>
    </row>
    <row r="46" spans="1:42" x14ac:dyDescent="0.25">
      <c r="AB46" t="s">
        <v>72</v>
      </c>
      <c r="AD46" t="s">
        <v>71</v>
      </c>
      <c r="AF46" t="s">
        <v>73</v>
      </c>
      <c r="AH46" t="s">
        <v>73</v>
      </c>
      <c r="AJ46" t="s">
        <v>72</v>
      </c>
      <c r="AL46" t="s">
        <v>71</v>
      </c>
      <c r="AN46" t="s">
        <v>73</v>
      </c>
      <c r="AP46" t="s">
        <v>71</v>
      </c>
    </row>
    <row r="47" spans="1:42" x14ac:dyDescent="0.25">
      <c r="AB47" t="s">
        <v>78</v>
      </c>
      <c r="AD47" t="s">
        <v>79</v>
      </c>
      <c r="AF47" t="s">
        <v>80</v>
      </c>
      <c r="AH47" t="s">
        <v>80</v>
      </c>
      <c r="AJ47" t="s">
        <v>78</v>
      </c>
      <c r="AL47" t="s">
        <v>81</v>
      </c>
      <c r="AN47" t="s">
        <v>80</v>
      </c>
      <c r="AP47" t="s">
        <v>81</v>
      </c>
    </row>
    <row r="48" spans="1:42" x14ac:dyDescent="0.25">
      <c r="AB48" t="s">
        <v>81</v>
      </c>
      <c r="AD48" t="s">
        <v>73</v>
      </c>
      <c r="AF48" t="s">
        <v>81</v>
      </c>
      <c r="AH48" t="s">
        <v>81</v>
      </c>
      <c r="AJ48" t="s">
        <v>79</v>
      </c>
      <c r="AL48" t="s">
        <v>73</v>
      </c>
      <c r="AN48" t="s">
        <v>79</v>
      </c>
      <c r="AP48" t="s">
        <v>72</v>
      </c>
    </row>
    <row r="49" spans="28:42" x14ac:dyDescent="0.25">
      <c r="AB49" t="s">
        <v>95</v>
      </c>
      <c r="AD49" t="s">
        <v>80</v>
      </c>
      <c r="AF49" t="s">
        <v>95</v>
      </c>
      <c r="AH49" t="s">
        <v>95</v>
      </c>
      <c r="AJ49" t="s">
        <v>96</v>
      </c>
      <c r="AL49" t="s">
        <v>80</v>
      </c>
      <c r="AN49" t="s">
        <v>96</v>
      </c>
      <c r="AP49" t="s">
        <v>78</v>
      </c>
    </row>
    <row r="50" spans="28:42" x14ac:dyDescent="0.25">
      <c r="AB50" t="s">
        <v>73</v>
      </c>
      <c r="AD50" t="s">
        <v>81</v>
      </c>
      <c r="AF50" t="s">
        <v>72</v>
      </c>
      <c r="AH50" t="s">
        <v>72</v>
      </c>
      <c r="AJ50" t="s">
        <v>73</v>
      </c>
      <c r="AL50" t="s">
        <v>79</v>
      </c>
      <c r="AN50" t="s">
        <v>72</v>
      </c>
      <c r="AP50" t="s">
        <v>79</v>
      </c>
    </row>
    <row r="51" spans="28:42" x14ac:dyDescent="0.25">
      <c r="AB51" t="s">
        <v>80</v>
      </c>
      <c r="AD51" t="s">
        <v>95</v>
      </c>
      <c r="AF51" t="s">
        <v>78</v>
      </c>
      <c r="AH51" t="s">
        <v>78</v>
      </c>
      <c r="AJ51" t="s">
        <v>80</v>
      </c>
      <c r="AL51" t="s">
        <v>96</v>
      </c>
      <c r="AN51" t="s">
        <v>78</v>
      </c>
      <c r="AP51" t="s">
        <v>96</v>
      </c>
    </row>
  </sheetData>
  <sortState xmlns:xlrd2="http://schemas.microsoft.com/office/spreadsheetml/2017/richdata2" ref="AJ21:AM31">
    <sortCondition ref="AL21:AL31"/>
  </sortState>
  <pageMargins left="0.7" right="0.7" top="0.75" bottom="0.75" header="0.3" footer="0.3"/>
  <pageSetup paperSize="9" orientation="portrait" r:id="rId1"/>
  <tableParts count="3">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75"/>
  <sheetViews>
    <sheetView zoomScale="90" zoomScaleNormal="90" workbookViewId="0">
      <selection activeCell="L9" sqref="L9"/>
    </sheetView>
  </sheetViews>
  <sheetFormatPr defaultRowHeight="15.75" x14ac:dyDescent="0.25"/>
  <cols>
    <col min="1" max="1" width="12.125" bestFit="1" customWidth="1"/>
    <col min="2" max="2" width="6" style="4" bestFit="1" customWidth="1"/>
    <col min="3" max="3" width="9.375" customWidth="1"/>
    <col min="4" max="4" width="42.5" bestFit="1" customWidth="1"/>
    <col min="5" max="5" width="8.875" style="4" bestFit="1" customWidth="1"/>
    <col min="6" max="6" width="20.75" bestFit="1" customWidth="1"/>
    <col min="7" max="10" width="6" bestFit="1" customWidth="1"/>
    <col min="11" max="11" width="42.875" style="4" bestFit="1" customWidth="1"/>
    <col min="12" max="12" width="6" style="4" bestFit="1" customWidth="1"/>
    <col min="13" max="13" width="7.375" style="4" bestFit="1" customWidth="1"/>
    <col min="14" max="14" width="6.875" style="4" bestFit="1" customWidth="1"/>
    <col min="15" max="15" width="7.25" style="4" bestFit="1" customWidth="1"/>
    <col min="16" max="16" width="6" bestFit="1" customWidth="1"/>
    <col min="17" max="17" width="8.5" bestFit="1" customWidth="1"/>
    <col min="18" max="18" width="7.875" bestFit="1" customWidth="1"/>
    <col min="19" max="20" width="7.625" bestFit="1" customWidth="1"/>
  </cols>
  <sheetData>
    <row r="1" spans="1:17" x14ac:dyDescent="0.25">
      <c r="A1" s="34">
        <f>COLUMN()</f>
        <v>1</v>
      </c>
      <c r="B1" s="34">
        <f>COLUMN()</f>
        <v>2</v>
      </c>
      <c r="C1" s="34">
        <f>COLUMN()</f>
        <v>3</v>
      </c>
      <c r="D1" s="34">
        <f>COLUMN()</f>
        <v>4</v>
      </c>
      <c r="E1" s="34">
        <f>COLUMN()</f>
        <v>5</v>
      </c>
      <c r="F1" s="34">
        <f>COLUMN()</f>
        <v>6</v>
      </c>
      <c r="G1" s="34">
        <f>COLUMN()</f>
        <v>7</v>
      </c>
      <c r="H1" s="34">
        <f>COLUMN()</f>
        <v>8</v>
      </c>
      <c r="I1" s="34">
        <f>COLUMN()</f>
        <v>9</v>
      </c>
      <c r="J1" s="34">
        <f>COLUMN()</f>
        <v>10</v>
      </c>
      <c r="K1" s="34">
        <f>COLUMN()</f>
        <v>11</v>
      </c>
      <c r="L1" s="34">
        <f>COLUMN()</f>
        <v>12</v>
      </c>
      <c r="M1" s="34">
        <f>COLUMN()</f>
        <v>13</v>
      </c>
      <c r="N1" s="34">
        <f>COLUMN()</f>
        <v>14</v>
      </c>
      <c r="O1" s="34">
        <f>COLUMN()</f>
        <v>15</v>
      </c>
      <c r="P1" s="34">
        <f>COLUMN()</f>
        <v>16</v>
      </c>
    </row>
    <row r="2" spans="1:17" ht="68.25" x14ac:dyDescent="0.25">
      <c r="A2" t="s">
        <v>0</v>
      </c>
      <c r="B2" t="s">
        <v>1</v>
      </c>
      <c r="C2" t="s">
        <v>2</v>
      </c>
      <c r="D2" t="s">
        <v>125</v>
      </c>
      <c r="E2" t="s">
        <v>6</v>
      </c>
      <c r="F2" t="s">
        <v>126</v>
      </c>
      <c r="G2" s="175" t="s">
        <v>24</v>
      </c>
      <c r="H2" s="175" t="s">
        <v>25</v>
      </c>
      <c r="I2" s="175" t="s">
        <v>26</v>
      </c>
      <c r="J2" s="175" t="s">
        <v>27</v>
      </c>
      <c r="K2" t="s">
        <v>127</v>
      </c>
      <c r="L2" s="175" t="s">
        <v>82</v>
      </c>
      <c r="M2" s="175" t="s">
        <v>74</v>
      </c>
      <c r="N2" s="175" t="s">
        <v>128</v>
      </c>
      <c r="O2" s="175" t="s">
        <v>105</v>
      </c>
      <c r="P2" s="175" t="s">
        <v>106</v>
      </c>
      <c r="Q2" s="5"/>
    </row>
    <row r="3" spans="1:17" x14ac:dyDescent="0.25">
      <c r="A3" t="s">
        <v>80</v>
      </c>
      <c r="D3" t="s">
        <v>129</v>
      </c>
      <c r="F3" s="176"/>
      <c r="G3" s="177" t="str">
        <f>IFERROR(IF(VLOOKUP(TableHandbook[[#This Row],[UDC]],TableAvailabilities[],2,FALSE)&gt;0,"Y",""),"")</f>
        <v/>
      </c>
      <c r="H3" s="177" t="str">
        <f>IFERROR(IF(VLOOKUP(TableHandbook[[#This Row],[UDC]],TableAvailabilities[],3,FALSE)&gt;0,"Y",""),"")</f>
        <v/>
      </c>
      <c r="I3" s="177" t="str">
        <f>IFERROR(IF(VLOOKUP(TableHandbook[[#This Row],[UDC]],TableAvailabilities[],4,FALSE)&gt;0,"Y",""),"")</f>
        <v/>
      </c>
      <c r="J3" s="177" t="str">
        <f>IFERROR(IF(VLOOKUP(TableHandbook[[#This Row],[UDC]],TableAvailabilities[],5,FALSE)&gt;0,"Y",""),"")</f>
        <v/>
      </c>
      <c r="K3" s="76"/>
      <c r="L3" s="178" t="str">
        <f>IFERROR(VLOOKUP(TableHandbook[[#This Row],[UDC]],TableOCPROJM[],7,FALSE),"")</f>
        <v/>
      </c>
      <c r="M3" s="178" t="str">
        <f>IFERROR(VLOOKUP(TableHandbook[[#This Row],[UDC]],TableOGPROJM[],7,FALSE),"")</f>
        <v/>
      </c>
      <c r="N3" s="179" t="str">
        <f>IFERROR(VLOOKUP(TableHandbook[[#This Row],[UDC]],TableOMPROJM[],7,FALSE),"")</f>
        <v/>
      </c>
      <c r="O3" s="178" t="str">
        <f>IFERROR(VLOOKUP(TableHandbook[[#This Row],[UDC]],TableOUSPPROFL[],7,FALSE),"")</f>
        <v/>
      </c>
      <c r="P3" s="178" t="str">
        <f>IFERROR(VLOOKUP(TableHandbook[[#This Row],[UDC]],TableOUSPRESCH[],7,FALSE),"")</f>
        <v/>
      </c>
      <c r="Q3" s="5"/>
    </row>
    <row r="4" spans="1:17" x14ac:dyDescent="0.25">
      <c r="A4" t="s">
        <v>103</v>
      </c>
      <c r="D4" t="s">
        <v>130</v>
      </c>
      <c r="F4" s="176"/>
      <c r="G4" s="177" t="str">
        <f>IFERROR(IF(VLOOKUP(TableHandbook[[#This Row],[UDC]],TableAvailabilities[],2,FALSE)&gt;0,"Y",""),"")</f>
        <v/>
      </c>
      <c r="H4" s="177" t="str">
        <f>IFERROR(IF(VLOOKUP(TableHandbook[[#This Row],[UDC]],TableAvailabilities[],3,FALSE)&gt;0,"Y",""),"")</f>
        <v/>
      </c>
      <c r="I4" s="177" t="str">
        <f>IFERROR(IF(VLOOKUP(TableHandbook[[#This Row],[UDC]],TableAvailabilities[],4,FALSE)&gt;0,"Y",""),"")</f>
        <v/>
      </c>
      <c r="J4" s="177" t="str">
        <f>IFERROR(IF(VLOOKUP(TableHandbook[[#This Row],[UDC]],TableAvailabilities[],5,FALSE)&gt;0,"Y",""),"")</f>
        <v/>
      </c>
      <c r="K4" s="76"/>
      <c r="L4" s="178" t="str">
        <f>IFERROR(VLOOKUP(TableHandbook[[#This Row],[UDC]],TableOCPROJM[],7,FALSE),"")</f>
        <v/>
      </c>
      <c r="M4" s="178" t="str">
        <f>IFERROR(VLOOKUP(TableHandbook[[#This Row],[UDC]],TableOGPROJM[],7,FALSE),"")</f>
        <v/>
      </c>
      <c r="N4" s="179" t="str">
        <f>IFERROR(VLOOKUP(TableHandbook[[#This Row],[UDC]],TableOMPROJM[],7,FALSE),"")</f>
        <v/>
      </c>
      <c r="O4" s="178" t="str">
        <f>IFERROR(VLOOKUP(TableHandbook[[#This Row],[UDC]],TableOUSPPROFL[],7,FALSE),"")</f>
        <v/>
      </c>
      <c r="P4" s="178" t="str">
        <f>IFERROR(VLOOKUP(TableHandbook[[#This Row],[UDC]],TableOUSPRESCH[],7,FALSE),"")</f>
        <v/>
      </c>
    </row>
    <row r="5" spans="1:17" x14ac:dyDescent="0.25">
      <c r="A5" t="s">
        <v>131</v>
      </c>
      <c r="B5" s="4">
        <v>1</v>
      </c>
      <c r="D5" t="s">
        <v>132</v>
      </c>
      <c r="E5" s="4">
        <v>25</v>
      </c>
      <c r="F5" s="176" t="s">
        <v>133</v>
      </c>
      <c r="G5" s="177" t="str">
        <f>IFERROR(IF(VLOOKUP(TableHandbook[[#This Row],[UDC]],TableAvailabilities[],2,FALSE)&gt;0,"Y",""),"")</f>
        <v/>
      </c>
      <c r="H5" s="177" t="str">
        <f>IFERROR(IF(VLOOKUP(TableHandbook[[#This Row],[UDC]],TableAvailabilities[],3,FALSE)&gt;0,"Y",""),"")</f>
        <v/>
      </c>
      <c r="I5" s="177" t="str">
        <f>IFERROR(IF(VLOOKUP(TableHandbook[[#This Row],[UDC]],TableAvailabilities[],4,FALSE)&gt;0,"Y",""),"")</f>
        <v/>
      </c>
      <c r="J5" s="177" t="str">
        <f>IFERROR(IF(VLOOKUP(TableHandbook[[#This Row],[UDC]],TableAvailabilities[],5,FALSE)&gt;0,"Y",""),"")</f>
        <v/>
      </c>
      <c r="K5" s="76"/>
      <c r="L5" s="178" t="str">
        <f>IFERROR(VLOOKUP(TableHandbook[[#This Row],[UDC]],TableOCPROJM[],7,FALSE),"")</f>
        <v/>
      </c>
      <c r="M5" s="178" t="str">
        <f>IFERROR(VLOOKUP(TableHandbook[[#This Row],[UDC]],TableOGPROJM[],7,FALSE),"")</f>
        <v/>
      </c>
      <c r="N5" s="179" t="str">
        <f>IFERROR(VLOOKUP(TableHandbook[[#This Row],[UDC]],TableOMPROJM[],7,FALSE),"")</f>
        <v/>
      </c>
      <c r="O5" s="178" t="str">
        <f>IFERROR(VLOOKUP(TableHandbook[[#This Row],[UDC]],TableOUSPPROFL[],7,FALSE),"")</f>
        <v/>
      </c>
      <c r="P5" s="178" t="str">
        <f>IFERROR(VLOOKUP(TableHandbook[[#This Row],[UDC]],TableOUSPRESCH[],7,FALSE),"")</f>
        <v/>
      </c>
    </row>
    <row r="6" spans="1:17" x14ac:dyDescent="0.25">
      <c r="A6" t="s">
        <v>77</v>
      </c>
      <c r="D6" t="s">
        <v>134</v>
      </c>
      <c r="E6" s="4">
        <v>25</v>
      </c>
      <c r="F6" s="176" t="s">
        <v>135</v>
      </c>
      <c r="G6" s="177" t="str">
        <f>IFERROR(IF(VLOOKUP(TableHandbook[[#This Row],[UDC]],TableAvailabilities[],2,FALSE)&gt;0,"Y",""),"")</f>
        <v/>
      </c>
      <c r="H6" s="177" t="str">
        <f>IFERROR(IF(VLOOKUP(TableHandbook[[#This Row],[UDC]],TableAvailabilities[],3,FALSE)&gt;0,"Y",""),"")</f>
        <v/>
      </c>
      <c r="I6" s="177" t="str">
        <f>IFERROR(IF(VLOOKUP(TableHandbook[[#This Row],[UDC]],TableAvailabilities[],4,FALSE)&gt;0,"Y",""),"")</f>
        <v/>
      </c>
      <c r="J6" s="177" t="str">
        <f>IFERROR(IF(VLOOKUP(TableHandbook[[#This Row],[UDC]],TableAvailabilities[],5,FALSE)&gt;0,"Y",""),"")</f>
        <v/>
      </c>
      <c r="K6" s="76"/>
      <c r="L6" s="178" t="str">
        <f>IFERROR(VLOOKUP(TableHandbook[[#This Row],[UDC]],TableOCPROJM[],7,FALSE),"")</f>
        <v/>
      </c>
      <c r="M6" s="178" t="str">
        <f>IFERROR(VLOOKUP(TableHandbook[[#This Row],[UDC]],TableOGPROJM[],7,FALSE),"")</f>
        <v/>
      </c>
      <c r="N6" s="179" t="str">
        <f>IFERROR(VLOOKUP(TableHandbook[[#This Row],[UDC]],TableOMPROJM[],7,FALSE),"")</f>
        <v/>
      </c>
      <c r="O6" s="178" t="str">
        <f>IFERROR(VLOOKUP(TableHandbook[[#This Row],[UDC]],TableOUSPPROFL[],7,FALSE),"")</f>
        <v/>
      </c>
      <c r="P6" s="178" t="str">
        <f>IFERROR(VLOOKUP(TableHandbook[[#This Row],[UDC]],TableOUSPRESCH[],7,FALSE),"")</f>
        <v/>
      </c>
    </row>
    <row r="7" spans="1:17" x14ac:dyDescent="0.25">
      <c r="A7" t="s">
        <v>136</v>
      </c>
      <c r="D7" t="s">
        <v>137</v>
      </c>
      <c r="E7" s="4">
        <v>25</v>
      </c>
      <c r="F7" s="206" t="s">
        <v>135</v>
      </c>
      <c r="G7" s="177" t="str">
        <f>IFERROR(IF(VLOOKUP(TableHandbook[[#This Row],[UDC]],TableAvailabilities[],2,FALSE)&gt;0,"Y",""),"")</f>
        <v/>
      </c>
      <c r="H7" s="177" t="str">
        <f>IFERROR(IF(VLOOKUP(TableHandbook[[#This Row],[UDC]],TableAvailabilities[],3,FALSE)&gt;0,"Y",""),"")</f>
        <v/>
      </c>
      <c r="I7" s="177" t="str">
        <f>IFERROR(IF(VLOOKUP(TableHandbook[[#This Row],[UDC]],TableAvailabilities[],4,FALSE)&gt;0,"Y",""),"")</f>
        <v/>
      </c>
      <c r="J7" s="177" t="str">
        <f>IFERROR(IF(VLOOKUP(TableHandbook[[#This Row],[UDC]],TableAvailabilities[],5,FALSE)&gt;0,"Y",""),"")</f>
        <v/>
      </c>
      <c r="K7" s="76"/>
      <c r="L7" s="178" t="str">
        <f>IFERROR(VLOOKUP(TableHandbook[[#This Row],[UDC]],TableOCPROJM[],7,FALSE),"")</f>
        <v/>
      </c>
      <c r="M7" s="178" t="str">
        <f>IFERROR(VLOOKUP(TableHandbook[[#This Row],[UDC]],TableOGPROJM[],7,FALSE),"")</f>
        <v/>
      </c>
      <c r="N7" s="179" t="str">
        <f>IFERROR(VLOOKUP(TableHandbook[[#This Row],[UDC]],TableOMPROJM[],7,FALSE),"")</f>
        <v/>
      </c>
      <c r="O7" s="178" t="str">
        <f>IFERROR(VLOOKUP(TableHandbook[[#This Row],[UDC]],TableOUSPPROFL[],7,FALSE),"")</f>
        <v/>
      </c>
      <c r="P7" s="178" t="str">
        <f>IFERROR(VLOOKUP(TableHandbook[[#This Row],[UDC]],TableOUSPRESCH[],7,FALSE),"")</f>
        <v/>
      </c>
    </row>
    <row r="8" spans="1:17" x14ac:dyDescent="0.25">
      <c r="A8" t="s">
        <v>104</v>
      </c>
      <c r="D8" t="s">
        <v>138</v>
      </c>
      <c r="E8" s="4">
        <v>25</v>
      </c>
      <c r="F8" s="176" t="s">
        <v>135</v>
      </c>
      <c r="G8" s="177" t="str">
        <f>IFERROR(IF(VLOOKUP(TableHandbook[[#This Row],[UDC]],TableAvailabilities[],2,FALSE)&gt;0,"Y",""),"")</f>
        <v/>
      </c>
      <c r="H8" s="177" t="str">
        <f>IFERROR(IF(VLOOKUP(TableHandbook[[#This Row],[UDC]],TableAvailabilities[],3,FALSE)&gt;0,"Y",""),"")</f>
        <v/>
      </c>
      <c r="I8" s="177" t="str">
        <f>IFERROR(IF(VLOOKUP(TableHandbook[[#This Row],[UDC]],TableAvailabilities[],4,FALSE)&gt;0,"Y",""),"")</f>
        <v/>
      </c>
      <c r="J8" s="177" t="str">
        <f>IFERROR(IF(VLOOKUP(TableHandbook[[#This Row],[UDC]],TableAvailabilities[],5,FALSE)&gt;0,"Y",""),"")</f>
        <v/>
      </c>
      <c r="K8" s="76"/>
      <c r="L8" s="178" t="str">
        <f>IFERROR(VLOOKUP(TableHandbook[[#This Row],[UDC]],TableOCPROJM[],7,FALSE),"")</f>
        <v/>
      </c>
      <c r="M8" s="178" t="str">
        <f>IFERROR(VLOOKUP(TableHandbook[[#This Row],[UDC]],TableOGPROJM[],7,FALSE),"")</f>
        <v>AltCore</v>
      </c>
      <c r="N8" s="179" t="str">
        <f>IFERROR(VLOOKUP(TableHandbook[[#This Row],[UDC]],TableOMPROJM[],7,FALSE),"")</f>
        <v/>
      </c>
      <c r="O8" s="178" t="str">
        <f>IFERROR(VLOOKUP(TableHandbook[[#This Row],[UDC]],TableOUSPPROFL[],7,FALSE),"")</f>
        <v/>
      </c>
      <c r="P8" s="178" t="str">
        <f>IFERROR(VLOOKUP(TableHandbook[[#This Row],[UDC]],TableOUSPRESCH[],7,FALSE),"")</f>
        <v/>
      </c>
    </row>
    <row r="9" spans="1:17" x14ac:dyDescent="0.25">
      <c r="A9" t="s">
        <v>95</v>
      </c>
      <c r="D9" t="s">
        <v>139</v>
      </c>
      <c r="E9" s="4">
        <v>25</v>
      </c>
      <c r="F9" s="176" t="s">
        <v>140</v>
      </c>
      <c r="G9" s="177" t="str">
        <f>IFERROR(IF(VLOOKUP(TableHandbook[[#This Row],[UDC]],TableAvailabilities[],2,FALSE)&gt;0,"Y",""),"")</f>
        <v/>
      </c>
      <c r="H9" s="177" t="str">
        <f>IFERROR(IF(VLOOKUP(TableHandbook[[#This Row],[UDC]],TableAvailabilities[],3,FALSE)&gt;0,"Y",""),"")</f>
        <v/>
      </c>
      <c r="I9" s="177" t="str">
        <f>IFERROR(IF(VLOOKUP(TableHandbook[[#This Row],[UDC]],TableAvailabilities[],4,FALSE)&gt;0,"Y",""),"")</f>
        <v/>
      </c>
      <c r="J9" s="177" t="str">
        <f>IFERROR(IF(VLOOKUP(TableHandbook[[#This Row],[UDC]],TableAvailabilities[],5,FALSE)&gt;0,"Y",""),"")</f>
        <v/>
      </c>
      <c r="K9" s="76"/>
      <c r="L9" s="178" t="str">
        <f>IFERROR(VLOOKUP(TableHandbook[[#This Row],[UDC]],TableOCPROJM[],7,FALSE),"")</f>
        <v/>
      </c>
      <c r="M9" s="178" t="str">
        <f>IFERROR(VLOOKUP(TableHandbook[[#This Row],[UDC]],TableOGPROJM[],7,FALSE),"")</f>
        <v/>
      </c>
      <c r="N9" s="179" t="str">
        <f>IFERROR(VLOOKUP(TableHandbook[[#This Row],[UDC]],TableOMPROJM[],7,FALSE),"")</f>
        <v/>
      </c>
      <c r="O9" s="178" t="str">
        <f>IFERROR(VLOOKUP(TableHandbook[[#This Row],[UDC]],TableOUSPPROFL[],7,FALSE),"")</f>
        <v>Elective</v>
      </c>
      <c r="P9" s="178" t="str">
        <f>IFERROR(VLOOKUP(TableHandbook[[#This Row],[UDC]],TableOUSPRESCH[],7,FALSE),"")</f>
        <v/>
      </c>
    </row>
    <row r="10" spans="1:17" x14ac:dyDescent="0.25">
      <c r="A10" t="s">
        <v>95</v>
      </c>
      <c r="D10" t="s">
        <v>141</v>
      </c>
      <c r="E10" s="4">
        <v>25</v>
      </c>
      <c r="F10" s="176" t="s">
        <v>142</v>
      </c>
      <c r="G10" s="177" t="str">
        <f>IFERROR(IF(VLOOKUP(TableHandbook[[#This Row],[UDC]],TableAvailabilities[],2,FALSE)&gt;0,"Y",""),"")</f>
        <v/>
      </c>
      <c r="H10" s="177" t="str">
        <f>IFERROR(IF(VLOOKUP(TableHandbook[[#This Row],[UDC]],TableAvailabilities[],3,FALSE)&gt;0,"Y",""),"")</f>
        <v/>
      </c>
      <c r="I10" s="177" t="str">
        <f>IFERROR(IF(VLOOKUP(TableHandbook[[#This Row],[UDC]],TableAvailabilities[],4,FALSE)&gt;0,"Y",""),"")</f>
        <v/>
      </c>
      <c r="J10" s="177" t="str">
        <f>IFERROR(IF(VLOOKUP(TableHandbook[[#This Row],[UDC]],TableAvailabilities[],5,FALSE)&gt;0,"Y",""),"")</f>
        <v/>
      </c>
      <c r="K10" s="76"/>
      <c r="L10" s="178" t="str">
        <f>IFERROR(VLOOKUP(TableHandbook[[#This Row],[UDC]],TableOCPROJM[],7,FALSE),"")</f>
        <v/>
      </c>
      <c r="M10" s="178" t="str">
        <f>IFERROR(VLOOKUP(TableHandbook[[#This Row],[UDC]],TableOGPROJM[],7,FALSE),"")</f>
        <v/>
      </c>
      <c r="N10" s="179" t="str">
        <f>IFERROR(VLOOKUP(TableHandbook[[#This Row],[UDC]],TableOMPROJM[],7,FALSE),"")</f>
        <v/>
      </c>
      <c r="O10" s="178" t="str">
        <f>IFERROR(VLOOKUP(TableHandbook[[#This Row],[UDC]],TableOUSPPROFL[],7,FALSE),"")</f>
        <v>Elective</v>
      </c>
      <c r="P10" s="178" t="str">
        <f>IFERROR(VLOOKUP(TableHandbook[[#This Row],[UDC]],TableOUSPRESCH[],7,FALSE),"")</f>
        <v/>
      </c>
    </row>
    <row r="11" spans="1:17" x14ac:dyDescent="0.25">
      <c r="A11" t="s">
        <v>143</v>
      </c>
      <c r="B11" s="4">
        <v>1</v>
      </c>
      <c r="D11" t="s">
        <v>144</v>
      </c>
      <c r="E11" s="4">
        <v>25</v>
      </c>
      <c r="F11" s="176" t="s">
        <v>133</v>
      </c>
      <c r="G11" s="177" t="str">
        <f>IFERROR(IF(VLOOKUP(TableHandbook[[#This Row],[UDC]],TableAvailabilities[],2,FALSE)&gt;0,"Y",""),"")</f>
        <v/>
      </c>
      <c r="H11" s="177" t="str">
        <f>IFERROR(IF(VLOOKUP(TableHandbook[[#This Row],[UDC]],TableAvailabilities[],3,FALSE)&gt;0,"Y",""),"")</f>
        <v/>
      </c>
      <c r="I11" s="177" t="str">
        <f>IFERROR(IF(VLOOKUP(TableHandbook[[#This Row],[UDC]],TableAvailabilities[],4,FALSE)&gt;0,"Y",""),"")</f>
        <v/>
      </c>
      <c r="J11" s="177" t="str">
        <f>IFERROR(IF(VLOOKUP(TableHandbook[[#This Row],[UDC]],TableAvailabilities[],5,FALSE)&gt;0,"Y",""),"")</f>
        <v/>
      </c>
      <c r="K11" s="76"/>
      <c r="L11" s="178" t="str">
        <f>IFERROR(VLOOKUP(TableHandbook[[#This Row],[UDC]],TableOCPROJM[],7,FALSE),"")</f>
        <v/>
      </c>
      <c r="M11" s="178" t="str">
        <f>IFERROR(VLOOKUP(TableHandbook[[#This Row],[UDC]],TableOGPROJM[],7,FALSE),"")</f>
        <v/>
      </c>
      <c r="N11" s="179" t="str">
        <f>IFERROR(VLOOKUP(TableHandbook[[#This Row],[UDC]],TableOMPROJM[],7,FALSE),"")</f>
        <v/>
      </c>
      <c r="O11" s="178" t="str">
        <f>IFERROR(VLOOKUP(TableHandbook[[#This Row],[UDC]],TableOUSPPROFL[],7,FALSE),"")</f>
        <v/>
      </c>
      <c r="P11" s="178" t="str">
        <f>IFERROR(VLOOKUP(TableHandbook[[#This Row],[UDC]],TableOUSPRESCH[],7,FALSE),"")</f>
        <v/>
      </c>
    </row>
    <row r="12" spans="1:17" x14ac:dyDescent="0.25">
      <c r="A12" t="s">
        <v>105</v>
      </c>
      <c r="B12" s="4">
        <v>2</v>
      </c>
      <c r="D12" t="s">
        <v>39</v>
      </c>
      <c r="E12" s="4">
        <v>300</v>
      </c>
      <c r="F12" s="176"/>
      <c r="G12" s="177" t="str">
        <f>IFERROR(IF(VLOOKUP(TableHandbook[[#This Row],[UDC]],TableAvailabilities[],2,FALSE)&gt;0,"Y",""),"")</f>
        <v/>
      </c>
      <c r="H12" s="177" t="str">
        <f>IFERROR(IF(VLOOKUP(TableHandbook[[#This Row],[UDC]],TableAvailabilities[],3,FALSE)&gt;0,"Y",""),"")</f>
        <v/>
      </c>
      <c r="I12" s="177" t="str">
        <f>IFERROR(IF(VLOOKUP(TableHandbook[[#This Row],[UDC]],TableAvailabilities[],4,FALSE)&gt;0,"Y",""),"")</f>
        <v/>
      </c>
      <c r="J12" s="177" t="str">
        <f>IFERROR(IF(VLOOKUP(TableHandbook[[#This Row],[UDC]],TableAvailabilities[],5,FALSE)&gt;0,"Y",""),"")</f>
        <v/>
      </c>
      <c r="K12" s="76"/>
      <c r="L12" s="178" t="str">
        <f>IFERROR(VLOOKUP(TableHandbook[[#This Row],[UDC]],TableOCPROJM[],7,FALSE),"")</f>
        <v/>
      </c>
      <c r="M12" s="178" t="str">
        <f>IFERROR(VLOOKUP(TableHandbook[[#This Row],[UDC]],TableOGPROJM[],7,FALSE),"")</f>
        <v/>
      </c>
      <c r="N12" s="179" t="str">
        <f>IFERROR(VLOOKUP(TableHandbook[[#This Row],[UDC]],TableOMPROJM[],7,FALSE),"")</f>
        <v>AltCore</v>
      </c>
      <c r="O12" s="178" t="str">
        <f>IFERROR(VLOOKUP(TableHandbook[[#This Row],[UDC]],TableOUSPPROFL[],7,FALSE),"")</f>
        <v/>
      </c>
      <c r="P12" s="178" t="str">
        <f>IFERROR(VLOOKUP(TableHandbook[[#This Row],[UDC]],TableOUSPRESCH[],7,FALSE),"")</f>
        <v/>
      </c>
    </row>
    <row r="13" spans="1:17" x14ac:dyDescent="0.25">
      <c r="A13" t="s">
        <v>106</v>
      </c>
      <c r="B13" s="4">
        <v>2</v>
      </c>
      <c r="D13" t="s">
        <v>40</v>
      </c>
      <c r="E13" s="4">
        <v>300</v>
      </c>
      <c r="F13" s="176"/>
      <c r="G13" s="177" t="str">
        <f>IFERROR(IF(VLOOKUP(TableHandbook[[#This Row],[UDC]],TableAvailabilities[],2,FALSE)&gt;0,"Y",""),"")</f>
        <v/>
      </c>
      <c r="H13" s="177" t="str">
        <f>IFERROR(IF(VLOOKUP(TableHandbook[[#This Row],[UDC]],TableAvailabilities[],3,FALSE)&gt;0,"Y",""),"")</f>
        <v/>
      </c>
      <c r="I13" s="177" t="str">
        <f>IFERROR(IF(VLOOKUP(TableHandbook[[#This Row],[UDC]],TableAvailabilities[],4,FALSE)&gt;0,"Y",""),"")</f>
        <v/>
      </c>
      <c r="J13" s="177" t="str">
        <f>IFERROR(IF(VLOOKUP(TableHandbook[[#This Row],[UDC]],TableAvailabilities[],5,FALSE)&gt;0,"Y",""),"")</f>
        <v/>
      </c>
      <c r="K13" s="76"/>
      <c r="L13" s="178" t="str">
        <f>IFERROR(VLOOKUP(TableHandbook[[#This Row],[UDC]],TableOCPROJM[],7,FALSE),"")</f>
        <v/>
      </c>
      <c r="M13" s="178" t="str">
        <f>IFERROR(VLOOKUP(TableHandbook[[#This Row],[UDC]],TableOGPROJM[],7,FALSE),"")</f>
        <v/>
      </c>
      <c r="N13" s="179" t="str">
        <f>IFERROR(VLOOKUP(TableHandbook[[#This Row],[UDC]],TableOMPROJM[],7,FALSE),"")</f>
        <v>AltCore</v>
      </c>
      <c r="O13" s="178" t="str">
        <f>IFERROR(VLOOKUP(TableHandbook[[#This Row],[UDC]],TableOUSPPROFL[],7,FALSE),"")</f>
        <v/>
      </c>
      <c r="P13" s="178" t="str">
        <f>IFERROR(VLOOKUP(TableHandbook[[#This Row],[UDC]],TableOUSPRESCH[],7,FALSE),"")</f>
        <v/>
      </c>
    </row>
    <row r="14" spans="1:17" x14ac:dyDescent="0.25">
      <c r="A14" t="s">
        <v>51</v>
      </c>
      <c r="B14" s="4">
        <v>1</v>
      </c>
      <c r="C14" t="s">
        <v>51</v>
      </c>
      <c r="D14" t="s">
        <v>145</v>
      </c>
      <c r="E14" s="4">
        <v>25</v>
      </c>
      <c r="F14" s="176" t="s">
        <v>133</v>
      </c>
      <c r="G14" s="177" t="str">
        <f>IFERROR(IF(VLOOKUP(TableHandbook[[#This Row],[UDC]],TableAvailabilities[],2,FALSE)&gt;0,"Y",""),"")</f>
        <v/>
      </c>
      <c r="H14" s="177" t="str">
        <f>IFERROR(IF(VLOOKUP(TableHandbook[[#This Row],[UDC]],TableAvailabilities[],3,FALSE)&gt;0,"Y",""),"")</f>
        <v/>
      </c>
      <c r="I14" s="177" t="str">
        <f>IFERROR(IF(VLOOKUP(TableHandbook[[#This Row],[UDC]],TableAvailabilities[],4,FALSE)&gt;0,"Y",""),"")</f>
        <v/>
      </c>
      <c r="J14" s="177" t="str">
        <f>IFERROR(IF(VLOOKUP(TableHandbook[[#This Row],[UDC]],TableAvailabilities[],5,FALSE)&gt;0,"Y",""),"")</f>
        <v/>
      </c>
      <c r="K14" s="76"/>
      <c r="L14" s="178" t="str">
        <f>IFERROR(VLOOKUP(TableHandbook[[#This Row],[UDC]],TableOCPROJM[],7,FALSE),"")</f>
        <v/>
      </c>
      <c r="M14" s="178" t="str">
        <f>IFERROR(VLOOKUP(TableHandbook[[#This Row],[UDC]],TableOGPROJM[],7,FALSE),"")</f>
        <v/>
      </c>
      <c r="N14" s="179" t="str">
        <f>IFERROR(VLOOKUP(TableHandbook[[#This Row],[UDC]],TableOMPROJM[],7,FALSE),"")</f>
        <v/>
      </c>
      <c r="O14" s="178" t="str">
        <f>IFERROR(VLOOKUP(TableHandbook[[#This Row],[UDC]],TableOUSPPROFL[],7,FALSE),"")</f>
        <v/>
      </c>
      <c r="P14" s="178" t="str">
        <f>IFERROR(VLOOKUP(TableHandbook[[#This Row],[UDC]],TableOUSPRESCH[],7,FALSE),"")</f>
        <v/>
      </c>
    </row>
    <row r="15" spans="1:17" x14ac:dyDescent="0.25">
      <c r="A15" t="s">
        <v>58</v>
      </c>
      <c r="B15" s="4">
        <v>1</v>
      </c>
      <c r="C15" t="s">
        <v>58</v>
      </c>
      <c r="D15" t="s">
        <v>146</v>
      </c>
      <c r="E15" s="4">
        <v>25</v>
      </c>
      <c r="F15" s="176" t="s">
        <v>133</v>
      </c>
      <c r="G15" s="177" t="str">
        <f>IFERROR(IF(VLOOKUP(TableHandbook[[#This Row],[UDC]],TableAvailabilities[],2,FALSE)&gt;0,"Y",""),"")</f>
        <v/>
      </c>
      <c r="H15" s="177" t="str">
        <f>IFERROR(IF(VLOOKUP(TableHandbook[[#This Row],[UDC]],TableAvailabilities[],3,FALSE)&gt;0,"Y",""),"")</f>
        <v/>
      </c>
      <c r="I15" s="177" t="str">
        <f>IFERROR(IF(VLOOKUP(TableHandbook[[#This Row],[UDC]],TableAvailabilities[],4,FALSE)&gt;0,"Y",""),"")</f>
        <v/>
      </c>
      <c r="J15" s="177" t="str">
        <f>IFERROR(IF(VLOOKUP(TableHandbook[[#This Row],[UDC]],TableAvailabilities[],5,FALSE)&gt;0,"Y",""),"")</f>
        <v/>
      </c>
      <c r="K15" s="76"/>
      <c r="L15" s="178" t="str">
        <f>IFERROR(VLOOKUP(TableHandbook[[#This Row],[UDC]],TableOCPROJM[],7,FALSE),"")</f>
        <v/>
      </c>
      <c r="M15" s="178" t="str">
        <f>IFERROR(VLOOKUP(TableHandbook[[#This Row],[UDC]],TableOGPROJM[],7,FALSE),"")</f>
        <v/>
      </c>
      <c r="N15" s="179" t="str">
        <f>IFERROR(VLOOKUP(TableHandbook[[#This Row],[UDC]],TableOMPROJM[],7,FALSE),"")</f>
        <v/>
      </c>
      <c r="O15" s="178" t="str">
        <f>IFERROR(VLOOKUP(TableHandbook[[#This Row],[UDC]],TableOUSPPROFL[],7,FALSE),"")</f>
        <v/>
      </c>
      <c r="P15" s="178" t="str">
        <f>IFERROR(VLOOKUP(TableHandbook[[#This Row],[UDC]],TableOUSPRESCH[],7,FALSE),"")</f>
        <v/>
      </c>
    </row>
    <row r="16" spans="1:17" x14ac:dyDescent="0.25">
      <c r="A16" t="s">
        <v>56</v>
      </c>
      <c r="B16" s="4">
        <v>2</v>
      </c>
      <c r="C16" t="s">
        <v>56</v>
      </c>
      <c r="D16" t="s">
        <v>147</v>
      </c>
      <c r="E16" s="4">
        <v>25</v>
      </c>
      <c r="F16" s="176" t="s">
        <v>133</v>
      </c>
      <c r="G16" s="177" t="str">
        <f>IFERROR(IF(VLOOKUP(TableHandbook[[#This Row],[UDC]],TableAvailabilities[],2,FALSE)&gt;0,"Y",""),"")</f>
        <v/>
      </c>
      <c r="H16" s="177" t="str">
        <f>IFERROR(IF(VLOOKUP(TableHandbook[[#This Row],[UDC]],TableAvailabilities[],3,FALSE)&gt;0,"Y",""),"")</f>
        <v/>
      </c>
      <c r="I16" s="177" t="str">
        <f>IFERROR(IF(VLOOKUP(TableHandbook[[#This Row],[UDC]],TableAvailabilities[],4,FALSE)&gt;0,"Y",""),"")</f>
        <v/>
      </c>
      <c r="J16" s="177" t="str">
        <f>IFERROR(IF(VLOOKUP(TableHandbook[[#This Row],[UDC]],TableAvailabilities[],5,FALSE)&gt;0,"Y",""),"")</f>
        <v/>
      </c>
      <c r="K16" s="76"/>
      <c r="L16" s="178" t="str">
        <f>IFERROR(VLOOKUP(TableHandbook[[#This Row],[UDC]],TableOCPROJM[],7,FALSE),"")</f>
        <v/>
      </c>
      <c r="M16" s="178" t="str">
        <f>IFERROR(VLOOKUP(TableHandbook[[#This Row],[UDC]],TableOGPROJM[],7,FALSE),"")</f>
        <v/>
      </c>
      <c r="N16" s="179" t="str">
        <f>IFERROR(VLOOKUP(TableHandbook[[#This Row],[UDC]],TableOMPROJM[],7,FALSE),"")</f>
        <v/>
      </c>
      <c r="O16" s="178" t="str">
        <f>IFERROR(VLOOKUP(TableHandbook[[#This Row],[UDC]],TableOUSPPROFL[],7,FALSE),"")</f>
        <v/>
      </c>
      <c r="P16" s="178" t="str">
        <f>IFERROR(VLOOKUP(TableHandbook[[#This Row],[UDC]],TableOUSPRESCH[],7,FALSE),"")</f>
        <v/>
      </c>
    </row>
    <row r="17" spans="1:16" x14ac:dyDescent="0.25">
      <c r="A17" t="s">
        <v>78</v>
      </c>
      <c r="B17" s="4">
        <v>1</v>
      </c>
      <c r="C17" t="s">
        <v>78</v>
      </c>
      <c r="D17" t="s">
        <v>148</v>
      </c>
      <c r="E17" s="4">
        <v>25</v>
      </c>
      <c r="F17" s="176" t="s">
        <v>149</v>
      </c>
      <c r="G17" s="177" t="str">
        <f>IFERROR(IF(VLOOKUP(TableHandbook[[#This Row],[UDC]],TableAvailabilities[],2,FALSE)&gt;0,"Y",""),"")</f>
        <v/>
      </c>
      <c r="H17" s="177" t="str">
        <f>IFERROR(IF(VLOOKUP(TableHandbook[[#This Row],[UDC]],TableAvailabilities[],3,FALSE)&gt;0,"Y",""),"")</f>
        <v/>
      </c>
      <c r="I17" s="177" t="str">
        <f>IFERROR(IF(VLOOKUP(TableHandbook[[#This Row],[UDC]],TableAvailabilities[],4,FALSE)&gt;0,"Y",""),"")</f>
        <v/>
      </c>
      <c r="J17" s="177" t="str">
        <f>IFERROR(IF(VLOOKUP(TableHandbook[[#This Row],[UDC]],TableAvailabilities[],5,FALSE)&gt;0,"Y",""),"")</f>
        <v/>
      </c>
      <c r="K17" s="76"/>
      <c r="L17" s="178" t="str">
        <f>IFERROR(VLOOKUP(TableHandbook[[#This Row],[UDC]],TableOCPROJM[],7,FALSE),"")</f>
        <v/>
      </c>
      <c r="M17" s="178" t="str">
        <f>IFERROR(VLOOKUP(TableHandbook[[#This Row],[UDC]],TableOGPROJM[],7,FALSE),"")</f>
        <v/>
      </c>
      <c r="N17" s="179" t="str">
        <f>IFERROR(VLOOKUP(TableHandbook[[#This Row],[UDC]],TableOMPROJM[],7,FALSE),"")</f>
        <v/>
      </c>
      <c r="O17" s="178" t="str">
        <f>IFERROR(VLOOKUP(TableHandbook[[#This Row],[UDC]],TableOUSPPROFL[],7,FALSE),"")</f>
        <v/>
      </c>
      <c r="P17" s="178" t="str">
        <f>IFERROR(VLOOKUP(TableHandbook[[#This Row],[UDC]],TableOUSPRESCH[],7,FALSE),"")</f>
        <v/>
      </c>
    </row>
    <row r="18" spans="1:16" x14ac:dyDescent="0.25">
      <c r="A18" t="s">
        <v>71</v>
      </c>
      <c r="B18" s="4">
        <v>1</v>
      </c>
      <c r="C18" t="s">
        <v>71</v>
      </c>
      <c r="D18" t="s">
        <v>150</v>
      </c>
      <c r="E18" s="4">
        <v>25</v>
      </c>
      <c r="F18" s="176" t="s">
        <v>133</v>
      </c>
      <c r="G18" s="177" t="str">
        <f>IFERROR(IF(VLOOKUP(TableHandbook[[#This Row],[UDC]],TableAvailabilities[],2,FALSE)&gt;0,"Y",""),"")</f>
        <v/>
      </c>
      <c r="H18" s="177" t="str">
        <f>IFERROR(IF(VLOOKUP(TableHandbook[[#This Row],[UDC]],TableAvailabilities[],3,FALSE)&gt;0,"Y",""),"")</f>
        <v/>
      </c>
      <c r="I18" s="177" t="str">
        <f>IFERROR(IF(VLOOKUP(TableHandbook[[#This Row],[UDC]],TableAvailabilities[],4,FALSE)&gt;0,"Y",""),"")</f>
        <v/>
      </c>
      <c r="J18" s="177" t="str">
        <f>IFERROR(IF(VLOOKUP(TableHandbook[[#This Row],[UDC]],TableAvailabilities[],5,FALSE)&gt;0,"Y",""),"")</f>
        <v/>
      </c>
      <c r="K18" s="76"/>
      <c r="L18" s="178" t="str">
        <f>IFERROR(VLOOKUP(TableHandbook[[#This Row],[UDC]],TableOCPROJM[],7,FALSE),"")</f>
        <v/>
      </c>
      <c r="M18" s="178" t="str">
        <f>IFERROR(VLOOKUP(TableHandbook[[#This Row],[UDC]],TableOGPROJM[],7,FALSE),"")</f>
        <v/>
      </c>
      <c r="N18" s="179" t="str">
        <f>IFERROR(VLOOKUP(TableHandbook[[#This Row],[UDC]],TableOMPROJM[],7,FALSE),"")</f>
        <v/>
      </c>
      <c r="O18" s="178" t="str">
        <f>IFERROR(VLOOKUP(TableHandbook[[#This Row],[UDC]],TableOUSPPROFL[],7,FALSE),"")</f>
        <v/>
      </c>
      <c r="P18" s="178" t="str">
        <f>IFERROR(VLOOKUP(TableHandbook[[#This Row],[UDC]],TableOUSPRESCH[],7,FALSE),"")</f>
        <v/>
      </c>
    </row>
    <row r="19" spans="1:16" x14ac:dyDescent="0.25">
      <c r="A19" t="s">
        <v>72</v>
      </c>
      <c r="B19" s="4">
        <v>1</v>
      </c>
      <c r="C19" t="s">
        <v>72</v>
      </c>
      <c r="D19" t="s">
        <v>151</v>
      </c>
      <c r="E19" s="4">
        <v>25</v>
      </c>
      <c r="F19" s="176" t="s">
        <v>149</v>
      </c>
      <c r="G19" s="177" t="str">
        <f>IFERROR(IF(VLOOKUP(TableHandbook[[#This Row],[UDC]],TableAvailabilities[],2,FALSE)&gt;0,"Y",""),"")</f>
        <v/>
      </c>
      <c r="H19" s="177" t="str">
        <f>IFERROR(IF(VLOOKUP(TableHandbook[[#This Row],[UDC]],TableAvailabilities[],3,FALSE)&gt;0,"Y",""),"")</f>
        <v/>
      </c>
      <c r="I19" s="177" t="str">
        <f>IFERROR(IF(VLOOKUP(TableHandbook[[#This Row],[UDC]],TableAvailabilities[],4,FALSE)&gt;0,"Y",""),"")</f>
        <v/>
      </c>
      <c r="J19" s="177" t="str">
        <f>IFERROR(IF(VLOOKUP(TableHandbook[[#This Row],[UDC]],TableAvailabilities[],5,FALSE)&gt;0,"Y",""),"")</f>
        <v/>
      </c>
      <c r="K19" s="76"/>
      <c r="L19" s="178" t="str">
        <f>IFERROR(VLOOKUP(TableHandbook[[#This Row],[UDC]],TableOCPROJM[],7,FALSE),"")</f>
        <v/>
      </c>
      <c r="M19" s="178" t="str">
        <f>IFERROR(VLOOKUP(TableHandbook[[#This Row],[UDC]],TableOGPROJM[],7,FALSE),"")</f>
        <v/>
      </c>
      <c r="N19" s="179" t="str">
        <f>IFERROR(VLOOKUP(TableHandbook[[#This Row],[UDC]],TableOMPROJM[],7,FALSE),"")</f>
        <v/>
      </c>
      <c r="O19" s="178" t="str">
        <f>IFERROR(VLOOKUP(TableHandbook[[#This Row],[UDC]],TableOUSPPROFL[],7,FALSE),"")</f>
        <v/>
      </c>
      <c r="P19" s="178" t="str">
        <f>IFERROR(VLOOKUP(TableHandbook[[#This Row],[UDC]],TableOUSPRESCH[],7,FALSE),"")</f>
        <v/>
      </c>
    </row>
    <row r="20" spans="1:16" x14ac:dyDescent="0.25">
      <c r="A20" t="s">
        <v>73</v>
      </c>
      <c r="B20" s="4">
        <v>2</v>
      </c>
      <c r="C20" t="s">
        <v>73</v>
      </c>
      <c r="D20" t="s">
        <v>152</v>
      </c>
      <c r="E20" s="4">
        <v>50</v>
      </c>
      <c r="F20" s="176" t="s">
        <v>153</v>
      </c>
      <c r="G20" s="177" t="str">
        <f>IFERROR(IF(VLOOKUP(TableHandbook[[#This Row],[UDC]],TableAvailabilities[],2,FALSE)&gt;0,"Y",""),"")</f>
        <v/>
      </c>
      <c r="H20" s="177" t="str">
        <f>IFERROR(IF(VLOOKUP(TableHandbook[[#This Row],[UDC]],TableAvailabilities[],3,FALSE)&gt;0,"Y",""),"")</f>
        <v/>
      </c>
      <c r="I20" s="177" t="str">
        <f>IFERROR(IF(VLOOKUP(TableHandbook[[#This Row],[UDC]],TableAvailabilities[],4,FALSE)&gt;0,"Y",""),"")</f>
        <v/>
      </c>
      <c r="J20" s="177" t="str">
        <f>IFERROR(IF(VLOOKUP(TableHandbook[[#This Row],[UDC]],TableAvailabilities[],5,FALSE)&gt;0,"Y",""),"")</f>
        <v/>
      </c>
      <c r="K20" s="76"/>
      <c r="L20" s="178" t="str">
        <f>IFERROR(VLOOKUP(TableHandbook[[#This Row],[UDC]],TableOCPROJM[],7,FALSE),"")</f>
        <v/>
      </c>
      <c r="M20" s="178" t="str">
        <f>IFERROR(VLOOKUP(TableHandbook[[#This Row],[UDC]],TableOGPROJM[],7,FALSE),"")</f>
        <v/>
      </c>
      <c r="N20" s="179" t="str">
        <f>IFERROR(VLOOKUP(TableHandbook[[#This Row],[UDC]],TableOMPROJM[],7,FALSE),"")</f>
        <v/>
      </c>
      <c r="O20" s="178" t="str">
        <f>IFERROR(VLOOKUP(TableHandbook[[#This Row],[UDC]],TableOUSPPROFL[],7,FALSE),"")</f>
        <v/>
      </c>
      <c r="P20" s="178" t="str">
        <f>IFERROR(VLOOKUP(TableHandbook[[#This Row],[UDC]],TableOUSPRESCH[],7,FALSE),"")</f>
        <v/>
      </c>
    </row>
    <row r="21" spans="1:16" x14ac:dyDescent="0.25">
      <c r="A21" t="s">
        <v>60</v>
      </c>
      <c r="B21" s="4">
        <v>1</v>
      </c>
      <c r="C21" t="s">
        <v>60</v>
      </c>
      <c r="D21" t="s">
        <v>154</v>
      </c>
      <c r="E21" s="4">
        <v>25</v>
      </c>
      <c r="F21" s="176" t="s">
        <v>133</v>
      </c>
      <c r="G21" s="177" t="str">
        <f>IFERROR(IF(VLOOKUP(TableHandbook[[#This Row],[UDC]],TableAvailabilities[],2,FALSE)&gt;0,"Y",""),"")</f>
        <v/>
      </c>
      <c r="H21" s="177" t="str">
        <f>IFERROR(IF(VLOOKUP(TableHandbook[[#This Row],[UDC]],TableAvailabilities[],3,FALSE)&gt;0,"Y",""),"")</f>
        <v/>
      </c>
      <c r="I21" s="177" t="str">
        <f>IFERROR(IF(VLOOKUP(TableHandbook[[#This Row],[UDC]],TableAvailabilities[],4,FALSE)&gt;0,"Y",""),"")</f>
        <v/>
      </c>
      <c r="J21" s="177" t="str">
        <f>IFERROR(IF(VLOOKUP(TableHandbook[[#This Row],[UDC]],TableAvailabilities[],5,FALSE)&gt;0,"Y",""),"")</f>
        <v/>
      </c>
      <c r="K21" s="76"/>
      <c r="L21" s="178" t="str">
        <f>IFERROR(VLOOKUP(TableHandbook[[#This Row],[UDC]],TableOCPROJM[],7,FALSE),"")</f>
        <v/>
      </c>
      <c r="M21" s="178" t="str">
        <f>IFERROR(VLOOKUP(TableHandbook[[#This Row],[UDC]],TableOGPROJM[],7,FALSE),"")</f>
        <v/>
      </c>
      <c r="N21" s="179" t="str">
        <f>IFERROR(VLOOKUP(TableHandbook[[#This Row],[UDC]],TableOMPROJM[],7,FALSE),"")</f>
        <v/>
      </c>
      <c r="O21" s="178" t="str">
        <f>IFERROR(VLOOKUP(TableHandbook[[#This Row],[UDC]],TableOUSPPROFL[],7,FALSE),"")</f>
        <v/>
      </c>
      <c r="P21" s="178" t="str">
        <f>IFERROR(VLOOKUP(TableHandbook[[#This Row],[UDC]],TableOUSPRESCH[],7,FALSE),"")</f>
        <v/>
      </c>
    </row>
    <row r="22" spans="1:16" x14ac:dyDescent="0.25">
      <c r="A22" t="s">
        <v>96</v>
      </c>
      <c r="B22" s="4">
        <v>2</v>
      </c>
      <c r="C22" t="s">
        <v>96</v>
      </c>
      <c r="D22" t="s">
        <v>155</v>
      </c>
      <c r="E22" s="4">
        <v>25</v>
      </c>
      <c r="F22" s="228"/>
      <c r="G22" s="177" t="str">
        <f>IFERROR(IF(VLOOKUP(TableHandbook[[#This Row],[UDC]],TableAvailabilities[],2,FALSE)&gt;0,"Y",""),"")</f>
        <v/>
      </c>
      <c r="H22" s="177" t="str">
        <f>IFERROR(IF(VLOOKUP(TableHandbook[[#This Row],[UDC]],TableAvailabilities[],3,FALSE)&gt;0,"Y",""),"")</f>
        <v/>
      </c>
      <c r="I22" s="177" t="str">
        <f>IFERROR(IF(VLOOKUP(TableHandbook[[#This Row],[UDC]],TableAvailabilities[],4,FALSE)&gt;0,"Y",""),"")</f>
        <v/>
      </c>
      <c r="J22" s="177" t="str">
        <f>IFERROR(IF(VLOOKUP(TableHandbook[[#This Row],[UDC]],TableAvailabilities[],5,FALSE)&gt;0,"Y",""),"")</f>
        <v/>
      </c>
      <c r="K22" s="76"/>
      <c r="L22" s="178" t="str">
        <f>IFERROR(VLOOKUP(TableHandbook[[#This Row],[UDC]],TableOCPROJM[],7,FALSE),"")</f>
        <v/>
      </c>
      <c r="M22" s="178" t="str">
        <f>IFERROR(VLOOKUP(TableHandbook[[#This Row],[UDC]],TableOGPROJM[],7,FALSE),"")</f>
        <v/>
      </c>
      <c r="N22" s="179" t="str">
        <f>IFERROR(VLOOKUP(TableHandbook[[#This Row],[UDC]],TableOMPROJM[],7,FALSE),"")</f>
        <v/>
      </c>
      <c r="O22" s="178" t="str">
        <f>IFERROR(VLOOKUP(TableHandbook[[#This Row],[UDC]],TableOUSPPROFL[],7,FALSE),"")</f>
        <v/>
      </c>
      <c r="P22" s="178" t="str">
        <f>IFERROR(VLOOKUP(TableHandbook[[#This Row],[UDC]],TableOUSPRESCH[],7,FALSE),"")</f>
        <v/>
      </c>
    </row>
    <row r="23" spans="1:16" x14ac:dyDescent="0.25">
      <c r="A23" t="s">
        <v>67</v>
      </c>
      <c r="B23" s="4">
        <v>2</v>
      </c>
      <c r="C23" t="s">
        <v>157</v>
      </c>
      <c r="D23" t="s">
        <v>145</v>
      </c>
      <c r="E23" s="4">
        <v>25</v>
      </c>
      <c r="F23" s="176" t="s">
        <v>133</v>
      </c>
      <c r="G23" s="177" t="str">
        <f>IFERROR(IF(VLOOKUP(TableHandbook[[#This Row],[UDC]],TableAvailabilities[],2,FALSE)&gt;0,"Y",""),"")</f>
        <v>Y</v>
      </c>
      <c r="H23" s="177" t="str">
        <f>IFERROR(IF(VLOOKUP(TableHandbook[[#This Row],[UDC]],TableAvailabilities[],3,FALSE)&gt;0,"Y",""),"")</f>
        <v/>
      </c>
      <c r="I23" s="177" t="str">
        <f>IFERROR(IF(VLOOKUP(TableHandbook[[#This Row],[UDC]],TableAvailabilities[],4,FALSE)&gt;0,"Y",""),"")</f>
        <v>Y</v>
      </c>
      <c r="J23" s="177" t="str">
        <f>IFERROR(IF(VLOOKUP(TableHandbook[[#This Row],[UDC]],TableAvailabilities[],5,FALSE)&gt;0,"Y",""),"")</f>
        <v/>
      </c>
      <c r="K23" s="76"/>
      <c r="L23" s="178" t="str">
        <f>IFERROR(VLOOKUP(TableHandbook[[#This Row],[UDC]],TableOCPROJM[],7,FALSE),"")</f>
        <v>Core</v>
      </c>
      <c r="M23" s="178" t="str">
        <f>IFERROR(VLOOKUP(TableHandbook[[#This Row],[UDC]],TableOGPROJM[],7,FALSE),"")</f>
        <v>Core</v>
      </c>
      <c r="N23" s="179" t="str">
        <f>IFERROR(VLOOKUP(TableHandbook[[#This Row],[UDC]],TableOMPROJM[],7,FALSE),"")</f>
        <v/>
      </c>
      <c r="O23" s="178" t="str">
        <f>IFERROR(VLOOKUP(TableHandbook[[#This Row],[UDC]],TableOUSPPROFL[],7,FALSE),"")</f>
        <v>Core</v>
      </c>
      <c r="P23" s="178" t="str">
        <f>IFERROR(VLOOKUP(TableHandbook[[#This Row],[UDC]],TableOUSPRESCH[],7,FALSE),"")</f>
        <v>Core</v>
      </c>
    </row>
    <row r="24" spans="1:16" x14ac:dyDescent="0.25">
      <c r="A24" t="s">
        <v>115</v>
      </c>
      <c r="B24" s="4">
        <v>1</v>
      </c>
      <c r="C24" t="s">
        <v>158</v>
      </c>
      <c r="D24" t="s">
        <v>151</v>
      </c>
      <c r="E24" s="4">
        <v>25</v>
      </c>
      <c r="F24" s="176" t="s">
        <v>149</v>
      </c>
      <c r="G24" s="177" t="str">
        <f>IFERROR(IF(VLOOKUP(TableHandbook[[#This Row],[UDC]],TableAvailabilities[],2,FALSE)&gt;0,"Y",""),"")</f>
        <v/>
      </c>
      <c r="H24" s="177" t="str">
        <f>IFERROR(IF(VLOOKUP(TableHandbook[[#This Row],[UDC]],TableAvailabilities[],3,FALSE)&gt;0,"Y",""),"")</f>
        <v>Y</v>
      </c>
      <c r="I24" s="177" t="str">
        <f>IFERROR(IF(VLOOKUP(TableHandbook[[#This Row],[UDC]],TableAvailabilities[],4,FALSE)&gt;0,"Y",""),"")</f>
        <v/>
      </c>
      <c r="J24" s="177" t="str">
        <f>IFERROR(IF(VLOOKUP(TableHandbook[[#This Row],[UDC]],TableAvailabilities[],5,FALSE)&gt;0,"Y",""),"")</f>
        <v>Y</v>
      </c>
      <c r="K24" s="76"/>
      <c r="L24" s="178" t="str">
        <f>IFERROR(VLOOKUP(TableHandbook[[#This Row],[UDC]],TableOCPROJM[],7,FALSE),"")</f>
        <v/>
      </c>
      <c r="M24" s="178" t="str">
        <f>IFERROR(VLOOKUP(TableHandbook[[#This Row],[UDC]],TableOGPROJM[],7,FALSE),"")</f>
        <v>Core</v>
      </c>
      <c r="N24" s="179" t="str">
        <f>IFERROR(VLOOKUP(TableHandbook[[#This Row],[UDC]],TableOMPROJM[],7,FALSE),"")</f>
        <v/>
      </c>
      <c r="O24" s="178" t="str">
        <f>IFERROR(VLOOKUP(TableHandbook[[#This Row],[UDC]],TableOUSPPROFL[],7,FALSE),"")</f>
        <v>Core</v>
      </c>
      <c r="P24" s="178" t="str">
        <f>IFERROR(VLOOKUP(TableHandbook[[#This Row],[UDC]],TableOUSPRESCH[],7,FALSE),"")</f>
        <v>Core</v>
      </c>
    </row>
    <row r="25" spans="1:16" x14ac:dyDescent="0.25">
      <c r="A25" t="s">
        <v>53</v>
      </c>
      <c r="B25" s="4">
        <v>1</v>
      </c>
      <c r="C25" t="s">
        <v>159</v>
      </c>
      <c r="D25" t="s">
        <v>154</v>
      </c>
      <c r="E25" s="4">
        <v>25</v>
      </c>
      <c r="F25" s="176" t="s">
        <v>133</v>
      </c>
      <c r="G25" s="177" t="str">
        <f>IFERROR(IF(VLOOKUP(TableHandbook[[#This Row],[UDC]],TableAvailabilities[],2,FALSE)&gt;0,"Y",""),"")</f>
        <v/>
      </c>
      <c r="H25" s="177" t="str">
        <f>IFERROR(IF(VLOOKUP(TableHandbook[[#This Row],[UDC]],TableAvailabilities[],3,FALSE)&gt;0,"Y",""),"")</f>
        <v>Y</v>
      </c>
      <c r="I25" s="177" t="str">
        <f>IFERROR(IF(VLOOKUP(TableHandbook[[#This Row],[UDC]],TableAvailabilities[],4,FALSE)&gt;0,"Y",""),"")</f>
        <v/>
      </c>
      <c r="J25" s="177" t="str">
        <f>IFERROR(IF(VLOOKUP(TableHandbook[[#This Row],[UDC]],TableAvailabilities[],5,FALSE)&gt;0,"Y",""),"")</f>
        <v>Y</v>
      </c>
      <c r="K25" s="76"/>
      <c r="L25" s="178" t="str">
        <f>IFERROR(VLOOKUP(TableHandbook[[#This Row],[UDC]],TableOCPROJM[],7,FALSE),"")</f>
        <v>Core</v>
      </c>
      <c r="M25" s="178" t="str">
        <f>IFERROR(VLOOKUP(TableHandbook[[#This Row],[UDC]],TableOGPROJM[],7,FALSE),"")</f>
        <v>Core</v>
      </c>
      <c r="N25" s="179" t="str">
        <f>IFERROR(VLOOKUP(TableHandbook[[#This Row],[UDC]],TableOMPROJM[],7,FALSE),"")</f>
        <v/>
      </c>
      <c r="O25" s="178" t="str">
        <f>IFERROR(VLOOKUP(TableHandbook[[#This Row],[UDC]],TableOUSPPROFL[],7,FALSE),"")</f>
        <v>Core</v>
      </c>
      <c r="P25" s="178" t="str">
        <f>IFERROR(VLOOKUP(TableHandbook[[#This Row],[UDC]],TableOUSPRESCH[],7,FALSE),"")</f>
        <v>Core</v>
      </c>
    </row>
    <row r="26" spans="1:16" x14ac:dyDescent="0.25">
      <c r="A26" t="s">
        <v>70</v>
      </c>
      <c r="B26" s="4">
        <v>1</v>
      </c>
      <c r="C26" t="s">
        <v>160</v>
      </c>
      <c r="D26" t="s">
        <v>146</v>
      </c>
      <c r="E26" s="4">
        <v>25</v>
      </c>
      <c r="F26" s="176" t="s">
        <v>133</v>
      </c>
      <c r="G26" s="177" t="str">
        <f>IFERROR(IF(VLOOKUP(TableHandbook[[#This Row],[UDC]],TableAvailabilities[],2,FALSE)&gt;0,"Y",""),"")</f>
        <v>Y</v>
      </c>
      <c r="H26" s="177" t="str">
        <f>IFERROR(IF(VLOOKUP(TableHandbook[[#This Row],[UDC]],TableAvailabilities[],3,FALSE)&gt;0,"Y",""),"")</f>
        <v/>
      </c>
      <c r="I26" s="177" t="str">
        <f>IFERROR(IF(VLOOKUP(TableHandbook[[#This Row],[UDC]],TableAvailabilities[],4,FALSE)&gt;0,"Y",""),"")</f>
        <v>Y</v>
      </c>
      <c r="J26" s="177" t="str">
        <f>IFERROR(IF(VLOOKUP(TableHandbook[[#This Row],[UDC]],TableAvailabilities[],5,FALSE)&gt;0,"Y",""),"")</f>
        <v/>
      </c>
      <c r="K26" s="76"/>
      <c r="L26" s="178" t="str">
        <f>IFERROR(VLOOKUP(TableHandbook[[#This Row],[UDC]],TableOCPROJM[],7,FALSE),"")</f>
        <v>Core</v>
      </c>
      <c r="M26" s="178" t="str">
        <f>IFERROR(VLOOKUP(TableHandbook[[#This Row],[UDC]],TableOGPROJM[],7,FALSE),"")</f>
        <v>Core</v>
      </c>
      <c r="N26" s="179" t="str">
        <f>IFERROR(VLOOKUP(TableHandbook[[#This Row],[UDC]],TableOMPROJM[],7,FALSE),"")</f>
        <v/>
      </c>
      <c r="O26" s="178" t="str">
        <f>IFERROR(VLOOKUP(TableHandbook[[#This Row],[UDC]],TableOUSPPROFL[],7,FALSE),"")</f>
        <v>Core</v>
      </c>
      <c r="P26" s="178" t="str">
        <f>IFERROR(VLOOKUP(TableHandbook[[#This Row],[UDC]],TableOUSPRESCH[],7,FALSE),"")</f>
        <v>Core</v>
      </c>
    </row>
    <row r="27" spans="1:16" x14ac:dyDescent="0.25">
      <c r="A27" t="s">
        <v>117</v>
      </c>
      <c r="B27" s="4">
        <v>1</v>
      </c>
      <c r="C27" t="s">
        <v>161</v>
      </c>
      <c r="D27" t="s">
        <v>152</v>
      </c>
      <c r="E27" s="4">
        <v>50</v>
      </c>
      <c r="F27" s="176" t="s">
        <v>153</v>
      </c>
      <c r="G27" s="177" t="str">
        <f>IFERROR(IF(VLOOKUP(TableHandbook[[#This Row],[UDC]],TableAvailabilities[],2,FALSE)&gt;0,"Y",""),"")</f>
        <v>Y</v>
      </c>
      <c r="H27" s="177" t="str">
        <f>IFERROR(IF(VLOOKUP(TableHandbook[[#This Row],[UDC]],TableAvailabilities[],3,FALSE)&gt;0,"Y",""),"")</f>
        <v>Y</v>
      </c>
      <c r="I27" s="177" t="str">
        <f>IFERROR(IF(VLOOKUP(TableHandbook[[#This Row],[UDC]],TableAvailabilities[],4,FALSE)&gt;0,"Y",""),"")</f>
        <v>Y</v>
      </c>
      <c r="J27" s="177" t="str">
        <f>IFERROR(IF(VLOOKUP(TableHandbook[[#This Row],[UDC]],TableAvailabilities[],5,FALSE)&gt;0,"Y",""),"")</f>
        <v/>
      </c>
      <c r="K27" s="76"/>
      <c r="L27" s="178" t="str">
        <f>IFERROR(VLOOKUP(TableHandbook[[#This Row],[UDC]],TableOCPROJM[],7,FALSE),"")</f>
        <v/>
      </c>
      <c r="M27" s="178" t="str">
        <f>IFERROR(VLOOKUP(TableHandbook[[#This Row],[UDC]],TableOGPROJM[],7,FALSE),"")</f>
        <v/>
      </c>
      <c r="N27" s="179" t="str">
        <f>IFERROR(VLOOKUP(TableHandbook[[#This Row],[UDC]],TableOMPROJM[],7,FALSE),"")</f>
        <v/>
      </c>
      <c r="O27" s="178" t="str">
        <f>IFERROR(VLOOKUP(TableHandbook[[#This Row],[UDC]],TableOUSPPROFL[],7,FALSE),"")</f>
        <v>Core</v>
      </c>
      <c r="P27" s="178" t="str">
        <f>IFERROR(VLOOKUP(TableHandbook[[#This Row],[UDC]],TableOUSPRESCH[],7,FALSE),"")</f>
        <v>Core</v>
      </c>
    </row>
    <row r="28" spans="1:16" x14ac:dyDescent="0.25">
      <c r="A28" t="s">
        <v>114</v>
      </c>
      <c r="B28" s="4">
        <v>1</v>
      </c>
      <c r="C28" t="s">
        <v>162</v>
      </c>
      <c r="D28" t="s">
        <v>150</v>
      </c>
      <c r="E28" s="4">
        <v>25</v>
      </c>
      <c r="F28" s="176" t="s">
        <v>133</v>
      </c>
      <c r="G28" s="177" t="str">
        <f>IFERROR(IF(VLOOKUP(TableHandbook[[#This Row],[UDC]],TableAvailabilities[],2,FALSE)&gt;0,"Y",""),"")</f>
        <v>Y</v>
      </c>
      <c r="H28" s="177" t="str">
        <f>IFERROR(IF(VLOOKUP(TableHandbook[[#This Row],[UDC]],TableAvailabilities[],3,FALSE)&gt;0,"Y",""),"")</f>
        <v/>
      </c>
      <c r="I28" s="177" t="str">
        <f>IFERROR(IF(VLOOKUP(TableHandbook[[#This Row],[UDC]],TableAvailabilities[],4,FALSE)&gt;0,"Y",""),"")</f>
        <v>Y</v>
      </c>
      <c r="J28" s="177" t="str">
        <f>IFERROR(IF(VLOOKUP(TableHandbook[[#This Row],[UDC]],TableAvailabilities[],5,FALSE)&gt;0,"Y",""),"")</f>
        <v/>
      </c>
      <c r="K28" s="76"/>
      <c r="L28" s="178" t="str">
        <f>IFERROR(VLOOKUP(TableHandbook[[#This Row],[UDC]],TableOCPROJM[],7,FALSE),"")</f>
        <v/>
      </c>
      <c r="M28" s="178" t="str">
        <f>IFERROR(VLOOKUP(TableHandbook[[#This Row],[UDC]],TableOGPROJM[],7,FALSE),"")</f>
        <v>Core</v>
      </c>
      <c r="N28" s="179" t="str">
        <f>IFERROR(VLOOKUP(TableHandbook[[#This Row],[UDC]],TableOMPROJM[],7,FALSE),"")</f>
        <v/>
      </c>
      <c r="O28" s="178" t="str">
        <f>IFERROR(VLOOKUP(TableHandbook[[#This Row],[UDC]],TableOUSPPROFL[],7,FALSE),"")</f>
        <v>Core</v>
      </c>
      <c r="P28" s="178" t="str">
        <f>IFERROR(VLOOKUP(TableHandbook[[#This Row],[UDC]],TableOUSPRESCH[],7,FALSE),"")</f>
        <v>Core</v>
      </c>
    </row>
    <row r="29" spans="1:16" x14ac:dyDescent="0.25">
      <c r="A29" t="s">
        <v>116</v>
      </c>
      <c r="B29" s="4">
        <v>1</v>
      </c>
      <c r="C29" t="s">
        <v>163</v>
      </c>
      <c r="D29" t="s">
        <v>148</v>
      </c>
      <c r="E29" s="4">
        <v>25</v>
      </c>
      <c r="F29" s="176" t="s">
        <v>149</v>
      </c>
      <c r="G29" s="177" t="str">
        <f>IFERROR(IF(VLOOKUP(TableHandbook[[#This Row],[UDC]],TableAvailabilities[],2,FALSE)&gt;0,"Y",""),"")</f>
        <v/>
      </c>
      <c r="H29" s="177" t="str">
        <f>IFERROR(IF(VLOOKUP(TableHandbook[[#This Row],[UDC]],TableAvailabilities[],3,FALSE)&gt;0,"Y",""),"")</f>
        <v>Y</v>
      </c>
      <c r="I29" s="177" t="str">
        <f>IFERROR(IF(VLOOKUP(TableHandbook[[#This Row],[UDC]],TableAvailabilities[],4,FALSE)&gt;0,"Y",""),"")</f>
        <v/>
      </c>
      <c r="J29" s="177" t="str">
        <f>IFERROR(IF(VLOOKUP(TableHandbook[[#This Row],[UDC]],TableAvailabilities[],5,FALSE)&gt;0,"Y",""),"")</f>
        <v>Y</v>
      </c>
      <c r="K29" s="76"/>
      <c r="L29" s="178" t="str">
        <f>IFERROR(VLOOKUP(TableHandbook[[#This Row],[UDC]],TableOCPROJM[],7,FALSE),"")</f>
        <v/>
      </c>
      <c r="M29" s="178" t="str">
        <f>IFERROR(VLOOKUP(TableHandbook[[#This Row],[UDC]],TableOGPROJM[],7,FALSE),"")</f>
        <v>Core</v>
      </c>
      <c r="N29" s="179" t="str">
        <f>IFERROR(VLOOKUP(TableHandbook[[#This Row],[UDC]],TableOMPROJM[],7,FALSE),"")</f>
        <v/>
      </c>
      <c r="O29" s="178" t="str">
        <f>IFERROR(VLOOKUP(TableHandbook[[#This Row],[UDC]],TableOUSPPROFL[],7,FALSE),"")</f>
        <v>Core</v>
      </c>
      <c r="P29" s="178" t="str">
        <f>IFERROR(VLOOKUP(TableHandbook[[#This Row],[UDC]],TableOUSPRESCH[],7,FALSE),"")</f>
        <v>Core</v>
      </c>
    </row>
    <row r="30" spans="1:16" x14ac:dyDescent="0.25">
      <c r="A30" t="s">
        <v>59</v>
      </c>
      <c r="B30" s="4">
        <v>2</v>
      </c>
      <c r="C30" t="s">
        <v>164</v>
      </c>
      <c r="D30" t="s">
        <v>147</v>
      </c>
      <c r="E30" s="4">
        <v>25</v>
      </c>
      <c r="F30" s="176" t="s">
        <v>133</v>
      </c>
      <c r="G30" s="177" t="str">
        <f>IFERROR(IF(VLOOKUP(TableHandbook[[#This Row],[UDC]],TableAvailabilities[],2,FALSE)&gt;0,"Y",""),"")</f>
        <v/>
      </c>
      <c r="H30" s="177" t="str">
        <f>IFERROR(IF(VLOOKUP(TableHandbook[[#This Row],[UDC]],TableAvailabilities[],3,FALSE)&gt;0,"Y",""),"")</f>
        <v>Y</v>
      </c>
      <c r="I30" s="177" t="str">
        <f>IFERROR(IF(VLOOKUP(TableHandbook[[#This Row],[UDC]],TableAvailabilities[],4,FALSE)&gt;0,"Y",""),"")</f>
        <v/>
      </c>
      <c r="J30" s="177" t="str">
        <f>IFERROR(IF(VLOOKUP(TableHandbook[[#This Row],[UDC]],TableAvailabilities[],5,FALSE)&gt;0,"Y",""),"")</f>
        <v>Y</v>
      </c>
      <c r="K30" s="76"/>
      <c r="L30" s="178" t="str">
        <f>IFERROR(VLOOKUP(TableHandbook[[#This Row],[UDC]],TableOCPROJM[],7,FALSE),"")</f>
        <v>Core</v>
      </c>
      <c r="M30" s="178" t="str">
        <f>IFERROR(VLOOKUP(TableHandbook[[#This Row],[UDC]],TableOGPROJM[],7,FALSE),"")</f>
        <v>Core</v>
      </c>
      <c r="N30" s="179" t="str">
        <f>IFERROR(VLOOKUP(TableHandbook[[#This Row],[UDC]],TableOMPROJM[],7,FALSE),"")</f>
        <v/>
      </c>
      <c r="O30" s="178" t="str">
        <f>IFERROR(VLOOKUP(TableHandbook[[#This Row],[UDC]],TableOUSPPROFL[],7,FALSE),"")</f>
        <v>Core</v>
      </c>
      <c r="P30" s="178" t="str">
        <f>IFERROR(VLOOKUP(TableHandbook[[#This Row],[UDC]],TableOUSPRESCH[],7,FALSE),"")</f>
        <v>Core</v>
      </c>
    </row>
    <row r="31" spans="1:16" x14ac:dyDescent="0.25">
      <c r="A31" t="s">
        <v>124</v>
      </c>
      <c r="B31" s="4">
        <v>2</v>
      </c>
      <c r="C31" t="s">
        <v>165</v>
      </c>
      <c r="D31" t="s">
        <v>155</v>
      </c>
      <c r="E31" s="4">
        <v>25</v>
      </c>
      <c r="F31" s="176" t="s">
        <v>156</v>
      </c>
      <c r="G31" s="177" t="str">
        <f>IFERROR(IF(VLOOKUP(TableHandbook[[#This Row],[UDC]],TableAvailabilities[],2,FALSE)&gt;0,"Y",""),"")</f>
        <v>Y</v>
      </c>
      <c r="H31" s="177" t="str">
        <f>IFERROR(IF(VLOOKUP(TableHandbook[[#This Row],[UDC]],TableAvailabilities[],3,FALSE)&gt;0,"Y",""),"")</f>
        <v>Y</v>
      </c>
      <c r="I31" s="177" t="str">
        <f>IFERROR(IF(VLOOKUP(TableHandbook[[#This Row],[UDC]],TableAvailabilities[],4,FALSE)&gt;0,"Y",""),"")</f>
        <v>Y</v>
      </c>
      <c r="J31" s="177" t="str">
        <f>IFERROR(IF(VLOOKUP(TableHandbook[[#This Row],[UDC]],TableAvailabilities[],5,FALSE)&gt;0,"Y",""),"")</f>
        <v/>
      </c>
      <c r="K31" s="76"/>
      <c r="L31" s="178" t="str">
        <f>IFERROR(VLOOKUP(TableHandbook[[#This Row],[UDC]],TableOCPROJM[],7,FALSE),"")</f>
        <v/>
      </c>
      <c r="M31" s="178" t="str">
        <f>IFERROR(VLOOKUP(TableHandbook[[#This Row],[UDC]],TableOGPROJM[],7,FALSE),"")</f>
        <v/>
      </c>
      <c r="N31" s="179" t="str">
        <f>IFERROR(VLOOKUP(TableHandbook[[#This Row],[UDC]],TableOMPROJM[],7,FALSE),"")</f>
        <v/>
      </c>
      <c r="O31" s="178" t="str">
        <f>IFERROR(VLOOKUP(TableHandbook[[#This Row],[UDC]],TableOUSPPROFL[],7,FALSE),"")</f>
        <v/>
      </c>
      <c r="P31" s="178" t="str">
        <f>IFERROR(VLOOKUP(TableHandbook[[#This Row],[UDC]],TableOUSPRESCH[],7,FALSE),"")</f>
        <v>Core</v>
      </c>
    </row>
    <row r="32" spans="1:16" x14ac:dyDescent="0.25">
      <c r="A32" t="s">
        <v>79</v>
      </c>
      <c r="B32" s="4">
        <v>1</v>
      </c>
      <c r="C32" t="s">
        <v>79</v>
      </c>
      <c r="D32" t="s">
        <v>166</v>
      </c>
      <c r="E32" s="4">
        <v>25</v>
      </c>
      <c r="F32" s="176" t="s">
        <v>133</v>
      </c>
      <c r="G32" s="177" t="str">
        <f>IFERROR(IF(VLOOKUP(TableHandbook[[#This Row],[UDC]],TableAvailabilities[],2,FALSE)&gt;0,"Y",""),"")</f>
        <v/>
      </c>
      <c r="H32" s="177" t="str">
        <f>IFERROR(IF(VLOOKUP(TableHandbook[[#This Row],[UDC]],TableAvailabilities[],3,FALSE)&gt;0,"Y",""),"")</f>
        <v/>
      </c>
      <c r="I32" s="177" t="str">
        <f>IFERROR(IF(VLOOKUP(TableHandbook[[#This Row],[UDC]],TableAvailabilities[],4,FALSE)&gt;0,"Y",""),"")</f>
        <v/>
      </c>
      <c r="J32" s="177" t="str">
        <f>IFERROR(IF(VLOOKUP(TableHandbook[[#This Row],[UDC]],TableAvailabilities[],5,FALSE)&gt;0,"Y",""),"")</f>
        <v/>
      </c>
      <c r="K32" s="76"/>
      <c r="L32" s="178" t="str">
        <f>IFERROR(VLOOKUP(TableHandbook[[#This Row],[UDC]],TableOCPROJM[],7,FALSE),"")</f>
        <v/>
      </c>
      <c r="M32" s="178" t="str">
        <f>IFERROR(VLOOKUP(TableHandbook[[#This Row],[UDC]],TableOGPROJM[],7,FALSE),"")</f>
        <v/>
      </c>
      <c r="N32" s="179" t="str">
        <f>IFERROR(VLOOKUP(TableHandbook[[#This Row],[UDC]],TableOMPROJM[],7,FALSE),"")</f>
        <v/>
      </c>
      <c r="O32" s="178" t="str">
        <f>IFERROR(VLOOKUP(TableHandbook[[#This Row],[UDC]],TableOUSPPROFL[],7,FALSE),"")</f>
        <v/>
      </c>
      <c r="P32" s="178" t="str">
        <f>IFERROR(VLOOKUP(TableHandbook[[#This Row],[UDC]],TableOUSPRESCH[],7,FALSE),"")</f>
        <v/>
      </c>
    </row>
    <row r="33" spans="1:16" x14ac:dyDescent="0.25">
      <c r="A33" t="s">
        <v>119</v>
      </c>
      <c r="B33" s="4">
        <v>1</v>
      </c>
      <c r="C33" t="s">
        <v>167</v>
      </c>
      <c r="D33" t="s">
        <v>166</v>
      </c>
      <c r="E33" s="4">
        <v>25</v>
      </c>
      <c r="F33" s="176" t="s">
        <v>133</v>
      </c>
      <c r="G33" s="177" t="str">
        <f>IFERROR(IF(VLOOKUP(TableHandbook[[#This Row],[UDC]],TableAvailabilities[],2,FALSE)&gt;0,"Y",""),"")</f>
        <v>Y</v>
      </c>
      <c r="H33" s="177" t="str">
        <f>IFERROR(IF(VLOOKUP(TableHandbook[[#This Row],[UDC]],TableAvailabilities[],3,FALSE)&gt;0,"Y",""),"")</f>
        <v/>
      </c>
      <c r="I33" s="177" t="str">
        <f>IFERROR(IF(VLOOKUP(TableHandbook[[#This Row],[UDC]],TableAvailabilities[],4,FALSE)&gt;0,"Y",""),"")</f>
        <v>Y</v>
      </c>
      <c r="J33" s="177" t="str">
        <f>IFERROR(IF(VLOOKUP(TableHandbook[[#This Row],[UDC]],TableAvailabilities[],5,FALSE)&gt;0,"Y",""),"")</f>
        <v/>
      </c>
      <c r="K33" s="76"/>
      <c r="L33" s="178" t="str">
        <f>IFERROR(VLOOKUP(TableHandbook[[#This Row],[UDC]],TableOCPROJM[],7,FALSE),"")</f>
        <v/>
      </c>
      <c r="M33" s="178" t="str">
        <f>IFERROR(VLOOKUP(TableHandbook[[#This Row],[UDC]],TableOGPROJM[],7,FALSE),"")</f>
        <v>AltCore</v>
      </c>
      <c r="N33" s="179" t="str">
        <f>IFERROR(VLOOKUP(TableHandbook[[#This Row],[UDC]],TableOMPROJM[],7,FALSE),"")</f>
        <v/>
      </c>
      <c r="O33" s="178" t="str">
        <f>IFERROR(VLOOKUP(TableHandbook[[#This Row],[UDC]],TableOUSPPROFL[],7,FALSE),"")</f>
        <v>Core</v>
      </c>
      <c r="P33" s="178" t="str">
        <f>IFERROR(VLOOKUP(TableHandbook[[#This Row],[UDC]],TableOUSPRESCH[],7,FALSE),"")</f>
        <v>Core</v>
      </c>
    </row>
    <row r="34" spans="1:16" x14ac:dyDescent="0.25">
      <c r="A34" t="s">
        <v>168</v>
      </c>
      <c r="B34" s="4">
        <v>2</v>
      </c>
      <c r="D34" t="s">
        <v>169</v>
      </c>
      <c r="E34" s="4">
        <v>400</v>
      </c>
      <c r="F34" s="176"/>
      <c r="G34" s="177" t="str">
        <f>IFERROR(IF(VLOOKUP(TableHandbook[[#This Row],[UDC]],TableAvailabilities[],2,FALSE)&gt;0,"Y",""),"")</f>
        <v/>
      </c>
      <c r="H34" s="177" t="str">
        <f>IFERROR(IF(VLOOKUP(TableHandbook[[#This Row],[UDC]],TableAvailabilities[],3,FALSE)&gt;0,"Y",""),"")</f>
        <v/>
      </c>
      <c r="I34" s="177" t="str">
        <f>IFERROR(IF(VLOOKUP(TableHandbook[[#This Row],[UDC]],TableAvailabilities[],4,FALSE)&gt;0,"Y",""),"")</f>
        <v/>
      </c>
      <c r="J34" s="177" t="str">
        <f>IFERROR(IF(VLOOKUP(TableHandbook[[#This Row],[UDC]],TableAvailabilities[],5,FALSE)&gt;0,"Y",""),"")</f>
        <v/>
      </c>
      <c r="K34" s="76"/>
      <c r="L34" s="178" t="str">
        <f>IFERROR(VLOOKUP(TableHandbook[[#This Row],[UDC]],TableOCPROJM[],7,FALSE),"")</f>
        <v/>
      </c>
      <c r="M34" s="178" t="str">
        <f>IFERROR(VLOOKUP(TableHandbook[[#This Row],[UDC]],TableOGPROJM[],7,FALSE),"")</f>
        <v/>
      </c>
      <c r="N34" s="179" t="str">
        <f>IFERROR(VLOOKUP(TableHandbook[[#This Row],[UDC]],TableOMPROJM[],7,FALSE),"")</f>
        <v/>
      </c>
      <c r="O34" s="178" t="str">
        <f>IFERROR(VLOOKUP(TableHandbook[[#This Row],[UDC]],TableOUSPPROFL[],7,FALSE),"")</f>
        <v/>
      </c>
      <c r="P34" s="178" t="str">
        <f>IFERROR(VLOOKUP(TableHandbook[[#This Row],[UDC]],TableOUSPRESCH[],7,FALSE),"")</f>
        <v/>
      </c>
    </row>
    <row r="35" spans="1:16" x14ac:dyDescent="0.25">
      <c r="A35" t="s">
        <v>170</v>
      </c>
      <c r="B35" s="4">
        <v>2</v>
      </c>
      <c r="D35" t="s">
        <v>171</v>
      </c>
      <c r="E35" s="4">
        <v>300</v>
      </c>
      <c r="F35" s="176"/>
      <c r="G35" s="177" t="str">
        <f>IFERROR(IF(VLOOKUP(TableHandbook[[#This Row],[UDC]],TableAvailabilities[],2,FALSE)&gt;0,"Y",""),"")</f>
        <v/>
      </c>
      <c r="H35" s="177" t="str">
        <f>IFERROR(IF(VLOOKUP(TableHandbook[[#This Row],[UDC]],TableAvailabilities[],3,FALSE)&gt;0,"Y",""),"")</f>
        <v/>
      </c>
      <c r="I35" s="177" t="str">
        <f>IFERROR(IF(VLOOKUP(TableHandbook[[#This Row],[UDC]],TableAvailabilities[],4,FALSE)&gt;0,"Y",""),"")</f>
        <v/>
      </c>
      <c r="J35" s="177" t="str">
        <f>IFERROR(IF(VLOOKUP(TableHandbook[[#This Row],[UDC]],TableAvailabilities[],5,FALSE)&gt;0,"Y",""),"")</f>
        <v/>
      </c>
      <c r="K35" s="76"/>
      <c r="L35" s="178" t="str">
        <f>IFERROR(VLOOKUP(TableHandbook[[#This Row],[UDC]],TableOCPROJM[],7,FALSE),"")</f>
        <v/>
      </c>
      <c r="M35" s="178" t="str">
        <f>IFERROR(VLOOKUP(TableHandbook[[#This Row],[UDC]],TableOGPROJM[],7,FALSE),"")</f>
        <v/>
      </c>
      <c r="N35" s="179" t="str">
        <f>IFERROR(VLOOKUP(TableHandbook[[#This Row],[UDC]],TableOMPROJM[],7,FALSE),"")</f>
        <v/>
      </c>
      <c r="O35" s="178" t="str">
        <f>IFERROR(VLOOKUP(TableHandbook[[#This Row],[UDC]],TableOUSPPROFL[],7,FALSE),"")</f>
        <v/>
      </c>
      <c r="P35" s="178" t="str">
        <f>IFERROR(VLOOKUP(TableHandbook[[#This Row],[UDC]],TableOUSPRESCH[],7,FALSE),"")</f>
        <v/>
      </c>
    </row>
    <row r="36" spans="1:16" x14ac:dyDescent="0.25">
      <c r="A36" t="s">
        <v>172</v>
      </c>
      <c r="B36" s="4">
        <v>2</v>
      </c>
      <c r="D36" t="s">
        <v>173</v>
      </c>
      <c r="E36" s="4">
        <v>300</v>
      </c>
      <c r="F36" s="176"/>
      <c r="G36" s="177" t="str">
        <f>IFERROR(IF(VLOOKUP(TableHandbook[[#This Row],[UDC]],TableAvailabilities[],2,FALSE)&gt;0,"Y",""),"")</f>
        <v/>
      </c>
      <c r="H36" s="177" t="str">
        <f>IFERROR(IF(VLOOKUP(TableHandbook[[#This Row],[UDC]],TableAvailabilities[],3,FALSE)&gt;0,"Y",""),"")</f>
        <v/>
      </c>
      <c r="I36" s="177" t="str">
        <f>IFERROR(IF(VLOOKUP(TableHandbook[[#This Row],[UDC]],TableAvailabilities[],4,FALSE)&gt;0,"Y",""),"")</f>
        <v/>
      </c>
      <c r="J36" s="177" t="str">
        <f>IFERROR(IF(VLOOKUP(TableHandbook[[#This Row],[UDC]],TableAvailabilities[],5,FALSE)&gt;0,"Y",""),"")</f>
        <v/>
      </c>
      <c r="K36" s="76"/>
      <c r="L36" s="178" t="str">
        <f>IFERROR(VLOOKUP(TableHandbook[[#This Row],[UDC]],TableOCPROJM[],7,FALSE),"")</f>
        <v/>
      </c>
      <c r="M36" s="178" t="str">
        <f>IFERROR(VLOOKUP(TableHandbook[[#This Row],[UDC]],TableOGPROJM[],7,FALSE),"")</f>
        <v/>
      </c>
      <c r="N36" s="179" t="str">
        <f>IFERROR(VLOOKUP(TableHandbook[[#This Row],[UDC]],TableOMPROJM[],7,FALSE),"")</f>
        <v/>
      </c>
      <c r="O36" s="178" t="str">
        <f>IFERROR(VLOOKUP(TableHandbook[[#This Row],[UDC]],TableOUSPPROFL[],7,FALSE),"")</f>
        <v/>
      </c>
      <c r="P36" s="178" t="str">
        <f>IFERROR(VLOOKUP(TableHandbook[[#This Row],[UDC]],TableOUSPRESCH[],7,FALSE),"")</f>
        <v/>
      </c>
    </row>
    <row r="37" spans="1:16" x14ac:dyDescent="0.25">
      <c r="A37" t="s">
        <v>174</v>
      </c>
      <c r="B37" s="4">
        <v>2</v>
      </c>
      <c r="D37" t="s">
        <v>175</v>
      </c>
      <c r="E37" s="4">
        <v>400</v>
      </c>
      <c r="F37" s="176"/>
      <c r="G37" s="177" t="str">
        <f>IFERROR(IF(VLOOKUP(TableHandbook[[#This Row],[UDC]],TableAvailabilities[],2,FALSE)&gt;0,"Y",""),"")</f>
        <v/>
      </c>
      <c r="H37" s="177" t="str">
        <f>IFERROR(IF(VLOOKUP(TableHandbook[[#This Row],[UDC]],TableAvailabilities[],3,FALSE)&gt;0,"Y",""),"")</f>
        <v/>
      </c>
      <c r="I37" s="177" t="str">
        <f>IFERROR(IF(VLOOKUP(TableHandbook[[#This Row],[UDC]],TableAvailabilities[],4,FALSE)&gt;0,"Y",""),"")</f>
        <v/>
      </c>
      <c r="J37" s="177" t="str">
        <f>IFERROR(IF(VLOOKUP(TableHandbook[[#This Row],[UDC]],TableAvailabilities[],5,FALSE)&gt;0,"Y",""),"")</f>
        <v/>
      </c>
      <c r="K37" s="76"/>
      <c r="L37" s="178" t="str">
        <f>IFERROR(VLOOKUP(TableHandbook[[#This Row],[UDC]],TableOCPROJM[],7,FALSE),"")</f>
        <v/>
      </c>
      <c r="M37" s="178" t="str">
        <f>IFERROR(VLOOKUP(TableHandbook[[#This Row],[UDC]],TableOGPROJM[],7,FALSE),"")</f>
        <v/>
      </c>
      <c r="N37" s="179" t="str">
        <f>IFERROR(VLOOKUP(TableHandbook[[#This Row],[UDC]],TableOMPROJM[],7,FALSE),"")</f>
        <v/>
      </c>
      <c r="O37" s="178" t="str">
        <f>IFERROR(VLOOKUP(TableHandbook[[#This Row],[UDC]],TableOUSPPROFL[],7,FALSE),"")</f>
        <v/>
      </c>
      <c r="P37" s="178" t="str">
        <f>IFERROR(VLOOKUP(TableHandbook[[#This Row],[UDC]],TableOUSPRESCH[],7,FALSE),"")</f>
        <v/>
      </c>
    </row>
    <row r="38" spans="1:16" x14ac:dyDescent="0.25">
      <c r="A38" t="s">
        <v>176</v>
      </c>
      <c r="B38" s="4">
        <v>1</v>
      </c>
      <c r="D38" t="s">
        <v>177</v>
      </c>
      <c r="E38" s="4">
        <v>25</v>
      </c>
      <c r="F38" s="176" t="s">
        <v>133</v>
      </c>
      <c r="G38" s="177" t="str">
        <f>IFERROR(IF(VLOOKUP(TableHandbook[[#This Row],[UDC]],TableAvailabilities[],2,FALSE)&gt;0,"Y",""),"")</f>
        <v/>
      </c>
      <c r="H38" s="177" t="str">
        <f>IFERROR(IF(VLOOKUP(TableHandbook[[#This Row],[UDC]],TableAvailabilities[],3,FALSE)&gt;0,"Y",""),"")</f>
        <v/>
      </c>
      <c r="I38" s="177" t="str">
        <f>IFERROR(IF(VLOOKUP(TableHandbook[[#This Row],[UDC]],TableAvailabilities[],4,FALSE)&gt;0,"Y",""),"")</f>
        <v/>
      </c>
      <c r="J38" s="177" t="str">
        <f>IFERROR(IF(VLOOKUP(TableHandbook[[#This Row],[UDC]],TableAvailabilities[],5,FALSE)&gt;0,"Y",""),"")</f>
        <v/>
      </c>
      <c r="K38" s="76"/>
      <c r="L38" s="178" t="str">
        <f>IFERROR(VLOOKUP(TableHandbook[[#This Row],[UDC]],TableOCPROJM[],7,FALSE),"")</f>
        <v/>
      </c>
      <c r="M38" s="178" t="str">
        <f>IFERROR(VLOOKUP(TableHandbook[[#This Row],[UDC]],TableOGPROJM[],7,FALSE),"")</f>
        <v/>
      </c>
      <c r="N38" s="179" t="str">
        <f>IFERROR(VLOOKUP(TableHandbook[[#This Row],[UDC]],TableOMPROJM[],7,FALSE),"")</f>
        <v/>
      </c>
      <c r="O38" s="178" t="str">
        <f>IFERROR(VLOOKUP(TableHandbook[[#This Row],[UDC]],TableOUSPPROFL[],7,FALSE),"")</f>
        <v/>
      </c>
      <c r="P38" s="178" t="str">
        <f>IFERROR(VLOOKUP(TableHandbook[[#This Row],[UDC]],TableOUSPRESCH[],7,FALSE),"")</f>
        <v/>
      </c>
    </row>
    <row r="39" spans="1:16" x14ac:dyDescent="0.25">
      <c r="A39" t="s">
        <v>81</v>
      </c>
      <c r="B39" s="4">
        <v>1</v>
      </c>
      <c r="C39" t="s">
        <v>178</v>
      </c>
      <c r="D39" t="s">
        <v>177</v>
      </c>
      <c r="E39" s="4">
        <v>25</v>
      </c>
      <c r="F39" s="176" t="s">
        <v>133</v>
      </c>
      <c r="G39" s="177" t="str">
        <f>IFERROR(IF(VLOOKUP(TableHandbook[[#This Row],[UDC]],TableAvailabilities[],2,FALSE)&gt;0,"Y",""),"")</f>
        <v>Y</v>
      </c>
      <c r="H39" s="177" t="str">
        <f>IFERROR(IF(VLOOKUP(TableHandbook[[#This Row],[UDC]],TableAvailabilities[],3,FALSE)&gt;0,"Y",""),"")</f>
        <v/>
      </c>
      <c r="I39" s="177" t="str">
        <f>IFERROR(IF(VLOOKUP(TableHandbook[[#This Row],[UDC]],TableAvailabilities[],4,FALSE)&gt;0,"Y",""),"")</f>
        <v>Y</v>
      </c>
      <c r="J39" s="177" t="str">
        <f>IFERROR(IF(VLOOKUP(TableHandbook[[#This Row],[UDC]],TableAvailabilities[],5,FALSE)&gt;0,"Y",""),"")</f>
        <v/>
      </c>
      <c r="K39" s="76"/>
      <c r="L39" s="178" t="str">
        <f>IFERROR(VLOOKUP(TableHandbook[[#This Row],[UDC]],TableOCPROJM[],7,FALSE),"")</f>
        <v/>
      </c>
      <c r="M39" s="178" t="str">
        <f>IFERROR(VLOOKUP(TableHandbook[[#This Row],[UDC]],TableOGPROJM[],7,FALSE),"")</f>
        <v>AltCore</v>
      </c>
      <c r="N39" s="179" t="str">
        <f>IFERROR(VLOOKUP(TableHandbook[[#This Row],[UDC]],TableOMPROJM[],7,FALSE),"")</f>
        <v/>
      </c>
      <c r="O39" s="178" t="str">
        <f>IFERROR(VLOOKUP(TableHandbook[[#This Row],[UDC]],TableOUSPPROFL[],7,FALSE),"")</f>
        <v>Core</v>
      </c>
      <c r="P39" s="178" t="str">
        <f>IFERROR(VLOOKUP(TableHandbook[[#This Row],[UDC]],TableOUSPRESCH[],7,FALSE),"")</f>
        <v>Core</v>
      </c>
    </row>
    <row r="40" spans="1:16" x14ac:dyDescent="0.25">
      <c r="B40"/>
    </row>
    <row r="41" spans="1:16" x14ac:dyDescent="0.25">
      <c r="B41"/>
    </row>
    <row r="42" spans="1:16" x14ac:dyDescent="0.25">
      <c r="B42"/>
    </row>
    <row r="43" spans="1:16" x14ac:dyDescent="0.25">
      <c r="B43"/>
    </row>
    <row r="44" spans="1:16" x14ac:dyDescent="0.25">
      <c r="B44"/>
    </row>
    <row r="45" spans="1:16" x14ac:dyDescent="0.25">
      <c r="B45"/>
    </row>
    <row r="46" spans="1:16" x14ac:dyDescent="0.25">
      <c r="B46"/>
    </row>
    <row r="47" spans="1:16" x14ac:dyDescent="0.25">
      <c r="B47"/>
    </row>
    <row r="48" spans="1:16" x14ac:dyDescent="0.25">
      <c r="B48"/>
    </row>
    <row r="49" spans="2:2" x14ac:dyDescent="0.25">
      <c r="B49"/>
    </row>
    <row r="50" spans="2:2" x14ac:dyDescent="0.25">
      <c r="B50"/>
    </row>
    <row r="51" spans="2:2" x14ac:dyDescent="0.25">
      <c r="B51"/>
    </row>
    <row r="52" spans="2:2" x14ac:dyDescent="0.25">
      <c r="B52"/>
    </row>
    <row r="53" spans="2:2" x14ac:dyDescent="0.25">
      <c r="B53"/>
    </row>
    <row r="54" spans="2:2" x14ac:dyDescent="0.25">
      <c r="B54"/>
    </row>
    <row r="55" spans="2:2" x14ac:dyDescent="0.25">
      <c r="B55"/>
    </row>
    <row r="56" spans="2:2" x14ac:dyDescent="0.25">
      <c r="B56"/>
    </row>
    <row r="57" spans="2:2" x14ac:dyDescent="0.25">
      <c r="B57"/>
    </row>
    <row r="58" spans="2:2" x14ac:dyDescent="0.25">
      <c r="B58"/>
    </row>
    <row r="59" spans="2:2" x14ac:dyDescent="0.25">
      <c r="B59"/>
    </row>
    <row r="60" spans="2:2" x14ac:dyDescent="0.25">
      <c r="B60"/>
    </row>
    <row r="61" spans="2:2" x14ac:dyDescent="0.25">
      <c r="B61"/>
    </row>
    <row r="62" spans="2:2" x14ac:dyDescent="0.25">
      <c r="B62"/>
    </row>
    <row r="63" spans="2:2" x14ac:dyDescent="0.25">
      <c r="B63"/>
    </row>
    <row r="64" spans="2:2" x14ac:dyDescent="0.25">
      <c r="B64"/>
    </row>
    <row r="65" spans="2:2" x14ac:dyDescent="0.25">
      <c r="B65"/>
    </row>
    <row r="66" spans="2:2" x14ac:dyDescent="0.25">
      <c r="B66"/>
    </row>
    <row r="67" spans="2:2" x14ac:dyDescent="0.25">
      <c r="B67"/>
    </row>
    <row r="68" spans="2:2" x14ac:dyDescent="0.25">
      <c r="B68"/>
    </row>
    <row r="69" spans="2:2" x14ac:dyDescent="0.25">
      <c r="B69"/>
    </row>
    <row r="70" spans="2:2" x14ac:dyDescent="0.25">
      <c r="B70"/>
    </row>
    <row r="71" spans="2:2" x14ac:dyDescent="0.25">
      <c r="B71"/>
    </row>
    <row r="72" spans="2:2" x14ac:dyDescent="0.25">
      <c r="B72"/>
    </row>
    <row r="73" spans="2:2" x14ac:dyDescent="0.25">
      <c r="B73"/>
    </row>
    <row r="74" spans="2:2" x14ac:dyDescent="0.25">
      <c r="B74"/>
    </row>
    <row r="75" spans="2:2" x14ac:dyDescent="0.25">
      <c r="B75"/>
    </row>
  </sheetData>
  <sortState xmlns:xlrd2="http://schemas.microsoft.com/office/spreadsheetml/2017/richdata2" ref="A27:D39">
    <sortCondition ref="A27"/>
  </sortState>
  <conditionalFormatting sqref="A3:A39">
    <cfRule type="duplicateValues" dxfId="16" priority="17"/>
  </conditionalFormatting>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53"/>
  <sheetViews>
    <sheetView zoomScale="70" zoomScaleNormal="70" workbookViewId="0">
      <selection activeCell="L9" sqref="L9"/>
    </sheetView>
  </sheetViews>
  <sheetFormatPr defaultRowHeight="15.75" x14ac:dyDescent="0.25"/>
  <cols>
    <col min="1" max="1" width="11.375" bestFit="1" customWidth="1"/>
    <col min="2" max="2" width="13.375" style="4" bestFit="1" customWidth="1"/>
    <col min="3" max="3" width="12.5" bestFit="1" customWidth="1"/>
    <col min="4" max="4" width="47.625" customWidth="1"/>
    <col min="5" max="5" width="9.75" style="4" bestFit="1" customWidth="1"/>
    <col min="6" max="6" width="6.875" bestFit="1" customWidth="1"/>
    <col min="7" max="7" width="18.375" bestFit="1" customWidth="1"/>
    <col min="8" max="8" width="12.625" bestFit="1" customWidth="1"/>
    <col min="9" max="9" width="14.625" bestFit="1" customWidth="1"/>
    <col min="10" max="10" width="20.5" bestFit="1" customWidth="1"/>
    <col min="11" max="11" width="7.125" bestFit="1" customWidth="1"/>
    <col min="12" max="12" width="65.875" customWidth="1"/>
    <col min="13" max="13" width="14.75" bestFit="1" customWidth="1"/>
    <col min="14" max="14" width="12.5" bestFit="1" customWidth="1"/>
    <col min="15" max="15" width="11.25" bestFit="1" customWidth="1"/>
    <col min="16" max="16" width="10.125" bestFit="1" customWidth="1"/>
    <col min="17" max="17" width="11.375" bestFit="1" customWidth="1"/>
  </cols>
  <sheetData>
    <row r="1" spans="1:18" x14ac:dyDescent="0.25">
      <c r="B1"/>
      <c r="E1"/>
      <c r="F1" s="74"/>
      <c r="G1" s="75" t="s">
        <v>179</v>
      </c>
      <c r="H1" s="230">
        <v>42917</v>
      </c>
      <c r="I1" s="74"/>
      <c r="J1" s="231" t="s">
        <v>82</v>
      </c>
      <c r="K1" s="232" t="s">
        <v>83</v>
      </c>
      <c r="L1" s="74" t="s">
        <v>12</v>
      </c>
      <c r="M1" s="74"/>
      <c r="N1" s="168" t="s">
        <v>180</v>
      </c>
      <c r="O1" s="169">
        <v>45615</v>
      </c>
      <c r="P1" s="229">
        <v>45658</v>
      </c>
    </row>
    <row r="2" spans="1:18" x14ac:dyDescent="0.25">
      <c r="A2" t="s">
        <v>0</v>
      </c>
      <c r="B2" s="4" t="s">
        <v>181</v>
      </c>
      <c r="C2" t="s">
        <v>20</v>
      </c>
      <c r="D2" t="s">
        <v>3</v>
      </c>
      <c r="E2" s="63" t="s">
        <v>182</v>
      </c>
      <c r="F2" t="s">
        <v>183</v>
      </c>
      <c r="G2" t="s">
        <v>184</v>
      </c>
      <c r="H2" t="s">
        <v>185</v>
      </c>
      <c r="I2" t="s">
        <v>21</v>
      </c>
      <c r="J2" t="s">
        <v>186</v>
      </c>
      <c r="K2" t="s">
        <v>1</v>
      </c>
      <c r="L2" t="s">
        <v>187</v>
      </c>
      <c r="M2" t="s">
        <v>23</v>
      </c>
      <c r="N2" t="s">
        <v>188</v>
      </c>
      <c r="O2" t="s">
        <v>189</v>
      </c>
      <c r="Q2" t="s">
        <v>190</v>
      </c>
      <c r="R2" t="s">
        <v>1</v>
      </c>
    </row>
    <row r="3" spans="1:18" x14ac:dyDescent="0.25">
      <c r="A3" t="str">
        <f>TableOCPROJM[[#This Row],[Study Package Code]]</f>
        <v>PRJM6013</v>
      </c>
      <c r="B3" s="4">
        <f>TableOCPROJM[[#This Row],[Ver]]</f>
        <v>2</v>
      </c>
      <c r="C3" t="str">
        <f>IF(OR(TableOCPROJM[[#This Row],[Credit Points]]&gt;50,ISBLANK(TableOCPROJM[[#This Row],[Effective]])),"",LEFT(TableOCPROJM[[#This Row],[Structure Line]],(FIND(" ",TableOCPROJM[[#This Row],[Structure Line]],1)-1)))</f>
        <v>PRM500</v>
      </c>
      <c r="D3" t="str">
        <f>IF((OR(TableOCPROJM[[#This Row],[Credit Points]]&gt;50,ISBLANK(TableOCPROJM[[#This Row],[Effective]]))),TableOCPROJM[[#This Row],[Structure Line]],MID(TableOCPROJM[[#This Row],[Structure Line]],FIND(" ",TableOCPROJM[[#This Row],[Structure Line]])+1,256))</f>
        <v>Project Management Overview</v>
      </c>
      <c r="E3" s="63">
        <f>TableOCPROJM[[#This Row],[Credit Points]]</f>
        <v>25</v>
      </c>
      <c r="F3">
        <v>1</v>
      </c>
      <c r="G3" t="s">
        <v>191</v>
      </c>
      <c r="H3">
        <v>1</v>
      </c>
      <c r="I3" s="208" t="s">
        <v>192</v>
      </c>
      <c r="J3" t="s">
        <v>67</v>
      </c>
      <c r="K3">
        <v>2</v>
      </c>
      <c r="L3" t="s">
        <v>193</v>
      </c>
      <c r="M3">
        <v>25</v>
      </c>
      <c r="N3" s="36">
        <v>42917</v>
      </c>
      <c r="O3" s="36"/>
      <c r="Q3" t="s">
        <v>67</v>
      </c>
      <c r="R3">
        <v>2</v>
      </c>
    </row>
    <row r="4" spans="1:18" x14ac:dyDescent="0.25">
      <c r="A4" t="str">
        <f>TableOCPROJM[[#This Row],[Study Package Code]]</f>
        <v>PRJM6015</v>
      </c>
      <c r="B4" s="4">
        <f>TableOCPROJM[[#This Row],[Ver]]</f>
        <v>1</v>
      </c>
      <c r="C4" t="str">
        <f>IF(OR(TableOCPROJM[[#This Row],[Credit Points]]&gt;50,ISBLANK(TableOCPROJM[[#This Row],[Effective]])),"",LEFT(TableOCPROJM[[#This Row],[Structure Line]],(FIND(" ",TableOCPROJM[[#This Row],[Structure Line]],1)-1)))</f>
        <v>PRM510</v>
      </c>
      <c r="D4" t="str">
        <f>IF((OR(TableOCPROJM[[#This Row],[Credit Points]]&gt;50,ISBLANK(TableOCPROJM[[#This Row],[Effective]]))),TableOCPROJM[[#This Row],[Structure Line]],MID(TableOCPROJM[[#This Row],[Structure Line]],FIND(" ",TableOCPROJM[[#This Row],[Structure Line]])+1,256))</f>
        <v>Project and People</v>
      </c>
      <c r="E4" s="63">
        <f>TableOCPROJM[[#This Row],[Credit Points]]</f>
        <v>25</v>
      </c>
      <c r="F4">
        <v>2</v>
      </c>
      <c r="G4" t="s">
        <v>191</v>
      </c>
      <c r="H4">
        <v>1</v>
      </c>
      <c r="I4" s="208" t="s">
        <v>194</v>
      </c>
      <c r="J4" t="s">
        <v>53</v>
      </c>
      <c r="K4">
        <v>1</v>
      </c>
      <c r="L4" t="s">
        <v>195</v>
      </c>
      <c r="M4">
        <v>25</v>
      </c>
      <c r="N4" s="36">
        <v>42917</v>
      </c>
      <c r="O4" s="36"/>
      <c r="Q4" t="s">
        <v>53</v>
      </c>
      <c r="R4">
        <v>1</v>
      </c>
    </row>
    <row r="5" spans="1:18" x14ac:dyDescent="0.25">
      <c r="A5" t="str">
        <f>TableOCPROJM[[#This Row],[Study Package Code]]</f>
        <v>PRJM6016</v>
      </c>
      <c r="B5" s="4">
        <f>TableOCPROJM[[#This Row],[Ver]]</f>
        <v>1</v>
      </c>
      <c r="C5" t="str">
        <f>IF(OR(TableOCPROJM[[#This Row],[Credit Points]]&gt;50,ISBLANK(TableOCPROJM[[#This Row],[Effective]])),"",LEFT(TableOCPROJM[[#This Row],[Structure Line]],(FIND(" ",TableOCPROJM[[#This Row],[Structure Line]],1)-1)))</f>
        <v>PRM520</v>
      </c>
      <c r="D5" t="str">
        <f>IF((OR(TableOCPROJM[[#This Row],[Credit Points]]&gt;50,ISBLANK(TableOCPROJM[[#This Row],[Effective]]))),TableOCPROJM[[#This Row],[Structure Line]],MID(TableOCPROJM[[#This Row],[Structure Line]],FIND(" ",TableOCPROJM[[#This Row],[Structure Line]])+1,256))</f>
        <v>Project Cost Management</v>
      </c>
      <c r="E5" s="63">
        <f>TableOCPROJM[[#This Row],[Credit Points]]</f>
        <v>25</v>
      </c>
      <c r="F5">
        <v>3</v>
      </c>
      <c r="G5" t="s">
        <v>191</v>
      </c>
      <c r="H5">
        <v>1</v>
      </c>
      <c r="I5" s="208" t="s">
        <v>194</v>
      </c>
      <c r="J5" t="s">
        <v>70</v>
      </c>
      <c r="K5">
        <v>1</v>
      </c>
      <c r="L5" t="s">
        <v>196</v>
      </c>
      <c r="M5">
        <v>25</v>
      </c>
      <c r="N5" s="36">
        <v>42917</v>
      </c>
      <c r="O5" s="36"/>
      <c r="Q5" t="s">
        <v>70</v>
      </c>
      <c r="R5">
        <v>1</v>
      </c>
    </row>
    <row r="6" spans="1:18" x14ac:dyDescent="0.25">
      <c r="A6" t="str">
        <f>TableOCPROJM[[#This Row],[Study Package Code]]</f>
        <v>PRJM6021</v>
      </c>
      <c r="B6" s="4">
        <f>TableOCPROJM[[#This Row],[Ver]]</f>
        <v>2</v>
      </c>
      <c r="C6" t="str">
        <f>IF(OR(TableOCPROJM[[#This Row],[Credit Points]]&gt;50,ISBLANK(TableOCPROJM[[#This Row],[Effective]])),"",LEFT(TableOCPROJM[[#This Row],[Structure Line]],(FIND(" ",TableOCPROJM[[#This Row],[Structure Line]],1)-1)))</f>
        <v>PRM530</v>
      </c>
      <c r="D6" t="str">
        <f>IF((OR(TableOCPROJM[[#This Row],[Credit Points]]&gt;50,ISBLANK(TableOCPROJM[[#This Row],[Effective]]))),TableOCPROJM[[#This Row],[Structure Line]],MID(TableOCPROJM[[#This Row],[Structure Line]],FIND(" ",TableOCPROJM[[#This Row],[Structure Line]])+1,256))</f>
        <v>Project Planning and Schedule Management</v>
      </c>
      <c r="E6" s="63">
        <f>TableOCPROJM[[#This Row],[Credit Points]]</f>
        <v>25</v>
      </c>
      <c r="F6">
        <v>4</v>
      </c>
      <c r="G6" t="s">
        <v>191</v>
      </c>
      <c r="H6">
        <v>1</v>
      </c>
      <c r="I6" s="208" t="s">
        <v>194</v>
      </c>
      <c r="J6" t="s">
        <v>59</v>
      </c>
      <c r="K6">
        <v>2</v>
      </c>
      <c r="L6" t="s">
        <v>197</v>
      </c>
      <c r="M6">
        <v>25</v>
      </c>
      <c r="N6" s="36">
        <v>45383</v>
      </c>
      <c r="O6" s="36"/>
      <c r="Q6" t="s">
        <v>59</v>
      </c>
      <c r="R6">
        <v>2</v>
      </c>
    </row>
    <row r="9" spans="1:18" x14ac:dyDescent="0.25">
      <c r="B9"/>
      <c r="E9"/>
      <c r="F9" s="74"/>
      <c r="G9" s="75" t="s">
        <v>179</v>
      </c>
      <c r="H9" s="230">
        <v>44562</v>
      </c>
      <c r="I9" s="74"/>
      <c r="J9" s="231" t="s">
        <v>74</v>
      </c>
      <c r="K9" s="232" t="s">
        <v>75</v>
      </c>
      <c r="L9" s="74" t="s">
        <v>33</v>
      </c>
      <c r="M9" s="74"/>
      <c r="N9" s="168" t="s">
        <v>180</v>
      </c>
      <c r="O9" s="169">
        <v>45615</v>
      </c>
    </row>
    <row r="10" spans="1:18" x14ac:dyDescent="0.25">
      <c r="A10" t="s">
        <v>0</v>
      </c>
      <c r="B10" s="4" t="s">
        <v>181</v>
      </c>
      <c r="C10" t="s">
        <v>20</v>
      </c>
      <c r="D10" t="s">
        <v>3</v>
      </c>
      <c r="E10" s="63" t="s">
        <v>182</v>
      </c>
      <c r="F10" t="s">
        <v>183</v>
      </c>
      <c r="G10" t="s">
        <v>184</v>
      </c>
      <c r="H10" t="s">
        <v>185</v>
      </c>
      <c r="I10" t="s">
        <v>21</v>
      </c>
      <c r="J10" t="s">
        <v>186</v>
      </c>
      <c r="K10" t="s">
        <v>1</v>
      </c>
      <c r="L10" t="s">
        <v>187</v>
      </c>
      <c r="M10" t="s">
        <v>23</v>
      </c>
      <c r="N10" t="s">
        <v>188</v>
      </c>
      <c r="O10" t="s">
        <v>189</v>
      </c>
      <c r="Q10" t="s">
        <v>190</v>
      </c>
      <c r="R10" t="s">
        <v>1</v>
      </c>
    </row>
    <row r="11" spans="1:18" x14ac:dyDescent="0.25">
      <c r="A11" t="str">
        <f>TableOGPROJM[[#This Row],[Study Package Code]]</f>
        <v>PRJM6013</v>
      </c>
      <c r="B11" s="4">
        <f>TableOGPROJM[[#This Row],[Ver]]</f>
        <v>2</v>
      </c>
      <c r="C11" t="str">
        <f>IF(OR(TableOGPROJM[[#This Row],[Credit Points]]&gt;50,ISBLANK(TableOGPROJM[[#This Row],[Effective]])),"",LEFT(TableOGPROJM[[#This Row],[Structure Line]],(FIND(" ",TableOGPROJM[[#This Row],[Structure Line]],1)-1)))</f>
        <v>PRM500</v>
      </c>
      <c r="D11" t="str">
        <f>IF((OR(TableOGPROJM[[#This Row],[Credit Points]]&gt;50,ISBLANK(TableOGPROJM[[#This Row],[Effective]]))),TableOGPROJM[[#This Row],[Structure Line]],MID(TableOGPROJM[[#This Row],[Structure Line]],FIND(" ",TableOGPROJM[[#This Row],[Structure Line]])+1,256))</f>
        <v>Project Management Overview</v>
      </c>
      <c r="E11" s="63">
        <f>TableOGPROJM[[#This Row],[Credit Points]]</f>
        <v>25</v>
      </c>
      <c r="F11">
        <v>1</v>
      </c>
      <c r="G11" t="s">
        <v>191</v>
      </c>
      <c r="H11">
        <v>1</v>
      </c>
      <c r="I11" s="208" t="s">
        <v>192</v>
      </c>
      <c r="J11" t="s">
        <v>67</v>
      </c>
      <c r="K11">
        <v>2</v>
      </c>
      <c r="L11" t="s">
        <v>193</v>
      </c>
      <c r="M11">
        <v>25</v>
      </c>
      <c r="N11" s="36">
        <v>42917</v>
      </c>
      <c r="O11" s="36"/>
      <c r="Q11" t="s">
        <v>67</v>
      </c>
      <c r="R11">
        <v>2</v>
      </c>
    </row>
    <row r="12" spans="1:18" x14ac:dyDescent="0.25">
      <c r="A12" t="str">
        <f>TableOGPROJM[[#This Row],[Study Package Code]]</f>
        <v>PRJM6015</v>
      </c>
      <c r="B12" s="4">
        <f>TableOGPROJM[[#This Row],[Ver]]</f>
        <v>1</v>
      </c>
      <c r="C12" t="str">
        <f>IF(OR(TableOGPROJM[[#This Row],[Credit Points]]&gt;50,ISBLANK(TableOGPROJM[[#This Row],[Effective]])),"",LEFT(TableOGPROJM[[#This Row],[Structure Line]],(FIND(" ",TableOGPROJM[[#This Row],[Structure Line]],1)-1)))</f>
        <v>PRM510</v>
      </c>
      <c r="D12" t="str">
        <f>IF((OR(TableOGPROJM[[#This Row],[Credit Points]]&gt;50,ISBLANK(TableOGPROJM[[#This Row],[Effective]]))),TableOGPROJM[[#This Row],[Structure Line]],MID(TableOGPROJM[[#This Row],[Structure Line]],FIND(" ",TableOGPROJM[[#This Row],[Structure Line]])+1,256))</f>
        <v>Project and People</v>
      </c>
      <c r="E12" s="63">
        <f>TableOGPROJM[[#This Row],[Credit Points]]</f>
        <v>25</v>
      </c>
      <c r="F12">
        <v>2</v>
      </c>
      <c r="G12" t="s">
        <v>191</v>
      </c>
      <c r="H12">
        <v>1</v>
      </c>
      <c r="I12" s="208" t="s">
        <v>192</v>
      </c>
      <c r="J12" t="s">
        <v>53</v>
      </c>
      <c r="K12">
        <v>1</v>
      </c>
      <c r="L12" t="s">
        <v>195</v>
      </c>
      <c r="M12">
        <v>25</v>
      </c>
      <c r="N12" s="36">
        <v>42917</v>
      </c>
      <c r="O12" s="36"/>
      <c r="Q12" t="s">
        <v>53</v>
      </c>
      <c r="R12">
        <v>1</v>
      </c>
    </row>
    <row r="13" spans="1:18" x14ac:dyDescent="0.25">
      <c r="A13" t="str">
        <f>TableOGPROJM[[#This Row],[Study Package Code]]</f>
        <v>PRJM6016</v>
      </c>
      <c r="B13" s="4">
        <f>TableOGPROJM[[#This Row],[Ver]]</f>
        <v>1</v>
      </c>
      <c r="C13" t="str">
        <f>IF(OR(TableOGPROJM[[#This Row],[Credit Points]]&gt;50,ISBLANK(TableOGPROJM[[#This Row],[Effective]])),"",LEFT(TableOGPROJM[[#This Row],[Structure Line]],(FIND(" ",TableOGPROJM[[#This Row],[Structure Line]],1)-1)))</f>
        <v>PRM520</v>
      </c>
      <c r="D13" t="str">
        <f>IF((OR(TableOGPROJM[[#This Row],[Credit Points]]&gt;50,ISBLANK(TableOGPROJM[[#This Row],[Effective]]))),TableOGPROJM[[#This Row],[Structure Line]],MID(TableOGPROJM[[#This Row],[Structure Line]],FIND(" ",TableOGPROJM[[#This Row],[Structure Line]])+1,256))</f>
        <v>Project Cost Management</v>
      </c>
      <c r="E13" s="63">
        <f>TableOGPROJM[[#This Row],[Credit Points]]</f>
        <v>25</v>
      </c>
      <c r="F13">
        <v>3</v>
      </c>
      <c r="G13" t="s">
        <v>191</v>
      </c>
      <c r="H13">
        <v>1</v>
      </c>
      <c r="I13" s="208" t="s">
        <v>192</v>
      </c>
      <c r="J13" t="s">
        <v>70</v>
      </c>
      <c r="K13">
        <v>1</v>
      </c>
      <c r="L13" t="s">
        <v>196</v>
      </c>
      <c r="M13">
        <v>25</v>
      </c>
      <c r="N13" s="36">
        <v>42917</v>
      </c>
      <c r="O13" s="36"/>
      <c r="Q13" t="s">
        <v>70</v>
      </c>
      <c r="R13">
        <v>1</v>
      </c>
    </row>
    <row r="14" spans="1:18" x14ac:dyDescent="0.25">
      <c r="A14" t="str">
        <f>TableOGPROJM[[#This Row],[Study Package Code]]</f>
        <v>PRJM6021</v>
      </c>
      <c r="B14" s="4">
        <f>TableOGPROJM[[#This Row],[Ver]]</f>
        <v>2</v>
      </c>
      <c r="C14" t="str">
        <f>IF(OR(TableOGPROJM[[#This Row],[Credit Points]]&gt;50,ISBLANK(TableOGPROJM[[#This Row],[Effective]])),"",LEFT(TableOGPROJM[[#This Row],[Structure Line]],(FIND(" ",TableOGPROJM[[#This Row],[Structure Line]],1)-1)))</f>
        <v>PRM530</v>
      </c>
      <c r="D14" t="str">
        <f>IF((OR(TableOGPROJM[[#This Row],[Credit Points]]&gt;50,ISBLANK(TableOGPROJM[[#This Row],[Effective]]))),TableOGPROJM[[#This Row],[Structure Line]],MID(TableOGPROJM[[#This Row],[Structure Line]],FIND(" ",TableOGPROJM[[#This Row],[Structure Line]])+1,256))</f>
        <v>Project Planning and Schedule Management</v>
      </c>
      <c r="E14" s="63">
        <f>TableOGPROJM[[#This Row],[Credit Points]]</f>
        <v>25</v>
      </c>
      <c r="F14">
        <v>4</v>
      </c>
      <c r="G14" t="s">
        <v>191</v>
      </c>
      <c r="H14">
        <v>1</v>
      </c>
      <c r="I14" s="208" t="s">
        <v>192</v>
      </c>
      <c r="J14" t="s">
        <v>59</v>
      </c>
      <c r="K14">
        <v>2</v>
      </c>
      <c r="L14" t="s">
        <v>197</v>
      </c>
      <c r="M14">
        <v>25</v>
      </c>
      <c r="N14" s="36">
        <v>45383</v>
      </c>
      <c r="O14" s="36"/>
      <c r="Q14" t="s">
        <v>59</v>
      </c>
      <c r="R14">
        <v>2</v>
      </c>
    </row>
    <row r="15" spans="1:18" x14ac:dyDescent="0.25">
      <c r="A15" t="str">
        <f>TableOGPROJM[[#This Row],[Study Package Code]]</f>
        <v>PRJM6018</v>
      </c>
      <c r="B15" s="4">
        <f>TableOGPROJM[[#This Row],[Ver]]</f>
        <v>1</v>
      </c>
      <c r="C15" t="str">
        <f>IF(OR(TableOGPROJM[[#This Row],[Credit Points]]&gt;50,ISBLANK(TableOGPROJM[[#This Row],[Effective]])),"",LEFT(TableOGPROJM[[#This Row],[Structure Line]],(FIND(" ",TableOGPROJM[[#This Row],[Structure Line]],1)-1)))</f>
        <v>PRM540</v>
      </c>
      <c r="D15" t="str">
        <f>IF((OR(TableOGPROJM[[#This Row],[Credit Points]]&gt;50,ISBLANK(TableOGPROJM[[#This Row],[Effective]]))),TableOGPROJM[[#This Row],[Structure Line]],MID(TableOGPROJM[[#This Row],[Structure Line]],FIND(" ",TableOGPROJM[[#This Row],[Structure Line]])+1,256))</f>
        <v>Project Procurement Management</v>
      </c>
      <c r="E15" s="63">
        <f>TableOGPROJM[[#This Row],[Credit Points]]</f>
        <v>25</v>
      </c>
      <c r="F15">
        <v>5</v>
      </c>
      <c r="G15" t="s">
        <v>191</v>
      </c>
      <c r="H15">
        <v>1</v>
      </c>
      <c r="I15" s="208" t="s">
        <v>198</v>
      </c>
      <c r="J15" t="s">
        <v>114</v>
      </c>
      <c r="K15">
        <v>1</v>
      </c>
      <c r="L15" t="s">
        <v>199</v>
      </c>
      <c r="M15">
        <v>25</v>
      </c>
      <c r="N15" s="36">
        <v>42917</v>
      </c>
      <c r="O15" s="36"/>
      <c r="Q15" t="s">
        <v>114</v>
      </c>
      <c r="R15">
        <v>1</v>
      </c>
    </row>
    <row r="16" spans="1:18" x14ac:dyDescent="0.25">
      <c r="A16" t="str">
        <f>TableOGPROJM[[#This Row],[Study Package Code]]</f>
        <v>PRJM6020</v>
      </c>
      <c r="B16" s="4">
        <f>TableOGPROJM[[#This Row],[Ver]]</f>
        <v>1</v>
      </c>
      <c r="C16" t="str">
        <f>IF(OR(TableOGPROJM[[#This Row],[Credit Points]]&gt;50,ISBLANK(TableOGPROJM[[#This Row],[Effective]])),"",LEFT(TableOGPROJM[[#This Row],[Structure Line]],(FIND(" ",TableOGPROJM[[#This Row],[Structure Line]],1)-1)))</f>
        <v>PRM550</v>
      </c>
      <c r="D16" t="str">
        <f>IF((OR(TableOGPROJM[[#This Row],[Credit Points]]&gt;50,ISBLANK(TableOGPROJM[[#This Row],[Effective]]))),TableOGPROJM[[#This Row],[Structure Line]],MID(TableOGPROJM[[#This Row],[Structure Line]],FIND(" ",TableOGPROJM[[#This Row],[Structure Line]])+1,256))</f>
        <v>Project Risk Management</v>
      </c>
      <c r="E16" s="63">
        <f>TableOGPROJM[[#This Row],[Credit Points]]</f>
        <v>25</v>
      </c>
      <c r="F16">
        <v>6</v>
      </c>
      <c r="G16" t="s">
        <v>191</v>
      </c>
      <c r="H16">
        <v>1</v>
      </c>
      <c r="I16" s="208" t="s">
        <v>198</v>
      </c>
      <c r="J16" t="s">
        <v>116</v>
      </c>
      <c r="K16">
        <v>1</v>
      </c>
      <c r="L16" t="s">
        <v>200</v>
      </c>
      <c r="M16">
        <v>25</v>
      </c>
      <c r="N16" s="36">
        <v>42917</v>
      </c>
      <c r="O16" s="36"/>
      <c r="Q16" t="s">
        <v>116</v>
      </c>
      <c r="R16">
        <v>1</v>
      </c>
    </row>
    <row r="17" spans="1:18" x14ac:dyDescent="0.25">
      <c r="A17" t="str">
        <f>TableOGPROJM[[#This Row],[Study Package Code]]</f>
        <v>PRJM6014</v>
      </c>
      <c r="B17" s="4">
        <f>TableOGPROJM[[#This Row],[Ver]]</f>
        <v>1</v>
      </c>
      <c r="C17" t="str">
        <f>IF(OR(TableOGPROJM[[#This Row],[Credit Points]]&gt;50,ISBLANK(TableOGPROJM[[#This Row],[Effective]])),"",LEFT(TableOGPROJM[[#This Row],[Structure Line]],(FIND(" ",TableOGPROJM[[#This Row],[Structure Line]],1)-1)))</f>
        <v>PRM560</v>
      </c>
      <c r="D17" t="str">
        <f>IF((OR(TableOGPROJM[[#This Row],[Credit Points]]&gt;50,ISBLANK(TableOGPROJM[[#This Row],[Effective]]))),TableOGPROJM[[#This Row],[Structure Line]],MID(TableOGPROJM[[#This Row],[Structure Line]],FIND(" ",TableOGPROJM[[#This Row],[Structure Line]])+1,256))</f>
        <v>Program and Portfolio Management</v>
      </c>
      <c r="E17" s="63">
        <f>TableOGPROJM[[#This Row],[Credit Points]]</f>
        <v>25</v>
      </c>
      <c r="F17">
        <v>7</v>
      </c>
      <c r="G17" t="s">
        <v>191</v>
      </c>
      <c r="H17">
        <v>1</v>
      </c>
      <c r="I17" s="208" t="s">
        <v>198</v>
      </c>
      <c r="J17" t="s">
        <v>115</v>
      </c>
      <c r="K17">
        <v>1</v>
      </c>
      <c r="L17" t="s">
        <v>201</v>
      </c>
      <c r="M17">
        <v>25</v>
      </c>
      <c r="N17" s="36">
        <v>42917</v>
      </c>
      <c r="O17" s="36"/>
      <c r="Q17" t="s">
        <v>115</v>
      </c>
      <c r="R17">
        <v>1</v>
      </c>
    </row>
    <row r="18" spans="1:18" x14ac:dyDescent="0.25">
      <c r="A18" t="str">
        <f>TableOGPROJM[[#This Row],[Study Package Code]]</f>
        <v>AltCore</v>
      </c>
      <c r="B18" s="4">
        <f>TableOGPROJM[[#This Row],[Ver]]</f>
        <v>0</v>
      </c>
      <c r="C18" t="str">
        <f>IF(OR(TableOGPROJM[[#This Row],[Credit Points]]&gt;50,ISBLANK(TableOGPROJM[[#This Row],[Effective]])),"",LEFT(TableOGPROJM[[#This Row],[Structure Line]],(FIND(" ",TableOGPROJM[[#This Row],[Structure Line]],1)-1)))</f>
        <v/>
      </c>
      <c r="D18" t="str">
        <f>IF((OR(TableOGPROJM[[#This Row],[Credit Points]]&gt;50,ISBLANK(TableOGPROJM[[#This Row],[Effective]]))),TableOGPROJM[[#This Row],[Structure Line]],MID(TableOGPROJM[[#This Row],[Structure Line]],FIND(" ",TableOGPROJM[[#This Row],[Structure Line]])+1,256))</f>
        <v>Choose URDE6007 or PRJM6026</v>
      </c>
      <c r="E18" s="63">
        <f>TableOGPROJM[[#This Row],[Credit Points]]</f>
        <v>25</v>
      </c>
      <c r="F18">
        <v>8</v>
      </c>
      <c r="G18" t="s">
        <v>104</v>
      </c>
      <c r="H18">
        <v>1</v>
      </c>
      <c r="I18" s="208" t="s">
        <v>198</v>
      </c>
      <c r="J18" t="s">
        <v>104</v>
      </c>
      <c r="K18">
        <v>0</v>
      </c>
      <c r="L18" t="s">
        <v>217</v>
      </c>
      <c r="M18">
        <v>25</v>
      </c>
      <c r="N18" s="36"/>
      <c r="O18" s="36"/>
      <c r="Q18" t="s">
        <v>104</v>
      </c>
      <c r="R18">
        <v>0</v>
      </c>
    </row>
    <row r="19" spans="1:18" x14ac:dyDescent="0.25">
      <c r="A19" t="str">
        <f>TableOGPROJM[[#This Row],[Study Package Code]]</f>
        <v>PRJM6026</v>
      </c>
      <c r="B19" s="4">
        <f>TableOGPROJM[[#This Row],[Ver]]</f>
        <v>1</v>
      </c>
      <c r="C19" t="str">
        <f>IF(OR(TableOGPROJM[[#This Row],[Credit Points]]&gt;50,ISBLANK(TableOGPROJM[[#This Row],[Effective]])),"",LEFT(TableOGPROJM[[#This Row],[Structure Line]],(FIND(" ",TableOGPROJM[[#This Row],[Structure Line]],1)-1)))</f>
        <v>PRM630</v>
      </c>
      <c r="D19" t="str">
        <f>IF((OR(TableOGPROJM[[#This Row],[Credit Points]]&gt;50,ISBLANK(TableOGPROJM[[#This Row],[Effective]]))),TableOGPROJM[[#This Row],[Structure Line]],MID(TableOGPROJM[[#This Row],[Structure Line]],FIND(" ",TableOGPROJM[[#This Row],[Structure Line]])+1,256))</f>
        <v>Agile Management</v>
      </c>
      <c r="E19" s="63">
        <f>TableOGPROJM[[#This Row],[Credit Points]]</f>
        <v>25</v>
      </c>
      <c r="F19">
        <v>8</v>
      </c>
      <c r="G19" t="s">
        <v>104</v>
      </c>
      <c r="H19">
        <v>1</v>
      </c>
      <c r="I19" s="208" t="s">
        <v>198</v>
      </c>
      <c r="J19" t="s">
        <v>119</v>
      </c>
      <c r="K19">
        <v>1</v>
      </c>
      <c r="L19" t="s">
        <v>202</v>
      </c>
      <c r="M19">
        <v>25</v>
      </c>
      <c r="N19" s="36">
        <v>44562</v>
      </c>
      <c r="O19" s="36"/>
      <c r="Q19" t="s">
        <v>119</v>
      </c>
      <c r="R19">
        <v>1</v>
      </c>
    </row>
    <row r="20" spans="1:18" x14ac:dyDescent="0.25">
      <c r="A20" t="str">
        <f>TableOGPROJM[[#This Row],[Study Package Code]]</f>
        <v>URDE6007</v>
      </c>
      <c r="B20" s="4">
        <f>TableOGPROJM[[#This Row],[Ver]]</f>
        <v>1</v>
      </c>
      <c r="C20" t="str">
        <f>IF(OR(TableOGPROJM[[#This Row],[Credit Points]]&gt;50,ISBLANK(TableOGPROJM[[#This Row],[Effective]])),"",LEFT(TableOGPROJM[[#This Row],[Structure Line]],(FIND(" ",TableOGPROJM[[#This Row],[Structure Line]],1)-1)))</f>
        <v>DBE600</v>
      </c>
      <c r="D20" t="str">
        <f>IF((OR(TableOGPROJM[[#This Row],[Credit Points]]&gt;50,ISBLANK(TableOGPROJM[[#This Row],[Effective]]))),TableOGPROJM[[#This Row],[Structure Line]],MID(TableOGPROJM[[#This Row],[Structure Line]],FIND(" ",TableOGPROJM[[#This Row],[Structure Line]])+1,256))</f>
        <v>Design and Built Environment Research Methods</v>
      </c>
      <c r="E20" s="63">
        <f>TableOGPROJM[[#This Row],[Credit Points]]</f>
        <v>25</v>
      </c>
      <c r="F20">
        <v>8</v>
      </c>
      <c r="G20" t="s">
        <v>104</v>
      </c>
      <c r="H20">
        <v>1</v>
      </c>
      <c r="I20" s="208" t="s">
        <v>198</v>
      </c>
      <c r="J20" t="s">
        <v>81</v>
      </c>
      <c r="K20">
        <v>1</v>
      </c>
      <c r="L20" t="s">
        <v>203</v>
      </c>
      <c r="M20">
        <v>25</v>
      </c>
      <c r="N20" s="36">
        <v>44562</v>
      </c>
      <c r="O20" s="36"/>
      <c r="Q20" t="s">
        <v>81</v>
      </c>
      <c r="R20">
        <v>1</v>
      </c>
    </row>
    <row r="23" spans="1:18" x14ac:dyDescent="0.25">
      <c r="B23"/>
      <c r="E23"/>
      <c r="F23" s="74"/>
      <c r="G23" s="75" t="s">
        <v>179</v>
      </c>
      <c r="H23" s="230">
        <v>42917</v>
      </c>
      <c r="I23" s="74"/>
      <c r="J23" s="231" t="s">
        <v>128</v>
      </c>
      <c r="K23" s="232" t="s">
        <v>83</v>
      </c>
      <c r="L23" s="74" t="s">
        <v>204</v>
      </c>
      <c r="M23" s="74"/>
      <c r="N23" s="168" t="s">
        <v>180</v>
      </c>
      <c r="O23" s="169">
        <v>45615</v>
      </c>
    </row>
    <row r="24" spans="1:18" x14ac:dyDescent="0.25">
      <c r="A24" t="s">
        <v>0</v>
      </c>
      <c r="B24" s="4" t="s">
        <v>181</v>
      </c>
      <c r="C24" t="s">
        <v>20</v>
      </c>
      <c r="D24" t="s">
        <v>3</v>
      </c>
      <c r="E24" s="63" t="s">
        <v>182</v>
      </c>
      <c r="F24" t="s">
        <v>183</v>
      </c>
      <c r="G24" t="s">
        <v>184</v>
      </c>
      <c r="H24" t="s">
        <v>185</v>
      </c>
      <c r="I24" t="s">
        <v>21</v>
      </c>
      <c r="J24" t="s">
        <v>186</v>
      </c>
      <c r="K24" t="s">
        <v>1</v>
      </c>
      <c r="L24" t="s">
        <v>187</v>
      </c>
      <c r="M24" t="s">
        <v>23</v>
      </c>
      <c r="N24" t="s">
        <v>188</v>
      </c>
      <c r="O24" t="s">
        <v>189</v>
      </c>
      <c r="Q24" t="s">
        <v>190</v>
      </c>
      <c r="R24" t="s">
        <v>1</v>
      </c>
    </row>
    <row r="25" spans="1:18" x14ac:dyDescent="0.25">
      <c r="A25" t="str">
        <f>TableOMPROJM[[#This Row],[Study Package Code]]</f>
        <v>Stream</v>
      </c>
      <c r="B25" s="4">
        <f>TableOMPROJM[[#This Row],[Ver]]</f>
        <v>0</v>
      </c>
      <c r="C25" t="str">
        <f>IF(OR(TableOMPROJM[[#This Row],[Credit Points]]&gt;50,ISBLANK(TableOMPROJM[[#This Row],[Effective]])),"",LEFT(TableOMPROJM[[#This Row],[Structure Line]],(FIND(" ",TableOMPROJM[[#This Row],[Structure Line]],1)-1)))</f>
        <v/>
      </c>
      <c r="D25" t="str">
        <f>IF((OR(TableOMPROJM[[#This Row],[Credit Points]]&gt;50,ISBLANK(TableOMPROJM[[#This Row],[Effective]]))),TableOMPROJM[[#This Row],[Structure Line]],MID(TableOMPROJM[[#This Row],[Structure Line]],FIND(" ",TableOMPROJM[[#This Row],[Structure Line]])+1,256))</f>
        <v>Master of Science (Project Management) Stream List</v>
      </c>
      <c r="E25" s="63">
        <f>TableOMPROJM[[#This Row],[Credit Points]]</f>
        <v>300</v>
      </c>
      <c r="F25">
        <v>1</v>
      </c>
      <c r="G25" t="s">
        <v>104</v>
      </c>
      <c r="H25">
        <v>1</v>
      </c>
      <c r="I25" s="233" t="s">
        <v>205</v>
      </c>
      <c r="J25" t="s">
        <v>206</v>
      </c>
      <c r="K25">
        <v>0</v>
      </c>
      <c r="L25" t="s">
        <v>207</v>
      </c>
      <c r="M25">
        <v>300</v>
      </c>
      <c r="N25" s="36"/>
      <c r="O25" s="36"/>
      <c r="Q25" t="s">
        <v>206</v>
      </c>
      <c r="R25">
        <v>0</v>
      </c>
    </row>
    <row r="26" spans="1:18" x14ac:dyDescent="0.25">
      <c r="A26" t="str">
        <f>TableOMPROJM[[#This Row],[Study Package Code]]</f>
        <v>OUSP-PROFL</v>
      </c>
      <c r="B26" s="4">
        <f>TableOMPROJM[[#This Row],[Ver]]</f>
        <v>2</v>
      </c>
      <c r="C26" t="str">
        <f>IF(OR(TableOMPROJM[[#This Row],[Credit Points]]&gt;50,ISBLANK(TableOMPROJM[[#This Row],[Effective]])),"",LEFT(TableOMPROJM[[#This Row],[Structure Line]],(FIND(" ",TableOMPROJM[[#This Row],[Structure Line]],1)-1)))</f>
        <v/>
      </c>
      <c r="D26" t="str">
        <f>IF((OR(TableOMPROJM[[#This Row],[Credit Points]]&gt;50,ISBLANK(TableOMPROJM[[#This Row],[Effective]]))),TableOMPROJM[[#This Row],[Structure Line]],MID(TableOMPROJM[[#This Row],[Structure Line]],FIND(" ",TableOMPROJM[[#This Row],[Structure Line]])+1,256))</f>
        <v>Professional Stream (OUA MSc Proj Mngmt)</v>
      </c>
      <c r="E26" s="63">
        <f>TableOMPROJM[[#This Row],[Credit Points]]</f>
        <v>300</v>
      </c>
      <c r="F26">
        <v>1</v>
      </c>
      <c r="G26" t="s">
        <v>104</v>
      </c>
      <c r="H26">
        <v>1</v>
      </c>
      <c r="I26" s="233" t="s">
        <v>205</v>
      </c>
      <c r="J26" t="s">
        <v>105</v>
      </c>
      <c r="K26">
        <v>2</v>
      </c>
      <c r="L26" t="s">
        <v>39</v>
      </c>
      <c r="M26">
        <v>300</v>
      </c>
      <c r="N26" s="36">
        <v>44562</v>
      </c>
      <c r="O26" s="36"/>
      <c r="Q26" t="s">
        <v>105</v>
      </c>
      <c r="R26">
        <v>2</v>
      </c>
    </row>
    <row r="27" spans="1:18" x14ac:dyDescent="0.25">
      <c r="A27" t="str">
        <f>TableOMPROJM[[#This Row],[Study Package Code]]</f>
        <v>OUSP-RESCH</v>
      </c>
      <c r="B27" s="4">
        <f>TableOMPROJM[[#This Row],[Ver]]</f>
        <v>2</v>
      </c>
      <c r="C27" t="str">
        <f>IF(OR(TableOMPROJM[[#This Row],[Credit Points]]&gt;50,ISBLANK(TableOMPROJM[[#This Row],[Effective]])),"",LEFT(TableOMPROJM[[#This Row],[Structure Line]],(FIND(" ",TableOMPROJM[[#This Row],[Structure Line]],1)-1)))</f>
        <v/>
      </c>
      <c r="D27" t="str">
        <f>IF((OR(TableOMPROJM[[#This Row],[Credit Points]]&gt;50,ISBLANK(TableOMPROJM[[#This Row],[Effective]]))),TableOMPROJM[[#This Row],[Structure Line]],MID(TableOMPROJM[[#This Row],[Structure Line]],FIND(" ",TableOMPROJM[[#This Row],[Structure Line]])+1,256))</f>
        <v>Research Stream (OUA MSc Proj Mngmt)</v>
      </c>
      <c r="E27" s="63">
        <f>TableOMPROJM[[#This Row],[Credit Points]]</f>
        <v>300</v>
      </c>
      <c r="F27">
        <v>1</v>
      </c>
      <c r="G27" t="s">
        <v>104</v>
      </c>
      <c r="H27">
        <v>1</v>
      </c>
      <c r="I27" s="233" t="s">
        <v>205</v>
      </c>
      <c r="J27" t="s">
        <v>106</v>
      </c>
      <c r="K27">
        <v>2</v>
      </c>
      <c r="L27" t="s">
        <v>40</v>
      </c>
      <c r="M27">
        <v>300</v>
      </c>
      <c r="N27" s="36">
        <v>44562</v>
      </c>
      <c r="O27" s="36"/>
      <c r="Q27" t="s">
        <v>106</v>
      </c>
      <c r="R27">
        <v>2</v>
      </c>
    </row>
    <row r="28" spans="1:18" x14ac:dyDescent="0.25">
      <c r="B28"/>
      <c r="E28"/>
      <c r="F28" s="74"/>
      <c r="G28" s="75" t="s">
        <v>179</v>
      </c>
      <c r="H28" s="230">
        <v>44562</v>
      </c>
      <c r="I28" s="74"/>
      <c r="J28" s="231" t="s">
        <v>105</v>
      </c>
      <c r="K28" s="232" t="s">
        <v>75</v>
      </c>
      <c r="L28" s="74" t="s">
        <v>39</v>
      </c>
      <c r="M28" s="74"/>
      <c r="N28" s="168" t="s">
        <v>180</v>
      </c>
      <c r="O28" s="169">
        <v>45615</v>
      </c>
    </row>
    <row r="29" spans="1:18" x14ac:dyDescent="0.25">
      <c r="A29" t="s">
        <v>0</v>
      </c>
      <c r="B29" s="4" t="s">
        <v>181</v>
      </c>
      <c r="C29" t="s">
        <v>20</v>
      </c>
      <c r="D29" t="s">
        <v>3</v>
      </c>
      <c r="E29" s="63" t="s">
        <v>182</v>
      </c>
      <c r="F29" t="s">
        <v>183</v>
      </c>
      <c r="G29" t="s">
        <v>184</v>
      </c>
      <c r="H29" t="s">
        <v>185</v>
      </c>
      <c r="I29" t="s">
        <v>21</v>
      </c>
      <c r="J29" t="s">
        <v>186</v>
      </c>
      <c r="K29" t="s">
        <v>1</v>
      </c>
      <c r="L29" t="s">
        <v>187</v>
      </c>
      <c r="M29" t="s">
        <v>23</v>
      </c>
      <c r="N29" t="s">
        <v>188</v>
      </c>
      <c r="O29" t="s">
        <v>189</v>
      </c>
      <c r="Q29" t="s">
        <v>190</v>
      </c>
      <c r="R29" t="s">
        <v>1</v>
      </c>
    </row>
    <row r="30" spans="1:18" x14ac:dyDescent="0.25">
      <c r="A30" t="str">
        <f>TableOUSPPROFL[[#This Row],[Study Package Code]]</f>
        <v>PRJM6013</v>
      </c>
      <c r="B30" s="4">
        <f>TableOUSPPROFL[[#This Row],[Ver]]</f>
        <v>2</v>
      </c>
      <c r="C30" t="str">
        <f>IF(OR(TableOUSPPROFL[[#This Row],[Credit Points]]&gt;50,ISBLANK(TableOUSPPROFL[[#This Row],[Effective]])),"",LEFT(TableOUSPPROFL[[#This Row],[Structure Line]],(FIND(" ",TableOUSPPROFL[[#This Row],[Structure Line]],1)-1)))</f>
        <v>PRM500</v>
      </c>
      <c r="D30" t="str">
        <f>IF((OR(TableOUSPPROFL[[#This Row],[Credit Points]]&gt;50,ISBLANK(TableOUSPPROFL[[#This Row],[Effective]]))),TableOUSPPROFL[[#This Row],[Structure Line]],MID(TableOUSPPROFL[[#This Row],[Structure Line]],FIND(" ",TableOUSPPROFL[[#This Row],[Structure Line]])+1,256))</f>
        <v>Project Management Overview</v>
      </c>
      <c r="E30" s="63">
        <f>TableOUSPPROFL[[#This Row],[Credit Points]]</f>
        <v>25</v>
      </c>
      <c r="F30">
        <v>1</v>
      </c>
      <c r="G30" t="s">
        <v>191</v>
      </c>
      <c r="H30">
        <v>1</v>
      </c>
      <c r="I30" s="233" t="s">
        <v>205</v>
      </c>
      <c r="J30" t="s">
        <v>67</v>
      </c>
      <c r="K30">
        <v>2</v>
      </c>
      <c r="L30" t="s">
        <v>193</v>
      </c>
      <c r="M30">
        <v>25</v>
      </c>
      <c r="N30" s="36">
        <v>42917</v>
      </c>
      <c r="O30" s="36"/>
      <c r="Q30" t="s">
        <v>67</v>
      </c>
      <c r="R30">
        <v>2</v>
      </c>
    </row>
    <row r="31" spans="1:18" x14ac:dyDescent="0.25">
      <c r="A31" t="str">
        <f>TableOUSPPROFL[[#This Row],[Study Package Code]]</f>
        <v>PRJM6015</v>
      </c>
      <c r="B31" s="4">
        <f>TableOUSPPROFL[[#This Row],[Ver]]</f>
        <v>1</v>
      </c>
      <c r="C31" t="str">
        <f>IF(OR(TableOUSPPROFL[[#This Row],[Credit Points]]&gt;50,ISBLANK(TableOUSPPROFL[[#This Row],[Effective]])),"",LEFT(TableOUSPPROFL[[#This Row],[Structure Line]],(FIND(" ",TableOUSPPROFL[[#This Row],[Structure Line]],1)-1)))</f>
        <v>PRM510</v>
      </c>
      <c r="D31" t="str">
        <f>IF((OR(TableOUSPPROFL[[#This Row],[Credit Points]]&gt;50,ISBLANK(TableOUSPPROFL[[#This Row],[Effective]]))),TableOUSPPROFL[[#This Row],[Structure Line]],MID(TableOUSPPROFL[[#This Row],[Structure Line]],FIND(" ",TableOUSPPROFL[[#This Row],[Structure Line]])+1,256))</f>
        <v>Project and People</v>
      </c>
      <c r="E31" s="63">
        <f>TableOUSPPROFL[[#This Row],[Credit Points]]</f>
        <v>25</v>
      </c>
      <c r="F31">
        <v>2</v>
      </c>
      <c r="G31" t="s">
        <v>191</v>
      </c>
      <c r="H31">
        <v>1</v>
      </c>
      <c r="I31" s="233" t="s">
        <v>205</v>
      </c>
      <c r="J31" t="s">
        <v>53</v>
      </c>
      <c r="K31">
        <v>1</v>
      </c>
      <c r="L31" t="s">
        <v>195</v>
      </c>
      <c r="M31">
        <v>25</v>
      </c>
      <c r="N31" s="36">
        <v>42917</v>
      </c>
      <c r="O31" s="36"/>
      <c r="Q31" t="s">
        <v>53</v>
      </c>
      <c r="R31">
        <v>1</v>
      </c>
    </row>
    <row r="32" spans="1:18" x14ac:dyDescent="0.25">
      <c r="A32" t="str">
        <f>TableOUSPPROFL[[#This Row],[Study Package Code]]</f>
        <v>PRJM6016</v>
      </c>
      <c r="B32" s="4">
        <f>TableOUSPPROFL[[#This Row],[Ver]]</f>
        <v>1</v>
      </c>
      <c r="C32" t="str">
        <f>IF(OR(TableOUSPPROFL[[#This Row],[Credit Points]]&gt;50,ISBLANK(TableOUSPPROFL[[#This Row],[Effective]])),"",LEFT(TableOUSPPROFL[[#This Row],[Structure Line]],(FIND(" ",TableOUSPPROFL[[#This Row],[Structure Line]],1)-1)))</f>
        <v>PRM520</v>
      </c>
      <c r="D32" t="str">
        <f>IF((OR(TableOUSPPROFL[[#This Row],[Credit Points]]&gt;50,ISBLANK(TableOUSPPROFL[[#This Row],[Effective]]))),TableOUSPPROFL[[#This Row],[Structure Line]],MID(TableOUSPPROFL[[#This Row],[Structure Line]],FIND(" ",TableOUSPPROFL[[#This Row],[Structure Line]])+1,256))</f>
        <v>Project Cost Management</v>
      </c>
      <c r="E32" s="63">
        <f>TableOUSPPROFL[[#This Row],[Credit Points]]</f>
        <v>25</v>
      </c>
      <c r="F32">
        <v>3</v>
      </c>
      <c r="G32" t="s">
        <v>191</v>
      </c>
      <c r="H32">
        <v>1</v>
      </c>
      <c r="I32" s="233" t="s">
        <v>205</v>
      </c>
      <c r="J32" t="s">
        <v>70</v>
      </c>
      <c r="K32">
        <v>1</v>
      </c>
      <c r="L32" t="s">
        <v>196</v>
      </c>
      <c r="M32">
        <v>25</v>
      </c>
      <c r="N32" s="36">
        <v>42917</v>
      </c>
      <c r="O32" s="36"/>
      <c r="Q32" t="s">
        <v>70</v>
      </c>
      <c r="R32">
        <v>1</v>
      </c>
    </row>
    <row r="33" spans="1:18" x14ac:dyDescent="0.25">
      <c r="A33" t="str">
        <f>TableOUSPPROFL[[#This Row],[Study Package Code]]</f>
        <v>PRJM6021</v>
      </c>
      <c r="B33" s="4">
        <f>TableOUSPPROFL[[#This Row],[Ver]]</f>
        <v>2</v>
      </c>
      <c r="C33" t="str">
        <f>IF(OR(TableOUSPPROFL[[#This Row],[Credit Points]]&gt;50,ISBLANK(TableOUSPPROFL[[#This Row],[Effective]])),"",LEFT(TableOUSPPROFL[[#This Row],[Structure Line]],(FIND(" ",TableOUSPPROFL[[#This Row],[Structure Line]],1)-1)))</f>
        <v>PRM530</v>
      </c>
      <c r="D33" t="str">
        <f>IF((OR(TableOUSPPROFL[[#This Row],[Credit Points]]&gt;50,ISBLANK(TableOUSPPROFL[[#This Row],[Effective]]))),TableOUSPPROFL[[#This Row],[Structure Line]],MID(TableOUSPPROFL[[#This Row],[Structure Line]],FIND(" ",TableOUSPPROFL[[#This Row],[Structure Line]])+1,256))</f>
        <v>Project Planning and Schedule Management</v>
      </c>
      <c r="E33" s="63">
        <f>TableOUSPPROFL[[#This Row],[Credit Points]]</f>
        <v>25</v>
      </c>
      <c r="F33">
        <v>4</v>
      </c>
      <c r="G33" t="s">
        <v>191</v>
      </c>
      <c r="H33">
        <v>1</v>
      </c>
      <c r="I33" s="233" t="s">
        <v>205</v>
      </c>
      <c r="J33" t="s">
        <v>59</v>
      </c>
      <c r="K33">
        <v>2</v>
      </c>
      <c r="L33" t="s">
        <v>197</v>
      </c>
      <c r="M33">
        <v>25</v>
      </c>
      <c r="N33" s="36">
        <v>45383</v>
      </c>
      <c r="O33" s="36"/>
      <c r="Q33" t="s">
        <v>59</v>
      </c>
      <c r="R33">
        <v>2</v>
      </c>
    </row>
    <row r="34" spans="1:18" x14ac:dyDescent="0.25">
      <c r="A34" t="str">
        <f>TableOUSPPROFL[[#This Row],[Study Package Code]]</f>
        <v>PRJM6018</v>
      </c>
      <c r="B34" s="4">
        <f>TableOUSPPROFL[[#This Row],[Ver]]</f>
        <v>1</v>
      </c>
      <c r="C34" t="str">
        <f>IF(OR(TableOUSPPROFL[[#This Row],[Credit Points]]&gt;50,ISBLANK(TableOUSPPROFL[[#This Row],[Effective]])),"",LEFT(TableOUSPPROFL[[#This Row],[Structure Line]],(FIND(" ",TableOUSPPROFL[[#This Row],[Structure Line]],1)-1)))</f>
        <v>PRM540</v>
      </c>
      <c r="D34" t="str">
        <f>IF((OR(TableOUSPPROFL[[#This Row],[Credit Points]]&gt;50,ISBLANK(TableOUSPPROFL[[#This Row],[Effective]]))),TableOUSPPROFL[[#This Row],[Structure Line]],MID(TableOUSPPROFL[[#This Row],[Structure Line]],FIND(" ",TableOUSPPROFL[[#This Row],[Structure Line]])+1,256))</f>
        <v>Project Procurement Management</v>
      </c>
      <c r="E34" s="63">
        <f>TableOUSPPROFL[[#This Row],[Credit Points]]</f>
        <v>25</v>
      </c>
      <c r="F34">
        <v>5</v>
      </c>
      <c r="G34" t="s">
        <v>191</v>
      </c>
      <c r="H34">
        <v>1</v>
      </c>
      <c r="I34" s="233" t="s">
        <v>205</v>
      </c>
      <c r="J34" t="s">
        <v>114</v>
      </c>
      <c r="K34">
        <v>1</v>
      </c>
      <c r="L34" t="s">
        <v>199</v>
      </c>
      <c r="M34">
        <v>25</v>
      </c>
      <c r="N34" s="36">
        <v>42917</v>
      </c>
      <c r="O34" s="36"/>
      <c r="Q34" t="s">
        <v>114</v>
      </c>
      <c r="R34">
        <v>1</v>
      </c>
    </row>
    <row r="35" spans="1:18" x14ac:dyDescent="0.25">
      <c r="A35" t="str">
        <f>TableOUSPPROFL[[#This Row],[Study Package Code]]</f>
        <v>PRJM6020</v>
      </c>
      <c r="B35" s="4">
        <f>TableOUSPPROFL[[#This Row],[Ver]]</f>
        <v>1</v>
      </c>
      <c r="C35" t="str">
        <f>IF(OR(TableOUSPPROFL[[#This Row],[Credit Points]]&gt;50,ISBLANK(TableOUSPPROFL[[#This Row],[Effective]])),"",LEFT(TableOUSPPROFL[[#This Row],[Structure Line]],(FIND(" ",TableOUSPPROFL[[#This Row],[Structure Line]],1)-1)))</f>
        <v>PRM550</v>
      </c>
      <c r="D35" t="str">
        <f>IF((OR(TableOUSPPROFL[[#This Row],[Credit Points]]&gt;50,ISBLANK(TableOUSPPROFL[[#This Row],[Effective]]))),TableOUSPPROFL[[#This Row],[Structure Line]],MID(TableOUSPPROFL[[#This Row],[Structure Line]],FIND(" ",TableOUSPPROFL[[#This Row],[Structure Line]])+1,256))</f>
        <v>Project Risk Management</v>
      </c>
      <c r="E35" s="63">
        <f>TableOUSPPROFL[[#This Row],[Credit Points]]</f>
        <v>25</v>
      </c>
      <c r="F35">
        <v>6</v>
      </c>
      <c r="G35" t="s">
        <v>191</v>
      </c>
      <c r="H35">
        <v>1</v>
      </c>
      <c r="I35" s="233" t="s">
        <v>205</v>
      </c>
      <c r="J35" t="s">
        <v>116</v>
      </c>
      <c r="K35">
        <v>1</v>
      </c>
      <c r="L35" t="s">
        <v>200</v>
      </c>
      <c r="M35">
        <v>25</v>
      </c>
      <c r="N35" s="36">
        <v>42917</v>
      </c>
      <c r="O35" s="36"/>
      <c r="Q35" t="s">
        <v>116</v>
      </c>
      <c r="R35">
        <v>1</v>
      </c>
    </row>
    <row r="36" spans="1:18" x14ac:dyDescent="0.25">
      <c r="A36" t="str">
        <f>TableOUSPPROFL[[#This Row],[Study Package Code]]</f>
        <v>PRJM6014</v>
      </c>
      <c r="B36" s="4">
        <f>TableOUSPPROFL[[#This Row],[Ver]]</f>
        <v>1</v>
      </c>
      <c r="C36" t="str">
        <f>IF(OR(TableOUSPPROFL[[#This Row],[Credit Points]]&gt;50,ISBLANK(TableOUSPPROFL[[#This Row],[Effective]])),"",LEFT(TableOUSPPROFL[[#This Row],[Structure Line]],(FIND(" ",TableOUSPPROFL[[#This Row],[Structure Line]],1)-1)))</f>
        <v>PRM560</v>
      </c>
      <c r="D36" t="str">
        <f>IF((OR(TableOUSPPROFL[[#This Row],[Credit Points]]&gt;50,ISBLANK(TableOUSPPROFL[[#This Row],[Effective]]))),TableOUSPPROFL[[#This Row],[Structure Line]],MID(TableOUSPPROFL[[#This Row],[Structure Line]],FIND(" ",TableOUSPPROFL[[#This Row],[Structure Line]])+1,256))</f>
        <v>Program and Portfolio Management</v>
      </c>
      <c r="E36" s="63">
        <f>TableOUSPPROFL[[#This Row],[Credit Points]]</f>
        <v>25</v>
      </c>
      <c r="F36">
        <v>7</v>
      </c>
      <c r="G36" t="s">
        <v>191</v>
      </c>
      <c r="H36">
        <v>1</v>
      </c>
      <c r="I36" s="233" t="s">
        <v>205</v>
      </c>
      <c r="J36" t="s">
        <v>115</v>
      </c>
      <c r="K36">
        <v>1</v>
      </c>
      <c r="L36" t="s">
        <v>201</v>
      </c>
      <c r="M36">
        <v>25</v>
      </c>
      <c r="N36" s="36">
        <v>42917</v>
      </c>
      <c r="O36" s="36"/>
      <c r="Q36" t="s">
        <v>115</v>
      </c>
      <c r="R36">
        <v>1</v>
      </c>
    </row>
    <row r="37" spans="1:18" x14ac:dyDescent="0.25">
      <c r="A37" t="str">
        <f>TableOUSPPROFL[[#This Row],[Study Package Code]]</f>
        <v>PRJM6026</v>
      </c>
      <c r="B37" s="4">
        <f>TableOUSPPROFL[[#This Row],[Ver]]</f>
        <v>1</v>
      </c>
      <c r="C37" t="str">
        <f>IF(OR(TableOUSPPROFL[[#This Row],[Credit Points]]&gt;50,ISBLANK(TableOUSPPROFL[[#This Row],[Effective]])),"",LEFT(TableOUSPPROFL[[#This Row],[Structure Line]],(FIND(" ",TableOUSPPROFL[[#This Row],[Structure Line]],1)-1)))</f>
        <v>PRM630</v>
      </c>
      <c r="D37" t="str">
        <f>IF((OR(TableOUSPPROFL[[#This Row],[Credit Points]]&gt;50,ISBLANK(TableOUSPPROFL[[#This Row],[Effective]]))),TableOUSPPROFL[[#This Row],[Structure Line]],MID(TableOUSPPROFL[[#This Row],[Structure Line]],FIND(" ",TableOUSPPROFL[[#This Row],[Structure Line]])+1,256))</f>
        <v>Agile Management</v>
      </c>
      <c r="E37" s="63">
        <f>TableOUSPPROFL[[#This Row],[Credit Points]]</f>
        <v>25</v>
      </c>
      <c r="F37">
        <v>8</v>
      </c>
      <c r="G37" t="s">
        <v>191</v>
      </c>
      <c r="H37">
        <v>1</v>
      </c>
      <c r="I37" s="233" t="s">
        <v>205</v>
      </c>
      <c r="J37" t="s">
        <v>119</v>
      </c>
      <c r="K37">
        <v>1</v>
      </c>
      <c r="L37" t="s">
        <v>202</v>
      </c>
      <c r="M37">
        <v>25</v>
      </c>
      <c r="N37" s="36">
        <v>44562</v>
      </c>
      <c r="O37" s="36"/>
      <c r="Q37" t="s">
        <v>119</v>
      </c>
      <c r="R37">
        <v>1</v>
      </c>
    </row>
    <row r="38" spans="1:18" ht="47.25" x14ac:dyDescent="0.25">
      <c r="A38" t="str">
        <f>TableOUSPPROFL[[#This Row],[Study Package Code]]</f>
        <v>Elective</v>
      </c>
      <c r="B38" s="4">
        <f>TableOUSPPROFL[[#This Row],[Ver]]</f>
        <v>0</v>
      </c>
      <c r="C38" t="str">
        <f>IF(OR(TableOUSPPROFL[[#This Row],[Credit Points]]&gt;50,ISBLANK(TableOUSPPROFL[[#This Row],[Effective]])),"",LEFT(TableOUSPPROFL[[#This Row],[Structure Line]],(FIND(" ",TableOUSPPROFL[[#This Row],[Structure Line]],1)-1)))</f>
        <v/>
      </c>
      <c r="D38" t="str">
        <f>IF((OR(TableOUSPPROFL[[#This Row],[Credit Points]]&gt;50,ISBLANK(TableOUSPPROFL[[#This Row],[Effective]]))),TableOUSPPROFL[[#This Row],[Structure Line]],MID(TableOUSPPROFL[[#This Row],[Structure Line]],FIND(" ",TableOUSPPROFL[[#This Row],[Structure Line]])+1,256))</f>
        <v>Professional Stream (11) students study their optional unit in Year 2, semester 1 while Research Stream Students study PRJM6012 Project Management Research 2</v>
      </c>
      <c r="E38" s="63" t="str">
        <f>TableOUSPPROFL[[#This Row],[Credit Points]]</f>
        <v/>
      </c>
      <c r="F38">
        <v>9</v>
      </c>
      <c r="G38" t="s">
        <v>95</v>
      </c>
      <c r="H38">
        <v>2</v>
      </c>
      <c r="I38" s="233" t="s">
        <v>205</v>
      </c>
      <c r="J38" t="s">
        <v>95</v>
      </c>
      <c r="K38">
        <v>0</v>
      </c>
      <c r="L38" s="37" t="s">
        <v>208</v>
      </c>
      <c r="M38" t="s">
        <v>216</v>
      </c>
      <c r="N38" s="36"/>
      <c r="O38" s="36"/>
      <c r="Q38" t="s">
        <v>95</v>
      </c>
      <c r="R38">
        <v>0</v>
      </c>
    </row>
    <row r="39" spans="1:18" x14ac:dyDescent="0.25">
      <c r="A39" t="str">
        <f>TableOUSPPROFL[[#This Row],[Study Package Code]]</f>
        <v>URDE6007</v>
      </c>
      <c r="B39" s="4">
        <f>TableOUSPPROFL[[#This Row],[Ver]]</f>
        <v>1</v>
      </c>
      <c r="C39" t="str">
        <f>IF(OR(TableOUSPPROFL[[#This Row],[Credit Points]]&gt;50,ISBLANK(TableOUSPPROFL[[#This Row],[Effective]])),"",LEFT(TableOUSPPROFL[[#This Row],[Structure Line]],(FIND(" ",TableOUSPPROFL[[#This Row],[Structure Line]],1)-1)))</f>
        <v>DBE600</v>
      </c>
      <c r="D39" t="str">
        <f>IF((OR(TableOUSPPROFL[[#This Row],[Credit Points]]&gt;50,ISBLANK(TableOUSPPROFL[[#This Row],[Effective]]))),TableOUSPPROFL[[#This Row],[Structure Line]],MID(TableOUSPPROFL[[#This Row],[Structure Line]],FIND(" ",TableOUSPPROFL[[#This Row],[Structure Line]])+1,256))</f>
        <v>Design and Built Environment Research Methods</v>
      </c>
      <c r="E39" s="63">
        <f>TableOUSPPROFL[[#This Row],[Credit Points]]</f>
        <v>25</v>
      </c>
      <c r="F39">
        <v>10</v>
      </c>
      <c r="G39" t="s">
        <v>191</v>
      </c>
      <c r="H39">
        <v>2</v>
      </c>
      <c r="I39" s="233" t="s">
        <v>205</v>
      </c>
      <c r="J39" t="s">
        <v>81</v>
      </c>
      <c r="K39">
        <v>1</v>
      </c>
      <c r="L39" t="s">
        <v>203</v>
      </c>
      <c r="M39">
        <v>25</v>
      </c>
      <c r="N39" s="36">
        <v>44562</v>
      </c>
      <c r="O39" s="36"/>
      <c r="Q39" t="s">
        <v>81</v>
      </c>
      <c r="R39">
        <v>1</v>
      </c>
    </row>
    <row r="40" spans="1:18" x14ac:dyDescent="0.25">
      <c r="A40" t="str">
        <f>TableOUSPPROFL[[#This Row],[Study Package Code]]</f>
        <v>PRJM6017</v>
      </c>
      <c r="B40" s="4">
        <f>TableOUSPPROFL[[#This Row],[Ver]]</f>
        <v>1</v>
      </c>
      <c r="C40" t="str">
        <f>IF(OR(TableOUSPPROFL[[#This Row],[Credit Points]]&gt;50,ISBLANK(TableOUSPPROFL[[#This Row],[Effective]])),"",LEFT(TableOUSPPROFL[[#This Row],[Structure Line]],(FIND(" ",TableOUSPPROFL[[#This Row],[Structure Line]],1)-1)))</f>
        <v>PRM600</v>
      </c>
      <c r="D40" t="str">
        <f>IF((OR(TableOUSPPROFL[[#This Row],[Credit Points]]&gt;50,ISBLANK(TableOUSPPROFL[[#This Row],[Effective]]))),TableOUSPPROFL[[#This Row],[Structure Line]],MID(TableOUSPPROFL[[#This Row],[Structure Line]],FIND(" ",TableOUSPPROFL[[#This Row],[Structure Line]])+1,256))</f>
        <v>Project Management Integrated Project</v>
      </c>
      <c r="E40" s="63">
        <f>TableOUSPPROFL[[#This Row],[Credit Points]]</f>
        <v>50</v>
      </c>
      <c r="F40">
        <v>11</v>
      </c>
      <c r="G40" t="s">
        <v>191</v>
      </c>
      <c r="H40">
        <v>2</v>
      </c>
      <c r="I40" s="233" t="s">
        <v>205</v>
      </c>
      <c r="J40" t="s">
        <v>117</v>
      </c>
      <c r="K40">
        <v>1</v>
      </c>
      <c r="L40" t="s">
        <v>209</v>
      </c>
      <c r="M40">
        <v>50</v>
      </c>
      <c r="N40" s="36">
        <v>42917</v>
      </c>
      <c r="O40" s="36"/>
      <c r="Q40" t="s">
        <v>117</v>
      </c>
      <c r="R40">
        <v>1</v>
      </c>
    </row>
    <row r="41" spans="1:18" x14ac:dyDescent="0.25">
      <c r="B41"/>
      <c r="E41"/>
      <c r="F41" s="74"/>
      <c r="G41" s="75" t="s">
        <v>179</v>
      </c>
      <c r="H41" s="230">
        <v>44562</v>
      </c>
      <c r="I41" s="74"/>
      <c r="J41" s="231" t="s">
        <v>106</v>
      </c>
      <c r="K41" s="232" t="s">
        <v>75</v>
      </c>
      <c r="L41" s="74" t="s">
        <v>40</v>
      </c>
      <c r="M41" s="74"/>
      <c r="N41" s="168" t="s">
        <v>180</v>
      </c>
      <c r="O41" s="169">
        <v>45615</v>
      </c>
    </row>
    <row r="42" spans="1:18" x14ac:dyDescent="0.25">
      <c r="A42" t="s">
        <v>0</v>
      </c>
      <c r="B42" s="4" t="s">
        <v>181</v>
      </c>
      <c r="C42" t="s">
        <v>20</v>
      </c>
      <c r="D42" t="s">
        <v>3</v>
      </c>
      <c r="E42" s="63" t="s">
        <v>182</v>
      </c>
      <c r="F42" t="s">
        <v>183</v>
      </c>
      <c r="G42" t="s">
        <v>184</v>
      </c>
      <c r="H42" t="s">
        <v>185</v>
      </c>
      <c r="I42" t="s">
        <v>21</v>
      </c>
      <c r="J42" t="s">
        <v>186</v>
      </c>
      <c r="K42" t="s">
        <v>1</v>
      </c>
      <c r="L42" t="s">
        <v>187</v>
      </c>
      <c r="M42" t="s">
        <v>23</v>
      </c>
      <c r="N42" t="s">
        <v>188</v>
      </c>
      <c r="O42" t="s">
        <v>189</v>
      </c>
      <c r="Q42" t="s">
        <v>190</v>
      </c>
      <c r="R42" t="s">
        <v>1</v>
      </c>
    </row>
    <row r="43" spans="1:18" x14ac:dyDescent="0.25">
      <c r="A43" t="str">
        <f>TableOUSPRESCH[[#This Row],[Study Package Code]]</f>
        <v>PRJM6013</v>
      </c>
      <c r="B43" s="4">
        <f>TableOUSPRESCH[[#This Row],[Ver]]</f>
        <v>2</v>
      </c>
      <c r="C43" t="str">
        <f>IF(OR(TableOUSPRESCH[[#This Row],[Credit Points]]&gt;50,ISBLANK(TableOUSPRESCH[[#This Row],[Effective]])),"",LEFT(TableOUSPRESCH[[#This Row],[Structure Line]],(FIND(" ",TableOUSPRESCH[[#This Row],[Structure Line]],1)-1)))</f>
        <v>PRM500</v>
      </c>
      <c r="D43" t="str">
        <f>IF((OR(TableOUSPRESCH[[#This Row],[Credit Points]]&gt;50,ISBLANK(TableOUSPRESCH[[#This Row],[Effective]]))),TableOUSPRESCH[[#This Row],[Structure Line]],MID(TableOUSPRESCH[[#This Row],[Structure Line]],FIND(" ",TableOUSPRESCH[[#This Row],[Structure Line]])+1,256))</f>
        <v>Project Management Overview</v>
      </c>
      <c r="E43" s="63">
        <f>TableOUSPRESCH[[#This Row],[Credit Points]]</f>
        <v>25</v>
      </c>
      <c r="F43">
        <v>1</v>
      </c>
      <c r="G43" t="s">
        <v>191</v>
      </c>
      <c r="H43">
        <v>1</v>
      </c>
      <c r="I43" s="233" t="s">
        <v>205</v>
      </c>
      <c r="J43" t="s">
        <v>67</v>
      </c>
      <c r="K43">
        <v>2</v>
      </c>
      <c r="L43" t="s">
        <v>193</v>
      </c>
      <c r="M43">
        <v>25</v>
      </c>
      <c r="N43" s="36">
        <v>42917</v>
      </c>
      <c r="O43" s="36"/>
      <c r="Q43" t="s">
        <v>67</v>
      </c>
      <c r="R43">
        <v>2</v>
      </c>
    </row>
    <row r="44" spans="1:18" x14ac:dyDescent="0.25">
      <c r="A44" t="str">
        <f>TableOUSPRESCH[[#This Row],[Study Package Code]]</f>
        <v>PRJM6015</v>
      </c>
      <c r="B44" s="4">
        <f>TableOUSPRESCH[[#This Row],[Ver]]</f>
        <v>1</v>
      </c>
      <c r="C44" t="str">
        <f>IF(OR(TableOUSPRESCH[[#This Row],[Credit Points]]&gt;50,ISBLANK(TableOUSPRESCH[[#This Row],[Effective]])),"",LEFT(TableOUSPRESCH[[#This Row],[Structure Line]],(FIND(" ",TableOUSPRESCH[[#This Row],[Structure Line]],1)-1)))</f>
        <v>PRM510</v>
      </c>
      <c r="D44" t="str">
        <f>IF((OR(TableOUSPRESCH[[#This Row],[Credit Points]]&gt;50,ISBLANK(TableOUSPRESCH[[#This Row],[Effective]]))),TableOUSPRESCH[[#This Row],[Structure Line]],MID(TableOUSPRESCH[[#This Row],[Structure Line]],FIND(" ",TableOUSPRESCH[[#This Row],[Structure Line]])+1,256))</f>
        <v>Project and People</v>
      </c>
      <c r="E44" s="63">
        <f>TableOUSPRESCH[[#This Row],[Credit Points]]</f>
        <v>25</v>
      </c>
      <c r="F44">
        <v>2</v>
      </c>
      <c r="G44" t="s">
        <v>191</v>
      </c>
      <c r="H44">
        <v>1</v>
      </c>
      <c r="I44" s="233" t="s">
        <v>205</v>
      </c>
      <c r="J44" t="s">
        <v>53</v>
      </c>
      <c r="K44">
        <v>1</v>
      </c>
      <c r="L44" t="s">
        <v>195</v>
      </c>
      <c r="M44">
        <v>25</v>
      </c>
      <c r="N44" s="36">
        <v>42917</v>
      </c>
      <c r="O44" s="36"/>
      <c r="Q44" t="s">
        <v>53</v>
      </c>
      <c r="R44">
        <v>1</v>
      </c>
    </row>
    <row r="45" spans="1:18" x14ac:dyDescent="0.25">
      <c r="A45" t="str">
        <f>TableOUSPRESCH[[#This Row],[Study Package Code]]</f>
        <v>PRJM6016</v>
      </c>
      <c r="B45" s="4">
        <f>TableOUSPRESCH[[#This Row],[Ver]]</f>
        <v>1</v>
      </c>
      <c r="C45" t="str">
        <f>IF(OR(TableOUSPRESCH[[#This Row],[Credit Points]]&gt;50,ISBLANK(TableOUSPRESCH[[#This Row],[Effective]])),"",LEFT(TableOUSPRESCH[[#This Row],[Structure Line]],(FIND(" ",TableOUSPRESCH[[#This Row],[Structure Line]],1)-1)))</f>
        <v>PRM520</v>
      </c>
      <c r="D45" t="str">
        <f>IF((OR(TableOUSPRESCH[[#This Row],[Credit Points]]&gt;50,ISBLANK(TableOUSPRESCH[[#This Row],[Effective]]))),TableOUSPRESCH[[#This Row],[Structure Line]],MID(TableOUSPRESCH[[#This Row],[Structure Line]],FIND(" ",TableOUSPRESCH[[#This Row],[Structure Line]])+1,256))</f>
        <v>Project Cost Management</v>
      </c>
      <c r="E45" s="63">
        <f>TableOUSPRESCH[[#This Row],[Credit Points]]</f>
        <v>25</v>
      </c>
      <c r="F45">
        <v>3</v>
      </c>
      <c r="G45" t="s">
        <v>191</v>
      </c>
      <c r="H45">
        <v>1</v>
      </c>
      <c r="I45" s="233" t="s">
        <v>205</v>
      </c>
      <c r="J45" t="s">
        <v>70</v>
      </c>
      <c r="K45">
        <v>1</v>
      </c>
      <c r="L45" t="s">
        <v>196</v>
      </c>
      <c r="M45">
        <v>25</v>
      </c>
      <c r="N45" s="36">
        <v>42917</v>
      </c>
      <c r="O45" s="36"/>
      <c r="Q45" t="s">
        <v>70</v>
      </c>
      <c r="R45">
        <v>1</v>
      </c>
    </row>
    <row r="46" spans="1:18" x14ac:dyDescent="0.25">
      <c r="A46" t="str">
        <f>TableOUSPRESCH[[#This Row],[Study Package Code]]</f>
        <v>PRJM6021</v>
      </c>
      <c r="B46" s="4">
        <f>TableOUSPRESCH[[#This Row],[Ver]]</f>
        <v>2</v>
      </c>
      <c r="C46" t="str">
        <f>IF(OR(TableOUSPRESCH[[#This Row],[Credit Points]]&gt;50,ISBLANK(TableOUSPRESCH[[#This Row],[Effective]])),"",LEFT(TableOUSPRESCH[[#This Row],[Structure Line]],(FIND(" ",TableOUSPRESCH[[#This Row],[Structure Line]],1)-1)))</f>
        <v>PRM530</v>
      </c>
      <c r="D46" t="str">
        <f>IF((OR(TableOUSPRESCH[[#This Row],[Credit Points]]&gt;50,ISBLANK(TableOUSPRESCH[[#This Row],[Effective]]))),TableOUSPRESCH[[#This Row],[Structure Line]],MID(TableOUSPRESCH[[#This Row],[Structure Line]],FIND(" ",TableOUSPRESCH[[#This Row],[Structure Line]])+1,256))</f>
        <v>Project Planning and Schedule Management</v>
      </c>
      <c r="E46" s="63">
        <f>TableOUSPRESCH[[#This Row],[Credit Points]]</f>
        <v>25</v>
      </c>
      <c r="F46">
        <v>4</v>
      </c>
      <c r="G46" t="s">
        <v>191</v>
      </c>
      <c r="H46">
        <v>1</v>
      </c>
      <c r="I46" s="233" t="s">
        <v>205</v>
      </c>
      <c r="J46" t="s">
        <v>59</v>
      </c>
      <c r="K46">
        <v>2</v>
      </c>
      <c r="L46" t="s">
        <v>197</v>
      </c>
      <c r="M46">
        <v>25</v>
      </c>
      <c r="N46" s="36">
        <v>45383</v>
      </c>
      <c r="O46" s="36"/>
      <c r="Q46" t="s">
        <v>59</v>
      </c>
      <c r="R46">
        <v>2</v>
      </c>
    </row>
    <row r="47" spans="1:18" x14ac:dyDescent="0.25">
      <c r="A47" t="str">
        <f>TableOUSPRESCH[[#This Row],[Study Package Code]]</f>
        <v>PRJM6018</v>
      </c>
      <c r="B47" s="4">
        <f>TableOUSPRESCH[[#This Row],[Ver]]</f>
        <v>1</v>
      </c>
      <c r="C47" t="str">
        <f>IF(OR(TableOUSPRESCH[[#This Row],[Credit Points]]&gt;50,ISBLANK(TableOUSPRESCH[[#This Row],[Effective]])),"",LEFT(TableOUSPRESCH[[#This Row],[Structure Line]],(FIND(" ",TableOUSPRESCH[[#This Row],[Structure Line]],1)-1)))</f>
        <v>PRM540</v>
      </c>
      <c r="D47" t="str">
        <f>IF((OR(TableOUSPRESCH[[#This Row],[Credit Points]]&gt;50,ISBLANK(TableOUSPRESCH[[#This Row],[Effective]]))),TableOUSPRESCH[[#This Row],[Structure Line]],MID(TableOUSPRESCH[[#This Row],[Structure Line]],FIND(" ",TableOUSPRESCH[[#This Row],[Structure Line]])+1,256))</f>
        <v>Project Procurement Management</v>
      </c>
      <c r="E47" s="63">
        <f>TableOUSPRESCH[[#This Row],[Credit Points]]</f>
        <v>25</v>
      </c>
      <c r="F47">
        <v>5</v>
      </c>
      <c r="G47" t="s">
        <v>191</v>
      </c>
      <c r="H47">
        <v>1</v>
      </c>
      <c r="I47" s="233" t="s">
        <v>205</v>
      </c>
      <c r="J47" t="s">
        <v>114</v>
      </c>
      <c r="K47">
        <v>1</v>
      </c>
      <c r="L47" t="s">
        <v>199</v>
      </c>
      <c r="M47">
        <v>25</v>
      </c>
      <c r="N47" s="36">
        <v>42917</v>
      </c>
      <c r="O47" s="36"/>
      <c r="Q47" t="s">
        <v>114</v>
      </c>
      <c r="R47">
        <v>1</v>
      </c>
    </row>
    <row r="48" spans="1:18" x14ac:dyDescent="0.25">
      <c r="A48" t="str">
        <f>TableOUSPRESCH[[#This Row],[Study Package Code]]</f>
        <v>PRJM6020</v>
      </c>
      <c r="B48" s="4">
        <f>TableOUSPRESCH[[#This Row],[Ver]]</f>
        <v>1</v>
      </c>
      <c r="C48" t="str">
        <f>IF(OR(TableOUSPRESCH[[#This Row],[Credit Points]]&gt;50,ISBLANK(TableOUSPRESCH[[#This Row],[Effective]])),"",LEFT(TableOUSPRESCH[[#This Row],[Structure Line]],(FIND(" ",TableOUSPRESCH[[#This Row],[Structure Line]],1)-1)))</f>
        <v>PRM550</v>
      </c>
      <c r="D48" t="str">
        <f>IF((OR(TableOUSPRESCH[[#This Row],[Credit Points]]&gt;50,ISBLANK(TableOUSPRESCH[[#This Row],[Effective]]))),TableOUSPRESCH[[#This Row],[Structure Line]],MID(TableOUSPRESCH[[#This Row],[Structure Line]],FIND(" ",TableOUSPRESCH[[#This Row],[Structure Line]])+1,256))</f>
        <v>Project Risk Management</v>
      </c>
      <c r="E48" s="63">
        <f>TableOUSPRESCH[[#This Row],[Credit Points]]</f>
        <v>25</v>
      </c>
      <c r="F48">
        <v>6</v>
      </c>
      <c r="G48" t="s">
        <v>191</v>
      </c>
      <c r="H48">
        <v>1</v>
      </c>
      <c r="I48" s="233" t="s">
        <v>205</v>
      </c>
      <c r="J48" t="s">
        <v>116</v>
      </c>
      <c r="K48">
        <v>1</v>
      </c>
      <c r="L48" t="s">
        <v>200</v>
      </c>
      <c r="M48">
        <v>25</v>
      </c>
      <c r="N48" s="36">
        <v>42917</v>
      </c>
      <c r="O48" s="36"/>
      <c r="Q48" t="s">
        <v>116</v>
      </c>
      <c r="R48">
        <v>1</v>
      </c>
    </row>
    <row r="49" spans="1:18" x14ac:dyDescent="0.25">
      <c r="A49" t="str">
        <f>TableOUSPRESCH[[#This Row],[Study Package Code]]</f>
        <v>PRJM6014</v>
      </c>
      <c r="B49" s="4">
        <f>TableOUSPRESCH[[#This Row],[Ver]]</f>
        <v>1</v>
      </c>
      <c r="C49" t="str">
        <f>IF(OR(TableOUSPRESCH[[#This Row],[Credit Points]]&gt;50,ISBLANK(TableOUSPRESCH[[#This Row],[Effective]])),"",LEFT(TableOUSPRESCH[[#This Row],[Structure Line]],(FIND(" ",TableOUSPRESCH[[#This Row],[Structure Line]],1)-1)))</f>
        <v>PRM560</v>
      </c>
      <c r="D49" t="str">
        <f>IF((OR(TableOUSPRESCH[[#This Row],[Credit Points]]&gt;50,ISBLANK(TableOUSPRESCH[[#This Row],[Effective]]))),TableOUSPRESCH[[#This Row],[Structure Line]],MID(TableOUSPRESCH[[#This Row],[Structure Line]],FIND(" ",TableOUSPRESCH[[#This Row],[Structure Line]])+1,256))</f>
        <v>Program and Portfolio Management</v>
      </c>
      <c r="E49" s="63">
        <f>TableOUSPRESCH[[#This Row],[Credit Points]]</f>
        <v>25</v>
      </c>
      <c r="F49">
        <v>7</v>
      </c>
      <c r="G49" t="s">
        <v>191</v>
      </c>
      <c r="H49">
        <v>1</v>
      </c>
      <c r="I49" s="233" t="s">
        <v>205</v>
      </c>
      <c r="J49" t="s">
        <v>115</v>
      </c>
      <c r="K49">
        <v>1</v>
      </c>
      <c r="L49" t="s">
        <v>201</v>
      </c>
      <c r="M49">
        <v>25</v>
      </c>
      <c r="N49" s="36">
        <v>42917</v>
      </c>
      <c r="O49" s="36"/>
      <c r="Q49" t="s">
        <v>115</v>
      </c>
      <c r="R49">
        <v>1</v>
      </c>
    </row>
    <row r="50" spans="1:18" x14ac:dyDescent="0.25">
      <c r="A50" t="str">
        <f>TableOUSPRESCH[[#This Row],[Study Package Code]]</f>
        <v>PRJM6026</v>
      </c>
      <c r="B50" s="4">
        <f>TableOUSPRESCH[[#This Row],[Ver]]</f>
        <v>1</v>
      </c>
      <c r="C50" t="str">
        <f>IF(OR(TableOUSPRESCH[[#This Row],[Credit Points]]&gt;50,ISBLANK(TableOUSPRESCH[[#This Row],[Effective]])),"",LEFT(TableOUSPRESCH[[#This Row],[Structure Line]],(FIND(" ",TableOUSPRESCH[[#This Row],[Structure Line]],1)-1)))</f>
        <v>PRM630</v>
      </c>
      <c r="D50" t="str">
        <f>IF((OR(TableOUSPRESCH[[#This Row],[Credit Points]]&gt;50,ISBLANK(TableOUSPRESCH[[#This Row],[Effective]]))),TableOUSPRESCH[[#This Row],[Structure Line]],MID(TableOUSPRESCH[[#This Row],[Structure Line]],FIND(" ",TableOUSPRESCH[[#This Row],[Structure Line]])+1,256))</f>
        <v>Agile Management</v>
      </c>
      <c r="E50" s="63">
        <f>TableOUSPRESCH[[#This Row],[Credit Points]]</f>
        <v>25</v>
      </c>
      <c r="F50">
        <v>8</v>
      </c>
      <c r="G50" t="s">
        <v>191</v>
      </c>
      <c r="H50">
        <v>1</v>
      </c>
      <c r="I50" s="233" t="s">
        <v>205</v>
      </c>
      <c r="J50" t="s">
        <v>119</v>
      </c>
      <c r="K50">
        <v>1</v>
      </c>
      <c r="L50" t="s">
        <v>202</v>
      </c>
      <c r="M50">
        <v>25</v>
      </c>
      <c r="N50" s="36">
        <v>44562</v>
      </c>
      <c r="O50" s="36"/>
      <c r="Q50" t="s">
        <v>119</v>
      </c>
      <c r="R50">
        <v>1</v>
      </c>
    </row>
    <row r="51" spans="1:18" x14ac:dyDescent="0.25">
      <c r="A51" t="str">
        <f>TableOUSPRESCH[[#This Row],[Study Package Code]]</f>
        <v>URDE6007</v>
      </c>
      <c r="B51" s="4">
        <f>TableOUSPRESCH[[#This Row],[Ver]]</f>
        <v>1</v>
      </c>
      <c r="C51" t="str">
        <f>IF(OR(TableOUSPRESCH[[#This Row],[Credit Points]]&gt;50,ISBLANK(TableOUSPRESCH[[#This Row],[Effective]])),"",LEFT(TableOUSPRESCH[[#This Row],[Structure Line]],(FIND(" ",TableOUSPRESCH[[#This Row],[Structure Line]],1)-1)))</f>
        <v>DBE600</v>
      </c>
      <c r="D51" t="str">
        <f>IF((OR(TableOUSPRESCH[[#This Row],[Credit Points]]&gt;50,ISBLANK(TableOUSPRESCH[[#This Row],[Effective]]))),TableOUSPRESCH[[#This Row],[Structure Line]],MID(TableOUSPRESCH[[#This Row],[Structure Line]],FIND(" ",TableOUSPRESCH[[#This Row],[Structure Line]])+1,256))</f>
        <v>Design and Built Environment Research Methods</v>
      </c>
      <c r="E51" s="63">
        <f>TableOUSPRESCH[[#This Row],[Credit Points]]</f>
        <v>25</v>
      </c>
      <c r="F51">
        <v>9</v>
      </c>
      <c r="G51" t="s">
        <v>191</v>
      </c>
      <c r="H51">
        <v>2</v>
      </c>
      <c r="I51" s="233" t="s">
        <v>205</v>
      </c>
      <c r="J51" t="s">
        <v>81</v>
      </c>
      <c r="K51">
        <v>1</v>
      </c>
      <c r="L51" t="s">
        <v>203</v>
      </c>
      <c r="M51">
        <v>25</v>
      </c>
      <c r="N51" s="36">
        <v>44562</v>
      </c>
      <c r="O51" s="36"/>
      <c r="Q51" t="s">
        <v>81</v>
      </c>
      <c r="R51">
        <v>1</v>
      </c>
    </row>
    <row r="52" spans="1:18" x14ac:dyDescent="0.25">
      <c r="A52" t="str">
        <f>TableOUSPRESCH[[#This Row],[Study Package Code]]</f>
        <v>PRJM6017</v>
      </c>
      <c r="B52" s="4">
        <f>TableOUSPRESCH[[#This Row],[Ver]]</f>
        <v>1</v>
      </c>
      <c r="C52" t="str">
        <f>IF(OR(TableOUSPRESCH[[#This Row],[Credit Points]]&gt;50,ISBLANK(TableOUSPRESCH[[#This Row],[Effective]])),"",LEFT(TableOUSPRESCH[[#This Row],[Structure Line]],(FIND(" ",TableOUSPRESCH[[#This Row],[Structure Line]],1)-1)))</f>
        <v>PRM600</v>
      </c>
      <c r="D52" t="str">
        <f>IF((OR(TableOUSPRESCH[[#This Row],[Credit Points]]&gt;50,ISBLANK(TableOUSPRESCH[[#This Row],[Effective]]))),TableOUSPRESCH[[#This Row],[Structure Line]],MID(TableOUSPRESCH[[#This Row],[Structure Line]],FIND(" ",TableOUSPRESCH[[#This Row],[Structure Line]])+1,256))</f>
        <v>Project Management Integrated Project</v>
      </c>
      <c r="E52" s="63">
        <f>TableOUSPRESCH[[#This Row],[Credit Points]]</f>
        <v>50</v>
      </c>
      <c r="F52">
        <v>10</v>
      </c>
      <c r="G52" t="s">
        <v>191</v>
      </c>
      <c r="H52">
        <v>2</v>
      </c>
      <c r="I52" s="233" t="s">
        <v>205</v>
      </c>
      <c r="J52" t="s">
        <v>117</v>
      </c>
      <c r="K52">
        <v>1</v>
      </c>
      <c r="L52" t="s">
        <v>209</v>
      </c>
      <c r="M52">
        <v>50</v>
      </c>
      <c r="N52" s="36">
        <v>42917</v>
      </c>
      <c r="O52" s="36"/>
      <c r="Q52" t="s">
        <v>117</v>
      </c>
      <c r="R52">
        <v>1</v>
      </c>
    </row>
    <row r="53" spans="1:18" x14ac:dyDescent="0.25">
      <c r="A53" t="str">
        <f>TableOUSPRESCH[[#This Row],[Study Package Code]]</f>
        <v>PRJM6023</v>
      </c>
      <c r="B53" s="4">
        <f>TableOUSPRESCH[[#This Row],[Ver]]</f>
        <v>2</v>
      </c>
      <c r="C53" t="str">
        <f>IF(OR(TableOUSPRESCH[[#This Row],[Credit Points]]&gt;50,ISBLANK(TableOUSPRESCH[[#This Row],[Effective]])),"",LEFT(TableOUSPRESCH[[#This Row],[Structure Line]],(FIND(" ",TableOUSPRESCH[[#This Row],[Structure Line]],1)-1)))</f>
        <v>PRM620</v>
      </c>
      <c r="D53" t="str">
        <f>IF((OR(TableOUSPRESCH[[#This Row],[Credit Points]]&gt;50,ISBLANK(TableOUSPRESCH[[#This Row],[Effective]]))),TableOUSPRESCH[[#This Row],[Structure Line]],MID(TableOUSPRESCH[[#This Row],[Structure Line]],FIND(" ",TableOUSPRESCH[[#This Row],[Structure Line]])+1,256))</f>
        <v>Project Management Dissertation</v>
      </c>
      <c r="E53" s="63">
        <f>TableOUSPRESCH[[#This Row],[Credit Points]]</f>
        <v>25</v>
      </c>
      <c r="F53">
        <v>11</v>
      </c>
      <c r="G53" t="s">
        <v>191</v>
      </c>
      <c r="H53">
        <v>2</v>
      </c>
      <c r="I53" s="233" t="s">
        <v>205</v>
      </c>
      <c r="J53" t="s">
        <v>124</v>
      </c>
      <c r="K53">
        <v>2</v>
      </c>
      <c r="L53" t="s">
        <v>210</v>
      </c>
      <c r="M53">
        <v>25</v>
      </c>
      <c r="N53" s="36">
        <v>44562</v>
      </c>
      <c r="O53" s="36"/>
      <c r="Q53" t="s">
        <v>124</v>
      </c>
      <c r="R53">
        <v>2</v>
      </c>
    </row>
  </sheetData>
  <conditionalFormatting sqref="J3:J6">
    <cfRule type="duplicateValues" dxfId="15" priority="25"/>
  </conditionalFormatting>
  <conditionalFormatting sqref="J11:J20">
    <cfRule type="duplicateValues" dxfId="14" priority="10"/>
  </conditionalFormatting>
  <conditionalFormatting sqref="J25:J27">
    <cfRule type="duplicateValues" dxfId="13" priority="7"/>
  </conditionalFormatting>
  <conditionalFormatting sqref="J30:J40">
    <cfRule type="duplicateValues" dxfId="12" priority="4"/>
  </conditionalFormatting>
  <conditionalFormatting sqref="J43:J53">
    <cfRule type="duplicateValues" dxfId="11" priority="1"/>
  </conditionalFormatting>
  <conditionalFormatting sqref="N3:N6">
    <cfRule type="cellIs" dxfId="10" priority="30" operator="greaterThan">
      <formula>$P$1</formula>
    </cfRule>
  </conditionalFormatting>
  <conditionalFormatting sqref="N11:N20">
    <cfRule type="cellIs" dxfId="9" priority="11" operator="greaterThan">
      <formula>$P$1</formula>
    </cfRule>
  </conditionalFormatting>
  <conditionalFormatting sqref="N25:N27">
    <cfRule type="cellIs" dxfId="8" priority="8" operator="greaterThan">
      <formula>$P$1</formula>
    </cfRule>
  </conditionalFormatting>
  <conditionalFormatting sqref="N30:N40">
    <cfRule type="cellIs" dxfId="7" priority="5" operator="greaterThan">
      <formula>$P$1</formula>
    </cfRule>
  </conditionalFormatting>
  <conditionalFormatting sqref="N43:N53">
    <cfRule type="cellIs" dxfId="6" priority="2" operator="greaterThan">
      <formula>$P$1</formula>
    </cfRule>
  </conditionalFormatting>
  <conditionalFormatting sqref="O3:O6">
    <cfRule type="notContainsBlanks" dxfId="5" priority="41">
      <formula>LEN(TRIM(O3))&gt;0</formula>
    </cfRule>
  </conditionalFormatting>
  <conditionalFormatting sqref="O11:O20">
    <cfRule type="notContainsBlanks" dxfId="4" priority="12">
      <formula>LEN(TRIM(O11))&gt;0</formula>
    </cfRule>
  </conditionalFormatting>
  <conditionalFormatting sqref="O25:O27">
    <cfRule type="notContainsBlanks" dxfId="3" priority="9">
      <formula>LEN(TRIM(O25))&gt;0</formula>
    </cfRule>
  </conditionalFormatting>
  <conditionalFormatting sqref="O30:O40">
    <cfRule type="notContainsBlanks" dxfId="2" priority="6">
      <formula>LEN(TRIM(O30))&gt;0</formula>
    </cfRule>
  </conditionalFormatting>
  <conditionalFormatting sqref="O43:O53">
    <cfRule type="notContainsBlanks" dxfId="1" priority="3">
      <formula>LEN(TRIM(O43))&gt;0</formula>
    </cfRule>
  </conditionalFormatting>
  <conditionalFormatting sqref="Q2:R53">
    <cfRule type="expression" dxfId="0" priority="36">
      <formula>Q2&lt;&gt;J2</formula>
    </cfRule>
  </conditionalFormatting>
  <pageMargins left="0.7" right="0.7" top="0.75" bottom="0.75" header="0.3" footer="0.3"/>
  <pageSetup paperSize="9" orientation="portrait" r:id="rId1"/>
  <tableParts count="10">
    <tablePart r:id="rId2"/>
    <tablePart r:id="rId3"/>
    <tablePart r:id="rId4"/>
    <tablePart r:id="rId5"/>
    <tablePart r:id="rId6"/>
    <tablePart r:id="rId7"/>
    <tablePart r:id="rId8"/>
    <tablePart r:id="rId9"/>
    <tablePart r:id="rId10"/>
    <tablePart r:id="rId1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4"/>
  <sheetViews>
    <sheetView workbookViewId="0">
      <selection activeCell="L9" sqref="L9"/>
    </sheetView>
  </sheetViews>
  <sheetFormatPr defaultRowHeight="15.75" x14ac:dyDescent="0.25"/>
  <cols>
    <col min="1" max="1" width="12.375" bestFit="1" customWidth="1"/>
    <col min="2" max="5" width="5.375" bestFit="1" customWidth="1"/>
    <col min="6" max="6" width="11.5" bestFit="1" customWidth="1"/>
    <col min="7" max="7" width="10.375" bestFit="1" customWidth="1"/>
    <col min="8" max="8" width="9.5" bestFit="1" customWidth="1"/>
    <col min="9" max="12" width="1.875" bestFit="1" customWidth="1"/>
  </cols>
  <sheetData>
    <row r="1" spans="1:12" x14ac:dyDescent="0.25">
      <c r="F1" s="166" t="s">
        <v>180</v>
      </c>
      <c r="G1" s="167">
        <v>45636</v>
      </c>
    </row>
    <row r="3" spans="1:12" ht="76.5" x14ac:dyDescent="0.25">
      <c r="A3" t="s">
        <v>211</v>
      </c>
      <c r="B3" s="175" t="s">
        <v>212</v>
      </c>
      <c r="C3" s="175" t="s">
        <v>213</v>
      </c>
      <c r="D3" s="175" t="s">
        <v>214</v>
      </c>
      <c r="E3" s="175" t="s">
        <v>215</v>
      </c>
    </row>
    <row r="4" spans="1:12" x14ac:dyDescent="0.25">
      <c r="A4" t="s">
        <v>67</v>
      </c>
      <c r="B4" s="4">
        <v>1</v>
      </c>
      <c r="C4" s="4"/>
      <c r="D4" s="4">
        <v>1</v>
      </c>
      <c r="E4" s="4"/>
      <c r="H4" t="s">
        <v>67</v>
      </c>
      <c r="I4">
        <v>1</v>
      </c>
      <c r="K4">
        <v>1</v>
      </c>
    </row>
    <row r="5" spans="1:12" x14ac:dyDescent="0.25">
      <c r="A5" t="s">
        <v>115</v>
      </c>
      <c r="B5" s="4"/>
      <c r="C5" s="4">
        <v>1</v>
      </c>
      <c r="D5" s="4"/>
      <c r="E5" s="4">
        <v>1</v>
      </c>
      <c r="H5" t="s">
        <v>115</v>
      </c>
      <c r="J5">
        <v>1</v>
      </c>
      <c r="L5">
        <v>1</v>
      </c>
    </row>
    <row r="6" spans="1:12" x14ac:dyDescent="0.25">
      <c r="A6" t="s">
        <v>53</v>
      </c>
      <c r="B6" s="4"/>
      <c r="C6" s="4">
        <v>1</v>
      </c>
      <c r="D6" s="4"/>
      <c r="E6" s="4">
        <v>1</v>
      </c>
      <c r="H6" t="s">
        <v>53</v>
      </c>
      <c r="J6">
        <v>1</v>
      </c>
      <c r="L6">
        <v>1</v>
      </c>
    </row>
    <row r="7" spans="1:12" x14ac:dyDescent="0.25">
      <c r="A7" t="s">
        <v>70</v>
      </c>
      <c r="B7" s="4">
        <v>1</v>
      </c>
      <c r="C7" s="4"/>
      <c r="D7" s="4">
        <v>1</v>
      </c>
      <c r="E7" s="4"/>
      <c r="H7" t="s">
        <v>70</v>
      </c>
      <c r="I7">
        <v>1</v>
      </c>
      <c r="K7">
        <v>1</v>
      </c>
    </row>
    <row r="8" spans="1:12" x14ac:dyDescent="0.25">
      <c r="A8" t="s">
        <v>117</v>
      </c>
      <c r="B8" s="4">
        <v>1</v>
      </c>
      <c r="C8" s="4">
        <v>1</v>
      </c>
      <c r="D8" s="4">
        <v>1</v>
      </c>
      <c r="E8" s="4"/>
      <c r="H8" t="s">
        <v>117</v>
      </c>
      <c r="I8">
        <v>1</v>
      </c>
      <c r="J8">
        <v>1</v>
      </c>
      <c r="K8">
        <v>1</v>
      </c>
    </row>
    <row r="9" spans="1:12" x14ac:dyDescent="0.25">
      <c r="A9" t="s">
        <v>114</v>
      </c>
      <c r="B9" s="4">
        <v>1</v>
      </c>
      <c r="C9" s="4"/>
      <c r="D9" s="4">
        <v>1</v>
      </c>
      <c r="E9" s="4"/>
      <c r="H9" t="s">
        <v>114</v>
      </c>
      <c r="I9">
        <v>1</v>
      </c>
      <c r="K9">
        <v>1</v>
      </c>
    </row>
    <row r="10" spans="1:12" x14ac:dyDescent="0.25">
      <c r="A10" t="s">
        <v>116</v>
      </c>
      <c r="B10" s="4"/>
      <c r="C10" s="4">
        <v>1</v>
      </c>
      <c r="D10" s="4"/>
      <c r="E10" s="4">
        <v>1</v>
      </c>
      <c r="H10" t="s">
        <v>116</v>
      </c>
      <c r="J10">
        <v>1</v>
      </c>
      <c r="L10">
        <v>1</v>
      </c>
    </row>
    <row r="11" spans="1:12" x14ac:dyDescent="0.25">
      <c r="A11" t="s">
        <v>59</v>
      </c>
      <c r="B11" s="4"/>
      <c r="C11" s="4">
        <v>1</v>
      </c>
      <c r="D11" s="4"/>
      <c r="E11" s="4">
        <v>1</v>
      </c>
      <c r="H11" t="s">
        <v>59</v>
      </c>
      <c r="J11">
        <v>2</v>
      </c>
      <c r="L11">
        <v>2</v>
      </c>
    </row>
    <row r="12" spans="1:12" x14ac:dyDescent="0.25">
      <c r="A12" t="s">
        <v>124</v>
      </c>
      <c r="B12" s="4">
        <v>1</v>
      </c>
      <c r="C12" s="4">
        <v>1</v>
      </c>
      <c r="D12" s="4">
        <v>1</v>
      </c>
      <c r="E12" s="4"/>
      <c r="H12" t="s">
        <v>124</v>
      </c>
      <c r="I12">
        <v>1</v>
      </c>
      <c r="J12">
        <v>1</v>
      </c>
      <c r="K12">
        <v>1</v>
      </c>
    </row>
    <row r="13" spans="1:12" x14ac:dyDescent="0.25">
      <c r="A13" t="s">
        <v>119</v>
      </c>
      <c r="B13" s="4">
        <v>1</v>
      </c>
      <c r="C13" s="4"/>
      <c r="D13" s="4">
        <v>1</v>
      </c>
      <c r="E13" s="4"/>
      <c r="H13" t="s">
        <v>119</v>
      </c>
      <c r="I13">
        <v>1</v>
      </c>
      <c r="K13">
        <v>1</v>
      </c>
    </row>
    <row r="14" spans="1:12" x14ac:dyDescent="0.25">
      <c r="A14" t="s">
        <v>81</v>
      </c>
      <c r="B14" s="4">
        <v>1</v>
      </c>
      <c r="C14" s="4"/>
      <c r="D14" s="4">
        <v>1</v>
      </c>
      <c r="E14" s="4"/>
      <c r="H14" t="s">
        <v>81</v>
      </c>
      <c r="I14">
        <v>1</v>
      </c>
      <c r="K14">
        <v>1</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D5A8BA5900D0D41A965F85AF3329359" ma:contentTypeVersion="14" ma:contentTypeDescription="Create a new document." ma:contentTypeScope="" ma:versionID="e30fa786f2c3a37634f87eba21a7c718">
  <xsd:schema xmlns:xsd="http://www.w3.org/2001/XMLSchema" xmlns:xs="http://www.w3.org/2001/XMLSchema" xmlns:p="http://schemas.microsoft.com/office/2006/metadata/properties" xmlns:ns2="2380bd5d-8f09-40a9-a9cb-2482ec2cd2ca" xmlns:ns3="ba69df13-0c3c-4942-8695-6ca01564010c" targetNamespace="http://schemas.microsoft.com/office/2006/metadata/properties" ma:root="true" ma:fieldsID="0bf96c898f675749592802c4b477c09e" ns2:_="" ns3:_="">
    <xsd:import namespace="2380bd5d-8f09-40a9-a9cb-2482ec2cd2ca"/>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80bd5d-8f09-40a9-a9cb-2482ec2cd2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58b0421-3d9b-4d43-8840-b275eef407cc" ma:termSetId="09814cd3-568e-fe90-9814-8d621ff8fb84" ma:anchorId="fba54fb3-c3e1-fe81-a776-ca4b69148c4d" ma:open="true" ma:isKeyword="false">
      <xsd:complexType>
        <xsd:sequence>
          <xsd:element ref="pc:Terms" minOccurs="0" maxOccurs="1"/>
        </xsd:sequence>
      </xsd:complex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4f6a6e9f-0001-4698-9992-b49f02fb9f95}" ma:internalName="TaxCatchAll" ma:showField="CatchAllData" ma:web="ba69df13-0c3c-4942-8695-6ca0156401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380bd5d-8f09-40a9-a9cb-2482ec2cd2ca">
      <Terms xmlns="http://schemas.microsoft.com/office/infopath/2007/PartnerControls"/>
    </lcf76f155ced4ddcb4097134ff3c332f>
    <TaxCatchAll xmlns="ba69df13-0c3c-4942-8695-6ca01564010c" xsi:nil="true"/>
    <SharedWithUsers xmlns="ba69df13-0c3c-4942-8695-6ca01564010c">
      <UserInfo>
        <DisplayName>Brad Carey</DisplayName>
        <AccountId>155</AccountId>
        <AccountType/>
      </UserInfo>
      <UserInfo>
        <DisplayName>Humira Mirza</DisplayName>
        <AccountId>39</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4F1399-A104-4E5F-B24A-50246C0BB8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80bd5d-8f09-40a9-a9cb-2482ec2cd2ca"/>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2FBB4C-6ADF-4262-9F1C-6F0710538C55}">
  <ds:schemaRefs>
    <ds:schemaRef ds:uri="2380bd5d-8f09-40a9-a9cb-2482ec2cd2ca"/>
    <ds:schemaRef ds:uri="http://schemas.microsoft.com/office/infopath/2007/PartnerControls"/>
    <ds:schemaRef ds:uri="http://schemas.microsoft.com/office/2006/documentManagement/types"/>
    <ds:schemaRef ds:uri="http://purl.org/dc/terms/"/>
    <ds:schemaRef ds:uri="http://purl.org/dc/dcmitype/"/>
    <ds:schemaRef ds:uri="http://schemas.openxmlformats.org/package/2006/metadata/core-properties"/>
    <ds:schemaRef ds:uri="http://www.w3.org/XML/1998/namespace"/>
    <ds:schemaRef ds:uri="http://purl.org/dc/elements/1.1/"/>
    <ds:schemaRef ds:uri="http://schemas.microsoft.com/office/2006/metadata/properties"/>
    <ds:schemaRef ds:uri="ba69df13-0c3c-4942-8695-6ca01564010c"/>
  </ds:schemaRefs>
</ds:datastoreItem>
</file>

<file path=customXml/itemProps3.xml><?xml version="1.0" encoding="utf-8"?>
<ds:datastoreItem xmlns:ds="http://schemas.openxmlformats.org/officeDocument/2006/customXml" ds:itemID="{58D9622E-5CA2-422C-A7EF-5AF7D24ED3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GC Proj Man (OUA)</vt:lpstr>
      <vt:lpstr>GD Proj Man (OUA)</vt:lpstr>
      <vt:lpstr>MSc (Proj Man) (OUA)</vt:lpstr>
      <vt:lpstr>Unitsets</vt:lpstr>
      <vt:lpstr>Handbook</vt:lpstr>
      <vt:lpstr>Structures</vt:lpstr>
      <vt:lpstr>Availabilities</vt:lpstr>
      <vt:lpstr>'GC Proj Man (OUA)'!Print_Area</vt:lpstr>
      <vt:lpstr>'GD Proj Man (OUA)'!Print_Area</vt:lpstr>
      <vt:lpstr>'MSc (Proj Man) (OUA)'!Print_Area</vt:lpstr>
      <vt:lpstr>RangeAltCores</vt:lpstr>
      <vt:lpstr>RangeUnitsets</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2024-12-12T06:54:00Z</cp:lastPrinted>
  <dcterms:created xsi:type="dcterms:W3CDTF">2022-02-28T04:48:12Z</dcterms:created>
  <dcterms:modified xsi:type="dcterms:W3CDTF">2024-12-12T06:55:01Z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0x0101007D5A8BA5900D0D41A965F85AF3329359</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