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8DB5F762-E9F3-45B8-8742-2C1FF93155F4}" xr6:coauthVersionLast="47" xr6:coauthVersionMax="47" xr10:uidLastSave="{00000000-0000-0000-0000-000000000000}"/>
  <workbookProtection workbookAlgorithmName="SHA-512" workbookHashValue="qt7Yoj+ZqYumX+958f1vxCMsFvpkA8xYn+oxAd6qee1hvST3tQoQkEBCBJjloWv/3PbEyPNirDnC+1KjN6L8yg==" workbookSaltValue="dj14vBsuPRrO+DQbP3S82A==" workbookSpinCount="100000" lockStructure="1"/>
  <bookViews>
    <workbookView xWindow="-120" yWindow="-120" windowWidth="29040" windowHeight="17520" tabRatio="778" firstSheet="4" activeTab="4" xr2:uid="{00000000-000D-0000-FFFF-FFFF00000000}"/>
  </bookViews>
  <sheets>
    <sheet name="Planner OM-Teach (ECE)" sheetId="5" state="hidden" r:id="rId1"/>
    <sheet name="Planner OM-Teach (Prim)" sheetId="17" state="hidden" r:id="rId2"/>
    <sheet name="Planner OM-EDUC" sheetId="12" state="hidden" r:id="rId3"/>
    <sheet name="Planner OM-APLING" sheetId="13" state="hidden" r:id="rId4"/>
    <sheet name="Planner GradCertTESOL" sheetId="14" r:id="rId5"/>
    <sheet name="Planner OC-EDUC" sheetId="23" state="hidden" r:id="rId6"/>
    <sheet name="Planner OC-EDHE" sheetId="18" state="hidden" r:id="rId7"/>
    <sheet name="Unitsets" sheetId="2" state="hidden" r:id="rId8"/>
    <sheet name="Planner OM-Teach (Sec)" sheetId="10" state="hidden" r:id="rId9"/>
    <sheet name="Planner OG-EDUC (Prim)" sheetId="15" state="hidden" r:id="rId10"/>
    <sheet name="Planner OG-EDUC (Prim Accel)" sheetId="19" state="hidden" r:id="rId11"/>
    <sheet name="Planner OG-EDUC (Sec)" sheetId="16" state="hidden" r:id="rId12"/>
    <sheet name="Planner OG-EDUC (Sec Accel)" sheetId="20" state="hidden" r:id="rId13"/>
    <sheet name="Unitsets Secondary &amp; GD" sheetId="11" state="hidden" r:id="rId14"/>
    <sheet name="Handbook" sheetId="3" state="hidden" r:id="rId15"/>
    <sheet name="Structures" sheetId="8" state="hidden" r:id="rId16"/>
    <sheet name="Availabilities" sheetId="9" state="hidden" r:id="rId17"/>
  </sheets>
  <definedNames>
    <definedName name="_xlnm._FilterDatabase" localSheetId="14" hidden="1">Handbook!#REF!</definedName>
    <definedName name="FTAArts">'Unitsets Secondary &amp; GD'!$E$12:$E$18</definedName>
    <definedName name="FTAEnglish">'Unitsets Secondary &amp; GD'!$E$19:$E$25</definedName>
    <definedName name="FTAHASS">'Unitsets Secondary &amp; GD'!$E$33:$E$39</definedName>
    <definedName name="FTAHPE">'Unitsets Secondary &amp; GD'!$E$26:$E$32</definedName>
    <definedName name="FTAMaths">'Unitsets Secondary &amp; GD'!$E$40:$E$46</definedName>
    <definedName name="FTAScience">'Unitsets Secondary &amp; GD'!$E$47:$E$53</definedName>
    <definedName name="_xlnm.Print_Area" localSheetId="4">'Planner GradCertTESOL'!$A$3:$L$23</definedName>
    <definedName name="_xlnm.Print_Area" localSheetId="6">'Planner OC-EDHE'!$A$3:$L$17</definedName>
    <definedName name="_xlnm.Print_Area" localSheetId="5">'Planner OC-EDUC'!$A$3:$L$37</definedName>
    <definedName name="_xlnm.Print_Area" localSheetId="10">'Planner OG-EDUC (Prim Accel)'!$A$3:$L$23</definedName>
    <definedName name="_xlnm.Print_Area" localSheetId="9">'Planner OG-EDUC (Prim)'!$A$3:$L$24</definedName>
    <definedName name="_xlnm.Print_Area" localSheetId="12">'Planner OG-EDUC (Sec Accel)'!$A$3:$L$30</definedName>
    <definedName name="_xlnm.Print_Area" localSheetId="11">'Planner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(Prim)'!$A$3:$L$36</definedName>
    <definedName name="_xlnm.Print_Area" localSheetId="8">'Planner OM-Teach (Sec)'!$A$1:$L$48</definedName>
    <definedName name="RangeTeachingAreas">'Unitsets Secondary &amp; GD'!$I$22:$P$28</definedName>
    <definedName name="RangeUnitsetsECEPR">Unitsets!$L$4:$AA$22</definedName>
    <definedName name="RangeUnitsetsOCEDHE">Unitsets!$L$59:$S$63</definedName>
    <definedName name="RangeUnitsetsOCEDUC">Unitsets!$L$66:$S$85</definedName>
    <definedName name="RangeUnitsetsOGEDUC">'Unitsets Secondary &amp; GD'!$I$31:$X$39</definedName>
    <definedName name="RangeUnitsetsOGEDUCAcc">'Unitsets Secondary &amp; GD'!$I$42:$X$50</definedName>
    <definedName name="RangeUnitsetsOMEDUC">Unitsets!$L$25:$AQ$42</definedName>
    <definedName name="RangeUnitsetsSec">'Unitsets Secondary &amp; GD'!$I$3:$P$19</definedName>
    <definedName name="RangeUnitsetsTESOL">Unitsets!$L$45:$AA$56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3" l="1"/>
  <c r="K16" i="23"/>
  <c r="J16" i="23"/>
  <c r="I16" i="23"/>
  <c r="H16" i="23"/>
  <c r="H15" i="23"/>
  <c r="G6" i="23"/>
  <c r="L5" i="23"/>
  <c r="A26" i="23" s="1"/>
  <c r="G5" i="23"/>
  <c r="A30" i="23" l="1"/>
  <c r="A13" i="23"/>
  <c r="A25" i="23"/>
  <c r="C25" i="23" s="1"/>
  <c r="A18" i="23"/>
  <c r="B18" i="23" s="1"/>
  <c r="A29" i="23"/>
  <c r="A9" i="23"/>
  <c r="A21" i="23"/>
  <c r="D21" i="23" s="1"/>
  <c r="A32" i="23"/>
  <c r="D32" i="23" s="1"/>
  <c r="A10" i="23"/>
  <c r="A22" i="23"/>
  <c r="A33" i="23"/>
  <c r="K33" i="23" s="1"/>
  <c r="A19" i="23"/>
  <c r="A20" i="23"/>
  <c r="G20" i="23" s="1"/>
  <c r="A31" i="23"/>
  <c r="G31" i="23" s="1"/>
  <c r="A12" i="23"/>
  <c r="A23" i="23"/>
  <c r="I23" i="23" s="1"/>
  <c r="A24" i="23"/>
  <c r="D24" i="23" s="1"/>
  <c r="A27" i="23"/>
  <c r="G27" i="23" s="1"/>
  <c r="A17" i="23"/>
  <c r="A28" i="23"/>
  <c r="D28" i="23" s="1"/>
  <c r="F26" i="23"/>
  <c r="B26" i="23"/>
  <c r="C26" i="23"/>
  <c r="D26" i="23"/>
  <c r="G26" i="23"/>
  <c r="G85" i="3"/>
  <c r="H85" i="3"/>
  <c r="I85" i="3"/>
  <c r="J85" i="3"/>
  <c r="B25" i="23" l="1"/>
  <c r="G25" i="23"/>
  <c r="G18" i="23"/>
  <c r="H33" i="23"/>
  <c r="F33" i="23"/>
  <c r="D25" i="23"/>
  <c r="D33" i="23"/>
  <c r="C33" i="23"/>
  <c r="D22" i="23"/>
  <c r="B33" i="23"/>
  <c r="F25" i="23"/>
  <c r="J33" i="23"/>
  <c r="I33" i="23"/>
  <c r="G33" i="23"/>
  <c r="F22" i="23"/>
  <c r="C20" i="23"/>
  <c r="B22" i="23"/>
  <c r="C22" i="23"/>
  <c r="G22" i="23"/>
  <c r="K27" i="23"/>
  <c r="F27" i="23"/>
  <c r="B27" i="23"/>
  <c r="B30" i="23"/>
  <c r="I27" i="23"/>
  <c r="J27" i="23"/>
  <c r="D31" i="23"/>
  <c r="B31" i="23"/>
  <c r="C31" i="23"/>
  <c r="I32" i="23"/>
  <c r="C30" i="23"/>
  <c r="D30" i="23"/>
  <c r="F24" i="23"/>
  <c r="C24" i="23"/>
  <c r="C18" i="23"/>
  <c r="G30" i="23"/>
  <c r="F30" i="23"/>
  <c r="F18" i="23"/>
  <c r="B21" i="23"/>
  <c r="D18" i="23"/>
  <c r="F31" i="23"/>
  <c r="B24" i="23"/>
  <c r="G21" i="23"/>
  <c r="F21" i="23"/>
  <c r="G24" i="23"/>
  <c r="H32" i="23"/>
  <c r="F32" i="23"/>
  <c r="K32" i="23"/>
  <c r="C21" i="23"/>
  <c r="K23" i="23"/>
  <c r="J23" i="23"/>
  <c r="D23" i="23"/>
  <c r="B23" i="23"/>
  <c r="H27" i="23"/>
  <c r="C27" i="23"/>
  <c r="G32" i="23"/>
  <c r="D27" i="23"/>
  <c r="G29" i="23"/>
  <c r="B20" i="23"/>
  <c r="C28" i="23"/>
  <c r="D29" i="23"/>
  <c r="F28" i="23"/>
  <c r="G23" i="23"/>
  <c r="B32" i="23"/>
  <c r="C29" i="23"/>
  <c r="D20" i="23"/>
  <c r="J32" i="23"/>
  <c r="D19" i="23"/>
  <c r="C19" i="23"/>
  <c r="G28" i="23"/>
  <c r="B19" i="23"/>
  <c r="F23" i="23"/>
  <c r="C32" i="23"/>
  <c r="F29" i="23"/>
  <c r="H23" i="23"/>
  <c r="B29" i="23"/>
  <c r="G19" i="23"/>
  <c r="F20" i="23"/>
  <c r="C23" i="23"/>
  <c r="B28" i="23"/>
  <c r="F19" i="23"/>
  <c r="B12" i="23"/>
  <c r="G12" i="23"/>
  <c r="F12" i="23"/>
  <c r="E12" i="23"/>
  <c r="E13" i="23" s="1"/>
  <c r="C12" i="23"/>
  <c r="D12" i="23"/>
  <c r="G17" i="23"/>
  <c r="F17" i="23"/>
  <c r="D17" i="23"/>
  <c r="C17" i="23"/>
  <c r="B17" i="23"/>
  <c r="G9" i="23"/>
  <c r="F9" i="23"/>
  <c r="E9" i="23"/>
  <c r="E10" i="23" s="1"/>
  <c r="D9" i="23"/>
  <c r="C9" i="23"/>
  <c r="B9" i="23"/>
  <c r="D10" i="23"/>
  <c r="C10" i="23"/>
  <c r="B10" i="23"/>
  <c r="F10" i="23"/>
  <c r="G10" i="23"/>
  <c r="G13" i="23"/>
  <c r="F13" i="23"/>
  <c r="D13" i="23"/>
  <c r="C13" i="23"/>
  <c r="B13" i="23"/>
  <c r="L23" i="20"/>
  <c r="K23" i="20"/>
  <c r="J23" i="20"/>
  <c r="I23" i="20"/>
  <c r="H23" i="20"/>
  <c r="H22" i="20"/>
  <c r="L24" i="16"/>
  <c r="K24" i="16"/>
  <c r="J24" i="16"/>
  <c r="I24" i="16"/>
  <c r="H24" i="16"/>
  <c r="H23" i="16"/>
  <c r="H36" i="10"/>
  <c r="L37" i="10"/>
  <c r="K37" i="10"/>
  <c r="J37" i="10"/>
  <c r="I37" i="10"/>
  <c r="H37" i="10"/>
  <c r="L23" i="10"/>
  <c r="K23" i="10"/>
  <c r="J23" i="10"/>
  <c r="I23" i="10"/>
  <c r="H23" i="10"/>
  <c r="L16" i="14"/>
  <c r="K16" i="14"/>
  <c r="J16" i="14"/>
  <c r="I16" i="14"/>
  <c r="H16" i="14"/>
  <c r="H15" i="14"/>
  <c r="L23" i="12"/>
  <c r="K23" i="12"/>
  <c r="J23" i="12"/>
  <c r="I23" i="12"/>
  <c r="H23" i="12"/>
  <c r="H22" i="12"/>
  <c r="L21" i="17"/>
  <c r="K21" i="17"/>
  <c r="J21" i="17"/>
  <c r="I21" i="17"/>
  <c r="H21" i="17"/>
  <c r="G8" i="20"/>
  <c r="G8" i="16"/>
  <c r="G7" i="19"/>
  <c r="G7" i="15"/>
  <c r="G9" i="10"/>
  <c r="G6" i="18"/>
  <c r="G6" i="14"/>
  <c r="G6" i="13"/>
  <c r="G7" i="12"/>
  <c r="G7" i="17"/>
  <c r="G7" i="5"/>
  <c r="AC1" i="3"/>
  <c r="AB1" i="3"/>
  <c r="AA1" i="3"/>
  <c r="Z1" i="3"/>
  <c r="Y1" i="3"/>
  <c r="X1" i="3"/>
  <c r="W1" i="3"/>
  <c r="V1" i="3"/>
  <c r="U1" i="3"/>
  <c r="T1" i="3"/>
  <c r="S1" i="3"/>
  <c r="R1" i="3"/>
  <c r="Q1" i="3"/>
  <c r="P1" i="3"/>
  <c r="O1" i="3"/>
  <c r="N1" i="3"/>
  <c r="M1" i="3"/>
  <c r="L1" i="3"/>
  <c r="K1" i="3"/>
  <c r="J1" i="3"/>
  <c r="I1" i="3"/>
  <c r="H1" i="3"/>
  <c r="G1" i="3"/>
  <c r="F1" i="3"/>
  <c r="E1" i="3"/>
  <c r="D1" i="3"/>
  <c r="C1" i="3"/>
  <c r="B1" i="3"/>
  <c r="A1" i="3"/>
  <c r="D228" i="8"/>
  <c r="D229" i="8"/>
  <c r="D230" i="8"/>
  <c r="D231" i="8"/>
  <c r="D222" i="8"/>
  <c r="D223" i="8"/>
  <c r="D224" i="8"/>
  <c r="D225" i="8"/>
  <c r="D205" i="8"/>
  <c r="D206" i="8"/>
  <c r="D207" i="8"/>
  <c r="D208" i="8"/>
  <c r="D209" i="8"/>
  <c r="D210" i="8"/>
  <c r="D211" i="8"/>
  <c r="D212" i="8"/>
  <c r="D213" i="8"/>
  <c r="D214" i="8"/>
  <c r="D215" i="8"/>
  <c r="D216" i="8"/>
  <c r="D217" i="8"/>
  <c r="D218" i="8"/>
  <c r="D189" i="8"/>
  <c r="D190" i="8"/>
  <c r="D191" i="8"/>
  <c r="D192" i="8"/>
  <c r="D193" i="8"/>
  <c r="D194" i="8"/>
  <c r="D195" i="8"/>
  <c r="D196" i="8"/>
  <c r="D197" i="8"/>
  <c r="D198" i="8"/>
  <c r="D199" i="8"/>
  <c r="D200" i="8"/>
  <c r="D201" i="8"/>
  <c r="D202" i="8"/>
  <c r="D167" i="8"/>
  <c r="D168" i="8"/>
  <c r="D169" i="8"/>
  <c r="D170" i="8"/>
  <c r="D171" i="8"/>
  <c r="D172" i="8"/>
  <c r="D173" i="8"/>
  <c r="D174" i="8"/>
  <c r="D175" i="8"/>
  <c r="D176" i="8"/>
  <c r="D177" i="8"/>
  <c r="D178" i="8"/>
  <c r="D179" i="8"/>
  <c r="D180" i="8"/>
  <c r="D181" i="8"/>
  <c r="D182" i="8"/>
  <c r="D183" i="8"/>
  <c r="D184" i="8"/>
  <c r="D185" i="8"/>
  <c r="D158" i="8"/>
  <c r="D159" i="8"/>
  <c r="D160" i="8"/>
  <c r="D161" i="8"/>
  <c r="D162" i="8"/>
  <c r="D163" i="8"/>
  <c r="D164" i="8"/>
  <c r="D157" i="8"/>
  <c r="D152" i="8"/>
  <c r="D153" i="8"/>
  <c r="D154" i="8"/>
  <c r="D145" i="8"/>
  <c r="D146" i="8"/>
  <c r="D147" i="8"/>
  <c r="D148" i="8"/>
  <c r="D139" i="8"/>
  <c r="D140" i="8"/>
  <c r="D141" i="8"/>
  <c r="D142" i="8"/>
  <c r="D133" i="8"/>
  <c r="D134" i="8"/>
  <c r="D135" i="8"/>
  <c r="D136" i="8"/>
  <c r="D130" i="8"/>
  <c r="D129" i="8"/>
  <c r="D128" i="8"/>
  <c r="D115" i="8"/>
  <c r="D116" i="8"/>
  <c r="D117" i="8"/>
  <c r="D118" i="8"/>
  <c r="D119" i="8"/>
  <c r="D120" i="8"/>
  <c r="D121" i="8"/>
  <c r="D122" i="8"/>
  <c r="D123" i="8"/>
  <c r="D124" i="8"/>
  <c r="D125" i="8"/>
  <c r="D126" i="8"/>
  <c r="D127" i="8"/>
  <c r="D106" i="8"/>
  <c r="D107" i="8"/>
  <c r="D108" i="8"/>
  <c r="D109" i="8"/>
  <c r="D110" i="8"/>
  <c r="D111" i="8"/>
  <c r="D98" i="8"/>
  <c r="D99" i="8"/>
  <c r="D100" i="8"/>
  <c r="D101" i="8"/>
  <c r="D102" i="8"/>
  <c r="D103" i="8"/>
  <c r="D89" i="8"/>
  <c r="D90" i="8"/>
  <c r="D91" i="8"/>
  <c r="D92" i="8"/>
  <c r="D93" i="8"/>
  <c r="D94" i="8"/>
  <c r="D95" i="8"/>
  <c r="D29" i="8"/>
  <c r="D30" i="8"/>
  <c r="D31" i="8"/>
  <c r="D32" i="8"/>
  <c r="D33" i="8"/>
  <c r="D34" i="8"/>
  <c r="D35" i="8"/>
  <c r="D36" i="8"/>
  <c r="D37" i="8"/>
  <c r="D38" i="8"/>
  <c r="D39" i="8"/>
  <c r="D40" i="8"/>
  <c r="D41" i="8"/>
  <c r="D42" i="8"/>
  <c r="D43" i="8"/>
  <c r="C228" i="8"/>
  <c r="C229" i="8"/>
  <c r="C230" i="8"/>
  <c r="C231" i="8"/>
  <c r="C222" i="8"/>
  <c r="C223" i="8"/>
  <c r="C224" i="8"/>
  <c r="C225" i="8"/>
  <c r="C206" i="8"/>
  <c r="C207" i="8"/>
  <c r="C208" i="8"/>
  <c r="C209" i="8"/>
  <c r="C210" i="8"/>
  <c r="C211" i="8"/>
  <c r="C212" i="8"/>
  <c r="C213" i="8"/>
  <c r="C214" i="8"/>
  <c r="C215" i="8"/>
  <c r="C216" i="8"/>
  <c r="C217" i="8"/>
  <c r="C218" i="8"/>
  <c r="C190" i="8"/>
  <c r="C191" i="8"/>
  <c r="C192" i="8"/>
  <c r="C193" i="8"/>
  <c r="C194" i="8"/>
  <c r="C195" i="8"/>
  <c r="C196" i="8"/>
  <c r="C197" i="8"/>
  <c r="C198" i="8"/>
  <c r="C199" i="8"/>
  <c r="C200" i="8"/>
  <c r="C201" i="8"/>
  <c r="C202" i="8"/>
  <c r="C168" i="8"/>
  <c r="C169" i="8"/>
  <c r="C170" i="8"/>
  <c r="C171" i="8"/>
  <c r="C172" i="8"/>
  <c r="C173" i="8"/>
  <c r="C174" i="8"/>
  <c r="C175" i="8"/>
  <c r="C176" i="8"/>
  <c r="C177" i="8"/>
  <c r="C178" i="8"/>
  <c r="C179" i="8"/>
  <c r="C180" i="8"/>
  <c r="C181" i="8"/>
  <c r="C182" i="8"/>
  <c r="C183" i="8"/>
  <c r="C184" i="8"/>
  <c r="C185" i="8"/>
  <c r="C158" i="8"/>
  <c r="C159" i="8"/>
  <c r="C160" i="8"/>
  <c r="C161" i="8"/>
  <c r="C162" i="8"/>
  <c r="C163" i="8"/>
  <c r="C164" i="8"/>
  <c r="C157" i="8"/>
  <c r="C145" i="8"/>
  <c r="C146" i="8"/>
  <c r="C147" i="8"/>
  <c r="C148" i="8"/>
  <c r="C139" i="8"/>
  <c r="C140" i="8"/>
  <c r="C141" i="8"/>
  <c r="C142" i="8"/>
  <c r="C133" i="8"/>
  <c r="C134" i="8"/>
  <c r="C135" i="8"/>
  <c r="C136" i="8"/>
  <c r="C116" i="8"/>
  <c r="C117" i="8"/>
  <c r="C119" i="8"/>
  <c r="C120" i="8"/>
  <c r="C121" i="8"/>
  <c r="C122" i="8"/>
  <c r="C123" i="8"/>
  <c r="C124" i="8"/>
  <c r="C125" i="8"/>
  <c r="C126" i="8"/>
  <c r="C127" i="8"/>
  <c r="C115" i="8"/>
  <c r="C107" i="8"/>
  <c r="C108" i="8"/>
  <c r="C109" i="8"/>
  <c r="C110" i="8"/>
  <c r="C111" i="8"/>
  <c r="C99" i="8"/>
  <c r="C100" i="8"/>
  <c r="C102" i="8"/>
  <c r="C103" i="8"/>
  <c r="C98" i="8"/>
  <c r="C89" i="8"/>
  <c r="C90" i="8"/>
  <c r="C91" i="8"/>
  <c r="C92" i="8"/>
  <c r="C93" i="8"/>
  <c r="C94" i="8"/>
  <c r="C95" i="8"/>
  <c r="D59" i="8"/>
  <c r="D46" i="8"/>
  <c r="D47" i="8"/>
  <c r="D48" i="8"/>
  <c r="D49" i="8"/>
  <c r="D50" i="8"/>
  <c r="D51" i="8"/>
  <c r="D52" i="8"/>
  <c r="D53" i="8"/>
  <c r="D54" i="8"/>
  <c r="D55" i="8"/>
  <c r="D56" i="8"/>
  <c r="D57" i="8"/>
  <c r="D58" i="8"/>
  <c r="D60" i="8"/>
  <c r="D61" i="8"/>
  <c r="D62" i="8"/>
  <c r="D63" i="8"/>
  <c r="D64" i="8"/>
  <c r="D65" i="8"/>
  <c r="D66" i="8"/>
  <c r="D67" i="8"/>
  <c r="D68" i="8"/>
  <c r="D69" i="8"/>
  <c r="D70" i="8"/>
  <c r="D71" i="8"/>
  <c r="D72" i="8"/>
  <c r="D73" i="8"/>
  <c r="D74" i="8"/>
  <c r="D75" i="8"/>
  <c r="D76" i="8"/>
  <c r="D77" i="8"/>
  <c r="D78" i="8"/>
  <c r="D79" i="8"/>
  <c r="D80" i="8"/>
  <c r="D81" i="8"/>
  <c r="D82" i="8"/>
  <c r="D83" i="8"/>
  <c r="D84" i="8"/>
  <c r="D85" i="8"/>
  <c r="C47" i="8"/>
  <c r="C48" i="8"/>
  <c r="C49" i="8"/>
  <c r="C50" i="8"/>
  <c r="C51" i="8"/>
  <c r="C53" i="8"/>
  <c r="C54" i="8"/>
  <c r="C55" i="8"/>
  <c r="C56" i="8"/>
  <c r="C57" i="8"/>
  <c r="C58" i="8"/>
  <c r="C60" i="8"/>
  <c r="C61" i="8"/>
  <c r="C62" i="8"/>
  <c r="C63" i="8"/>
  <c r="C64" i="8"/>
  <c r="C65" i="8"/>
  <c r="C66" i="8"/>
  <c r="C67" i="8"/>
  <c r="C68" i="8"/>
  <c r="C69" i="8"/>
  <c r="C70" i="8"/>
  <c r="C71" i="8"/>
  <c r="C72" i="8"/>
  <c r="C73" i="8"/>
  <c r="C74" i="8"/>
  <c r="C75" i="8"/>
  <c r="C76" i="8"/>
  <c r="C77" i="8"/>
  <c r="C78" i="8"/>
  <c r="C79" i="8"/>
  <c r="C80" i="8"/>
  <c r="C81" i="8"/>
  <c r="C82" i="8"/>
  <c r="C83" i="8"/>
  <c r="C84" i="8"/>
  <c r="C85" i="8"/>
  <c r="C46" i="8"/>
  <c r="C29" i="8"/>
  <c r="C30" i="8"/>
  <c r="C31" i="8"/>
  <c r="C32" i="8"/>
  <c r="C33" i="8"/>
  <c r="C34" i="8"/>
  <c r="C35" i="8"/>
  <c r="C36" i="8"/>
  <c r="C37" i="8"/>
  <c r="C38" i="8"/>
  <c r="C39" i="8"/>
  <c r="C40" i="8"/>
  <c r="C41" i="8"/>
  <c r="C42" i="8"/>
  <c r="C43" i="8"/>
  <c r="C28" i="8"/>
  <c r="L33" i="5" l="1"/>
  <c r="K33" i="5"/>
  <c r="J33" i="5"/>
  <c r="I33" i="5"/>
  <c r="H33" i="5"/>
  <c r="L21" i="5"/>
  <c r="K21" i="5"/>
  <c r="J21" i="5"/>
  <c r="I21" i="5"/>
  <c r="H21" i="5"/>
  <c r="L7" i="20" l="1"/>
  <c r="A26" i="20" s="1"/>
  <c r="L6" i="20"/>
  <c r="G6" i="20"/>
  <c r="G5" i="20"/>
  <c r="L6" i="19"/>
  <c r="A14" i="19" s="1"/>
  <c r="E14" i="19" s="1"/>
  <c r="G6" i="19"/>
  <c r="G5" i="19"/>
  <c r="A20" i="20" l="1"/>
  <c r="A19" i="20"/>
  <c r="E19" i="20" s="1"/>
  <c r="A17" i="20"/>
  <c r="A16" i="20"/>
  <c r="A15" i="20"/>
  <c r="E15" i="20" s="1"/>
  <c r="A13" i="20"/>
  <c r="A12" i="20"/>
  <c r="G12" i="20" s="1"/>
  <c r="A11" i="20"/>
  <c r="B26" i="20"/>
  <c r="F26" i="20"/>
  <c r="G26" i="20"/>
  <c r="D26" i="20"/>
  <c r="C26" i="20"/>
  <c r="A25" i="20"/>
  <c r="A16" i="19"/>
  <c r="A19" i="19"/>
  <c r="A10" i="19"/>
  <c r="A11" i="19"/>
  <c r="B11" i="19" s="1"/>
  <c r="A12" i="19"/>
  <c r="A15" i="19"/>
  <c r="E15" i="19" s="1"/>
  <c r="A18" i="19"/>
  <c r="E18" i="19" s="1"/>
  <c r="S63" i="2"/>
  <c r="S62" i="2"/>
  <c r="S61" i="2"/>
  <c r="S60" i="2"/>
  <c r="Q63" i="2"/>
  <c r="Q62" i="2"/>
  <c r="Q61" i="2"/>
  <c r="Q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B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L5" i="18"/>
  <c r="A12" i="18" s="1"/>
  <c r="G5" i="18"/>
  <c r="L6" i="17"/>
  <c r="G6" i="17"/>
  <c r="G5" i="17"/>
  <c r="A31" i="17" l="1"/>
  <c r="A32" i="17"/>
  <c r="A13" i="18"/>
  <c r="G13" i="18" s="1"/>
  <c r="A9" i="18"/>
  <c r="A10" i="18"/>
  <c r="A11" i="17"/>
  <c r="A23" i="17"/>
  <c r="A17" i="17"/>
  <c r="A29" i="17"/>
  <c r="A20" i="17"/>
  <c r="A10" i="17"/>
  <c r="A22" i="17"/>
  <c r="A16" i="17"/>
  <c r="A28" i="17"/>
  <c r="A14" i="17"/>
  <c r="A26" i="17"/>
  <c r="A13" i="17"/>
  <c r="A25" i="17"/>
  <c r="A19" i="17"/>
  <c r="G81" i="3"/>
  <c r="H20" i="20" s="1"/>
  <c r="H81" i="3"/>
  <c r="I20" i="20" s="1"/>
  <c r="I81" i="3"/>
  <c r="J20" i="20" s="1"/>
  <c r="J81" i="3"/>
  <c r="K20" i="20" s="1"/>
  <c r="G80" i="3"/>
  <c r="H17" i="20" s="1"/>
  <c r="H80" i="3"/>
  <c r="I17" i="20" s="1"/>
  <c r="I80" i="3"/>
  <c r="J17" i="20" s="1"/>
  <c r="J80" i="3"/>
  <c r="K17" i="20" s="1"/>
  <c r="L7" i="16"/>
  <c r="A26" i="16" s="1"/>
  <c r="L6" i="16"/>
  <c r="G6" i="16"/>
  <c r="G5" i="16"/>
  <c r="L6" i="15"/>
  <c r="G6" i="15"/>
  <c r="G5" i="15"/>
  <c r="D31" i="17" l="1"/>
  <c r="E31" i="17"/>
  <c r="B31" i="17"/>
  <c r="F31" i="17"/>
  <c r="G31" i="17"/>
  <c r="C31" i="17"/>
  <c r="E32" i="17"/>
  <c r="D32" i="17"/>
  <c r="B32" i="17"/>
  <c r="F32" i="17"/>
  <c r="G32" i="17"/>
  <c r="C32" i="17"/>
  <c r="D13" i="18"/>
  <c r="C13" i="18"/>
  <c r="B13" i="18"/>
  <c r="F13" i="18"/>
  <c r="G10" i="18"/>
  <c r="B10" i="18"/>
  <c r="F10" i="18"/>
  <c r="C10" i="18"/>
  <c r="D10" i="18"/>
  <c r="B9" i="18"/>
  <c r="F9" i="18"/>
  <c r="D9" i="18"/>
  <c r="C9" i="18"/>
  <c r="G9" i="18"/>
  <c r="E9" i="18"/>
  <c r="E10" i="18" s="1"/>
  <c r="D12" i="18"/>
  <c r="G12" i="18"/>
  <c r="F12" i="18"/>
  <c r="E12" i="18"/>
  <c r="E13" i="18" s="1"/>
  <c r="C12" i="18"/>
  <c r="B12" i="18"/>
  <c r="B14" i="17"/>
  <c r="F14" i="17"/>
  <c r="D14" i="17"/>
  <c r="G14" i="17"/>
  <c r="C14" i="17"/>
  <c r="D29" i="17"/>
  <c r="C29" i="17"/>
  <c r="F29" i="17"/>
  <c r="B29" i="17"/>
  <c r="G29" i="17"/>
  <c r="F20" i="17"/>
  <c r="D20" i="17"/>
  <c r="B20" i="17"/>
  <c r="C20" i="17"/>
  <c r="G20" i="17"/>
  <c r="G28" i="17"/>
  <c r="C28" i="17"/>
  <c r="F28" i="17"/>
  <c r="E28" i="17"/>
  <c r="E29" i="17" s="1"/>
  <c r="B28" i="17"/>
  <c r="D28" i="17"/>
  <c r="D17" i="17"/>
  <c r="B17" i="17"/>
  <c r="C17" i="17"/>
  <c r="F17" i="17"/>
  <c r="G17" i="17"/>
  <c r="E13" i="17"/>
  <c r="E14" i="17" s="1"/>
  <c r="D13" i="17"/>
  <c r="C13" i="17"/>
  <c r="G13" i="17"/>
  <c r="B13" i="17"/>
  <c r="F13" i="17"/>
  <c r="B26" i="17"/>
  <c r="D26" i="17"/>
  <c r="F26" i="17"/>
  <c r="G26" i="17"/>
  <c r="C26" i="17"/>
  <c r="G16" i="17"/>
  <c r="C16" i="17"/>
  <c r="F16" i="17"/>
  <c r="E16" i="17"/>
  <c r="E17" i="17" s="1"/>
  <c r="B16" i="17"/>
  <c r="D16" i="17"/>
  <c r="F23" i="17"/>
  <c r="G23" i="17"/>
  <c r="C23" i="17"/>
  <c r="B23" i="17"/>
  <c r="D23" i="17"/>
  <c r="G19" i="17"/>
  <c r="E19" i="17"/>
  <c r="E20" i="17" s="1"/>
  <c r="D19" i="17"/>
  <c r="C19" i="17"/>
  <c r="F19" i="17"/>
  <c r="B19" i="17"/>
  <c r="F11" i="17"/>
  <c r="G11" i="17"/>
  <c r="D11" i="17"/>
  <c r="B11" i="17"/>
  <c r="C11" i="17"/>
  <c r="C22" i="17"/>
  <c r="B22" i="17"/>
  <c r="G22" i="17"/>
  <c r="E22" i="17"/>
  <c r="E23" i="17" s="1"/>
  <c r="F22" i="17"/>
  <c r="D22" i="17"/>
  <c r="E25" i="17"/>
  <c r="E26" i="17" s="1"/>
  <c r="D25" i="17"/>
  <c r="G25" i="17"/>
  <c r="C25" i="17"/>
  <c r="B25" i="17"/>
  <c r="F25" i="17"/>
  <c r="C10" i="17"/>
  <c r="B10" i="17"/>
  <c r="F10" i="17"/>
  <c r="E10" i="17"/>
  <c r="E11" i="17" s="1"/>
  <c r="G10" i="17"/>
  <c r="D10" i="17"/>
  <c r="A18" i="16"/>
  <c r="A20" i="16"/>
  <c r="A21" i="16"/>
  <c r="A17" i="16"/>
  <c r="A12" i="16"/>
  <c r="A14" i="16"/>
  <c r="A15" i="16"/>
  <c r="A11" i="16"/>
  <c r="A27" i="16"/>
  <c r="B27" i="16" s="1"/>
  <c r="A14" i="15"/>
  <c r="A17" i="15"/>
  <c r="A19" i="15"/>
  <c r="A13" i="15"/>
  <c r="A16" i="15"/>
  <c r="A20" i="15"/>
  <c r="A10" i="15"/>
  <c r="A11" i="15"/>
  <c r="B26" i="16"/>
  <c r="C26" i="16"/>
  <c r="G26" i="16"/>
  <c r="F26" i="16"/>
  <c r="D26" i="16"/>
  <c r="D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0" i="3"/>
  <c r="G91" i="3"/>
  <c r="G84" i="3"/>
  <c r="H90" i="3"/>
  <c r="H91" i="3"/>
  <c r="H84" i="3"/>
  <c r="I90" i="3"/>
  <c r="I91" i="3"/>
  <c r="I84" i="3"/>
  <c r="J90" i="3"/>
  <c r="J91" i="3"/>
  <c r="J84" i="3"/>
  <c r="E185" i="8"/>
  <c r="E184" i="8"/>
  <c r="E183" i="8"/>
  <c r="E182" i="8"/>
  <c r="E181" i="8"/>
  <c r="E180" i="8"/>
  <c r="E179" i="8"/>
  <c r="E178" i="8"/>
  <c r="E177" i="8"/>
  <c r="E176" i="8"/>
  <c r="E175" i="8"/>
  <c r="B185" i="8"/>
  <c r="B184" i="8"/>
  <c r="B183" i="8"/>
  <c r="B182" i="8"/>
  <c r="B181" i="8"/>
  <c r="B180" i="8"/>
  <c r="B179" i="8"/>
  <c r="B178" i="8"/>
  <c r="B177" i="8"/>
  <c r="B176" i="8"/>
  <c r="B175" i="8"/>
  <c r="A185" i="8"/>
  <c r="A184" i="8"/>
  <c r="A183" i="8"/>
  <c r="A182" i="8"/>
  <c r="A181" i="8"/>
  <c r="A180" i="8"/>
  <c r="A179" i="8"/>
  <c r="A178" i="8"/>
  <c r="A177" i="8"/>
  <c r="A176" i="8"/>
  <c r="A175" i="8"/>
  <c r="E174" i="8" l="1"/>
  <c r="B174" i="8"/>
  <c r="A174" i="8"/>
  <c r="E173" i="8"/>
  <c r="B173" i="8"/>
  <c r="A173" i="8"/>
  <c r="E172" i="8"/>
  <c r="B172" i="8"/>
  <c r="A172" i="8"/>
  <c r="E171" i="8"/>
  <c r="B171" i="8"/>
  <c r="A171" i="8"/>
  <c r="E170" i="8"/>
  <c r="B170" i="8"/>
  <c r="A170" i="8"/>
  <c r="E169" i="8"/>
  <c r="B169" i="8"/>
  <c r="A169" i="8"/>
  <c r="E168" i="8"/>
  <c r="B168" i="8"/>
  <c r="A168" i="8"/>
  <c r="E167" i="8"/>
  <c r="B167" i="8"/>
  <c r="A167" i="8"/>
  <c r="Y85" i="3" l="1"/>
  <c r="Y81" i="3"/>
  <c r="Y80" i="3"/>
  <c r="Y90" i="3"/>
  <c r="Y91" i="3"/>
  <c r="Y84" i="3"/>
  <c r="Y3" i="3"/>
  <c r="Y11" i="3"/>
  <c r="Y19" i="3"/>
  <c r="Y26" i="3"/>
  <c r="Y34" i="3"/>
  <c r="Y42" i="3"/>
  <c r="Y50" i="3"/>
  <c r="Y58" i="3"/>
  <c r="Y66" i="3"/>
  <c r="Y74" i="3"/>
  <c r="Y96" i="3"/>
  <c r="Y95" i="3"/>
  <c r="Y4" i="3"/>
  <c r="Y12" i="3"/>
  <c r="Y20" i="3"/>
  <c r="Y27" i="3"/>
  <c r="Y35" i="3"/>
  <c r="Y43" i="3"/>
  <c r="Y51" i="3"/>
  <c r="Y59" i="3"/>
  <c r="Y67" i="3"/>
  <c r="Y75" i="3"/>
  <c r="Y86" i="3"/>
  <c r="Y97" i="3"/>
  <c r="Y5" i="3"/>
  <c r="Y13" i="3"/>
  <c r="Y21" i="3"/>
  <c r="Y28" i="3"/>
  <c r="Y36" i="3"/>
  <c r="Y44" i="3"/>
  <c r="Y52" i="3"/>
  <c r="Y60" i="3"/>
  <c r="Y68" i="3"/>
  <c r="Y76" i="3"/>
  <c r="Y87" i="3"/>
  <c r="Y98" i="3"/>
  <c r="Y14" i="3"/>
  <c r="Y22" i="3"/>
  <c r="Y29" i="3"/>
  <c r="Y37" i="3"/>
  <c r="Y45" i="3"/>
  <c r="Y53" i="3"/>
  <c r="Y61" i="3"/>
  <c r="Y69" i="3"/>
  <c r="Y77" i="3"/>
  <c r="Y88" i="3"/>
  <c r="Y99" i="3"/>
  <c r="Y6" i="3"/>
  <c r="Y8" i="3"/>
  <c r="Y16" i="3"/>
  <c r="Y24" i="3"/>
  <c r="Y31" i="3"/>
  <c r="Y39" i="3"/>
  <c r="Y47" i="3"/>
  <c r="Y55" i="3"/>
  <c r="Y63" i="3"/>
  <c r="Y71" i="3"/>
  <c r="Y79" i="3"/>
  <c r="Y92" i="3"/>
  <c r="Y9" i="3"/>
  <c r="Y17" i="3"/>
  <c r="Y32" i="3"/>
  <c r="Y40" i="3"/>
  <c r="Y48" i="3"/>
  <c r="Y56" i="3"/>
  <c r="Y64" i="3"/>
  <c r="Y72" i="3"/>
  <c r="Y82" i="3"/>
  <c r="Y93" i="3"/>
  <c r="Y10" i="3"/>
  <c r="Y18" i="3"/>
  <c r="Y25" i="3"/>
  <c r="Y33" i="3"/>
  <c r="Y41" i="3"/>
  <c r="Y49" i="3"/>
  <c r="Y57" i="3"/>
  <c r="Y65" i="3"/>
  <c r="Y73" i="3"/>
  <c r="Y83" i="3"/>
  <c r="Y94" i="3"/>
  <c r="Y7" i="3"/>
  <c r="Y70" i="3"/>
  <c r="Y62" i="3"/>
  <c r="Y15" i="3"/>
  <c r="Y78" i="3"/>
  <c r="Y23" i="3"/>
  <c r="Y89" i="3"/>
  <c r="Y38" i="3"/>
  <c r="Y30" i="3"/>
  <c r="Y54" i="3"/>
  <c r="Y46" i="3"/>
  <c r="E164" i="8"/>
  <c r="B164" i="8"/>
  <c r="A164" i="8"/>
  <c r="E163" i="8"/>
  <c r="B163" i="8"/>
  <c r="A163" i="8"/>
  <c r="E162" i="8"/>
  <c r="B162" i="8"/>
  <c r="A162" i="8"/>
  <c r="E161" i="8"/>
  <c r="B161" i="8"/>
  <c r="A161" i="8"/>
  <c r="E160" i="8"/>
  <c r="B160" i="8"/>
  <c r="A160" i="8"/>
  <c r="E159" i="8"/>
  <c r="B159" i="8"/>
  <c r="A159" i="8"/>
  <c r="E158" i="8"/>
  <c r="B158" i="8"/>
  <c r="A158" i="8"/>
  <c r="E157" i="8"/>
  <c r="B157" i="8"/>
  <c r="A157" i="8"/>
  <c r="X85" i="3" l="1"/>
  <c r="X81" i="3"/>
  <c r="X80" i="3"/>
  <c r="X90" i="3"/>
  <c r="X91" i="3"/>
  <c r="X84" i="3"/>
  <c r="X7" i="3"/>
  <c r="X15" i="3"/>
  <c r="X23" i="3"/>
  <c r="X30" i="3"/>
  <c r="X38" i="3"/>
  <c r="X46" i="3"/>
  <c r="X54" i="3"/>
  <c r="X62" i="3"/>
  <c r="X70" i="3"/>
  <c r="X78" i="3"/>
  <c r="X8" i="3"/>
  <c r="X16" i="3"/>
  <c r="X24" i="3"/>
  <c r="X31" i="3"/>
  <c r="X39" i="3"/>
  <c r="X47" i="3"/>
  <c r="X55" i="3"/>
  <c r="X63" i="3"/>
  <c r="X71" i="3"/>
  <c r="X9" i="3"/>
  <c r="X17" i="3"/>
  <c r="X32" i="3"/>
  <c r="X40" i="3"/>
  <c r="X48" i="3"/>
  <c r="X56" i="3"/>
  <c r="X64" i="3"/>
  <c r="X72" i="3"/>
  <c r="X82" i="3"/>
  <c r="X93" i="3"/>
  <c r="X10" i="3"/>
  <c r="X18" i="3"/>
  <c r="X25" i="3"/>
  <c r="X33" i="3"/>
  <c r="X41" i="3"/>
  <c r="X49" i="3"/>
  <c r="X57" i="3"/>
  <c r="X65" i="3"/>
  <c r="X73" i="3"/>
  <c r="X83" i="3"/>
  <c r="X94" i="3"/>
  <c r="X4" i="3"/>
  <c r="X12" i="3"/>
  <c r="X20" i="3"/>
  <c r="X27" i="3"/>
  <c r="X35" i="3"/>
  <c r="X43" i="3"/>
  <c r="X51" i="3"/>
  <c r="X59" i="3"/>
  <c r="X67" i="3"/>
  <c r="X75" i="3"/>
  <c r="X86" i="3"/>
  <c r="X97" i="3"/>
  <c r="X5" i="3"/>
  <c r="X13" i="3"/>
  <c r="X21" i="3"/>
  <c r="X28" i="3"/>
  <c r="X36" i="3"/>
  <c r="X44" i="3"/>
  <c r="X52" i="3"/>
  <c r="X60" i="3"/>
  <c r="X68" i="3"/>
  <c r="X76" i="3"/>
  <c r="X87" i="3"/>
  <c r="X98" i="3"/>
  <c r="X6" i="3"/>
  <c r="X14" i="3"/>
  <c r="X22" i="3"/>
  <c r="X29" i="3"/>
  <c r="X37" i="3"/>
  <c r="X45" i="3"/>
  <c r="X42" i="3"/>
  <c r="X77" i="3"/>
  <c r="X95" i="3"/>
  <c r="X50" i="3"/>
  <c r="X79" i="3"/>
  <c r="X26" i="3"/>
  <c r="X99" i="3"/>
  <c r="X53" i="3"/>
  <c r="X96" i="3"/>
  <c r="X61" i="3"/>
  <c r="X89" i="3"/>
  <c r="X69" i="3"/>
  <c r="X3" i="3"/>
  <c r="X58" i="3"/>
  <c r="X88" i="3"/>
  <c r="X11" i="3"/>
  <c r="X74" i="3"/>
  <c r="X19" i="3"/>
  <c r="X66" i="3"/>
  <c r="X92" i="3"/>
  <c r="X34" i="3"/>
  <c r="E154" i="8"/>
  <c r="B154" i="8"/>
  <c r="A154" i="8"/>
  <c r="E153" i="8"/>
  <c r="B153" i="8"/>
  <c r="A153" i="8"/>
  <c r="E152" i="8"/>
  <c r="B152" i="8"/>
  <c r="A152" i="8"/>
  <c r="W85" i="3" l="1"/>
  <c r="W81" i="3"/>
  <c r="W80" i="3"/>
  <c r="W90" i="3"/>
  <c r="W91" i="3"/>
  <c r="W84" i="3"/>
  <c r="W5" i="3"/>
  <c r="W13" i="3"/>
  <c r="W21" i="3"/>
  <c r="W28" i="3"/>
  <c r="W36" i="3"/>
  <c r="W44" i="3"/>
  <c r="W52" i="3"/>
  <c r="W60" i="3"/>
  <c r="W68" i="3"/>
  <c r="W76" i="3"/>
  <c r="W87" i="3"/>
  <c r="W98" i="3"/>
  <c r="W6" i="3"/>
  <c r="W14" i="3"/>
  <c r="W22" i="3"/>
  <c r="W29" i="3"/>
  <c r="W37" i="3"/>
  <c r="W45" i="3"/>
  <c r="W8" i="3"/>
  <c r="W16" i="3"/>
  <c r="W24" i="3"/>
  <c r="W31" i="3"/>
  <c r="W39" i="3"/>
  <c r="W47" i="3"/>
  <c r="W55" i="3"/>
  <c r="W63" i="3"/>
  <c r="W71" i="3"/>
  <c r="W79" i="3"/>
  <c r="W92" i="3"/>
  <c r="W9" i="3"/>
  <c r="W17" i="3"/>
  <c r="W32" i="3"/>
  <c r="W40" i="3"/>
  <c r="W48" i="3"/>
  <c r="W56" i="3"/>
  <c r="W64" i="3"/>
  <c r="W72" i="3"/>
  <c r="W82" i="3"/>
  <c r="W93" i="3"/>
  <c r="W3" i="3"/>
  <c r="W19" i="3"/>
  <c r="W34" i="3"/>
  <c r="W50" i="3"/>
  <c r="W62" i="3"/>
  <c r="W75" i="3"/>
  <c r="W94" i="3"/>
  <c r="W69" i="3"/>
  <c r="W27" i="3"/>
  <c r="W86" i="3"/>
  <c r="W49" i="3"/>
  <c r="W4" i="3"/>
  <c r="W20" i="3"/>
  <c r="W35" i="3"/>
  <c r="W51" i="3"/>
  <c r="W65" i="3"/>
  <c r="W77" i="3"/>
  <c r="W95" i="3"/>
  <c r="W43" i="3"/>
  <c r="W30" i="3"/>
  <c r="W73" i="3"/>
  <c r="W74" i="3"/>
  <c r="W7" i="3"/>
  <c r="W23" i="3"/>
  <c r="W38" i="3"/>
  <c r="W53" i="3"/>
  <c r="W66" i="3"/>
  <c r="W78" i="3"/>
  <c r="W97" i="3"/>
  <c r="W26" i="3"/>
  <c r="W57" i="3"/>
  <c r="W58" i="3"/>
  <c r="W15" i="3"/>
  <c r="W88" i="3"/>
  <c r="W18" i="3"/>
  <c r="W89" i="3"/>
  <c r="W10" i="3"/>
  <c r="W25" i="3"/>
  <c r="W41" i="3"/>
  <c r="W54" i="3"/>
  <c r="W67" i="3"/>
  <c r="W83" i="3"/>
  <c r="W99" i="3"/>
  <c r="W11" i="3"/>
  <c r="W42" i="3"/>
  <c r="W96" i="3"/>
  <c r="W46" i="3"/>
  <c r="W61" i="3"/>
  <c r="W12" i="3"/>
  <c r="W70" i="3"/>
  <c r="W59" i="3"/>
  <c r="W33" i="3"/>
  <c r="G25" i="3"/>
  <c r="H25" i="17" s="1"/>
  <c r="H25" i="3"/>
  <c r="I25" i="17" s="1"/>
  <c r="I25" i="3"/>
  <c r="J25" i="17" s="1"/>
  <c r="J25" i="3"/>
  <c r="K25" i="17" s="1"/>
  <c r="J3" i="3" l="1"/>
  <c r="J4" i="3"/>
  <c r="J5" i="3"/>
  <c r="J6" i="3"/>
  <c r="J7" i="3"/>
  <c r="J8" i="3"/>
  <c r="J9" i="3"/>
  <c r="J10" i="3"/>
  <c r="K24" i="23" s="1"/>
  <c r="J11" i="3"/>
  <c r="J12" i="3"/>
  <c r="K25" i="23" s="1"/>
  <c r="J13" i="3"/>
  <c r="K26" i="23" s="1"/>
  <c r="J14" i="3"/>
  <c r="J15" i="3"/>
  <c r="J16" i="3"/>
  <c r="J17" i="3"/>
  <c r="K9" i="18" s="1"/>
  <c r="J18" i="3"/>
  <c r="K12" i="18" s="1"/>
  <c r="J19" i="3"/>
  <c r="K10" i="18" s="1"/>
  <c r="J20" i="3"/>
  <c r="K13" i="18" s="1"/>
  <c r="J21" i="3"/>
  <c r="J22" i="3"/>
  <c r="K14" i="17" s="1"/>
  <c r="J23" i="3"/>
  <c r="J24" i="3"/>
  <c r="K17" i="17" s="1"/>
  <c r="J26" i="3"/>
  <c r="J27" i="3"/>
  <c r="J28" i="3"/>
  <c r="K29" i="17" s="1"/>
  <c r="J29" i="3"/>
  <c r="J30" i="3"/>
  <c r="J31" i="3"/>
  <c r="J32" i="3"/>
  <c r="K17" i="23" s="1"/>
  <c r="J33" i="3"/>
  <c r="J34" i="3"/>
  <c r="J35" i="3"/>
  <c r="J36" i="3"/>
  <c r="J37" i="3"/>
  <c r="J38" i="3"/>
  <c r="J39" i="3"/>
  <c r="J40" i="3"/>
  <c r="J41" i="3"/>
  <c r="J42" i="3"/>
  <c r="J43" i="3"/>
  <c r="J44" i="3"/>
  <c r="J45" i="3"/>
  <c r="J46" i="3"/>
  <c r="J47" i="3"/>
  <c r="J48" i="3"/>
  <c r="J49" i="3"/>
  <c r="J50" i="3"/>
  <c r="J51" i="3"/>
  <c r="J52" i="3"/>
  <c r="J53" i="3"/>
  <c r="J54" i="3"/>
  <c r="J55" i="3"/>
  <c r="J56" i="3"/>
  <c r="J57" i="3"/>
  <c r="K11" i="17" s="1"/>
  <c r="J58" i="3"/>
  <c r="K22" i="23" s="1"/>
  <c r="J59" i="3"/>
  <c r="J60" i="3"/>
  <c r="J61" i="3"/>
  <c r="J62" i="3"/>
  <c r="J63" i="3"/>
  <c r="J64" i="3"/>
  <c r="J65" i="3"/>
  <c r="J66" i="3"/>
  <c r="J67" i="3"/>
  <c r="J68" i="3"/>
  <c r="J69" i="3"/>
  <c r="J70" i="3"/>
  <c r="J71" i="3"/>
  <c r="J72" i="3"/>
  <c r="J73" i="3"/>
  <c r="K23" i="17" s="1"/>
  <c r="J74" i="3"/>
  <c r="K32" i="17" s="1"/>
  <c r="J75" i="3"/>
  <c r="K31" i="17" s="1"/>
  <c r="J76" i="3"/>
  <c r="J77" i="3"/>
  <c r="J78" i="3"/>
  <c r="J79" i="3"/>
  <c r="J82" i="3"/>
  <c r="J83" i="3"/>
  <c r="J86" i="3"/>
  <c r="J96" i="3"/>
  <c r="J87" i="3"/>
  <c r="J88" i="3"/>
  <c r="J89" i="3"/>
  <c r="J92" i="3"/>
  <c r="J93" i="3"/>
  <c r="J94" i="3"/>
  <c r="J95" i="3"/>
  <c r="J97" i="3"/>
  <c r="J98" i="3"/>
  <c r="J99" i="3"/>
  <c r="I3" i="3"/>
  <c r="I4" i="3"/>
  <c r="I5" i="3"/>
  <c r="I6" i="3"/>
  <c r="I7" i="3"/>
  <c r="I8" i="3"/>
  <c r="I9" i="3"/>
  <c r="I10" i="3"/>
  <c r="J24" i="23" s="1"/>
  <c r="I11" i="3"/>
  <c r="I12" i="3"/>
  <c r="J25" i="23" s="1"/>
  <c r="I13" i="3"/>
  <c r="J26" i="23" s="1"/>
  <c r="I14" i="3"/>
  <c r="I15" i="3"/>
  <c r="I16" i="3"/>
  <c r="I17" i="3"/>
  <c r="J9" i="18" s="1"/>
  <c r="I18" i="3"/>
  <c r="J12" i="18" s="1"/>
  <c r="I19" i="3"/>
  <c r="J10" i="18" s="1"/>
  <c r="I20" i="3"/>
  <c r="J13" i="18" s="1"/>
  <c r="I21" i="3"/>
  <c r="I22" i="3"/>
  <c r="J14" i="17" s="1"/>
  <c r="I23" i="3"/>
  <c r="I24" i="3"/>
  <c r="J17" i="17" s="1"/>
  <c r="I26" i="3"/>
  <c r="I27" i="3"/>
  <c r="I28" i="3"/>
  <c r="J29" i="17" s="1"/>
  <c r="I29" i="3"/>
  <c r="I30" i="3"/>
  <c r="I31" i="3"/>
  <c r="I32" i="3"/>
  <c r="J17" i="23" s="1"/>
  <c r="I33" i="3"/>
  <c r="I34" i="3"/>
  <c r="I35" i="3"/>
  <c r="I36" i="3"/>
  <c r="I37" i="3"/>
  <c r="I38" i="3"/>
  <c r="I39" i="3"/>
  <c r="I40" i="3"/>
  <c r="I41" i="3"/>
  <c r="I42" i="3"/>
  <c r="I43" i="3"/>
  <c r="I44" i="3"/>
  <c r="I45" i="3"/>
  <c r="I46" i="3"/>
  <c r="I47" i="3"/>
  <c r="I48" i="3"/>
  <c r="I49" i="3"/>
  <c r="I50" i="3"/>
  <c r="I51" i="3"/>
  <c r="I52" i="3"/>
  <c r="I53" i="3"/>
  <c r="I54" i="3"/>
  <c r="I55" i="3"/>
  <c r="I56" i="3"/>
  <c r="I57" i="3"/>
  <c r="J11" i="17" s="1"/>
  <c r="I58" i="3"/>
  <c r="J22" i="23" s="1"/>
  <c r="I59" i="3"/>
  <c r="I60" i="3"/>
  <c r="I61" i="3"/>
  <c r="I62" i="3"/>
  <c r="I63" i="3"/>
  <c r="I64" i="3"/>
  <c r="I65" i="3"/>
  <c r="I66" i="3"/>
  <c r="I67" i="3"/>
  <c r="I68" i="3"/>
  <c r="I69" i="3"/>
  <c r="I70" i="3"/>
  <c r="I71" i="3"/>
  <c r="I72" i="3"/>
  <c r="I73" i="3"/>
  <c r="J23" i="17" s="1"/>
  <c r="I74" i="3"/>
  <c r="J32" i="17" s="1"/>
  <c r="I75" i="3"/>
  <c r="J31" i="17" s="1"/>
  <c r="I76" i="3"/>
  <c r="I77" i="3"/>
  <c r="I78" i="3"/>
  <c r="I79" i="3"/>
  <c r="I82" i="3"/>
  <c r="I83" i="3"/>
  <c r="I86" i="3"/>
  <c r="I96" i="3"/>
  <c r="I87" i="3"/>
  <c r="I88" i="3"/>
  <c r="I89" i="3"/>
  <c r="I92" i="3"/>
  <c r="I93" i="3"/>
  <c r="I94" i="3"/>
  <c r="I95" i="3"/>
  <c r="I97" i="3"/>
  <c r="I98" i="3"/>
  <c r="I99" i="3"/>
  <c r="H3" i="3"/>
  <c r="H4" i="3"/>
  <c r="H5" i="3"/>
  <c r="H6" i="3"/>
  <c r="H7" i="3"/>
  <c r="H8" i="3"/>
  <c r="H9" i="3"/>
  <c r="H10" i="3"/>
  <c r="I24" i="23" s="1"/>
  <c r="H11" i="3"/>
  <c r="H12" i="3"/>
  <c r="I25" i="23" s="1"/>
  <c r="H13" i="3"/>
  <c r="I26" i="23" s="1"/>
  <c r="H14" i="3"/>
  <c r="H15" i="3"/>
  <c r="H16" i="3"/>
  <c r="H17" i="3"/>
  <c r="I9" i="18" s="1"/>
  <c r="H18" i="3"/>
  <c r="I12" i="18" s="1"/>
  <c r="H19" i="3"/>
  <c r="I10" i="18" s="1"/>
  <c r="H20" i="3"/>
  <c r="I13" i="18" s="1"/>
  <c r="H21" i="3"/>
  <c r="H22" i="3"/>
  <c r="I14" i="17" s="1"/>
  <c r="H23" i="3"/>
  <c r="H24" i="3"/>
  <c r="I17" i="17" s="1"/>
  <c r="H26" i="3"/>
  <c r="H27" i="3"/>
  <c r="H28" i="3"/>
  <c r="I29" i="17" s="1"/>
  <c r="H29" i="3"/>
  <c r="H30" i="3"/>
  <c r="H31" i="3"/>
  <c r="H32" i="3"/>
  <c r="I17" i="23" s="1"/>
  <c r="H33" i="3"/>
  <c r="H34" i="3"/>
  <c r="H35" i="3"/>
  <c r="H36" i="3"/>
  <c r="H37" i="3"/>
  <c r="H38" i="3"/>
  <c r="H39" i="3"/>
  <c r="H40" i="3"/>
  <c r="H41" i="3"/>
  <c r="H42" i="3"/>
  <c r="H43" i="3"/>
  <c r="H44" i="3"/>
  <c r="H45" i="3"/>
  <c r="H46" i="3"/>
  <c r="H47" i="3"/>
  <c r="H48" i="3"/>
  <c r="H49" i="3"/>
  <c r="H50" i="3"/>
  <c r="H51" i="3"/>
  <c r="H52" i="3"/>
  <c r="H53" i="3"/>
  <c r="H54" i="3"/>
  <c r="H55" i="3"/>
  <c r="H56" i="3"/>
  <c r="H57" i="3"/>
  <c r="I11" i="17" s="1"/>
  <c r="H58" i="3"/>
  <c r="I22" i="23" s="1"/>
  <c r="H59" i="3"/>
  <c r="H60" i="3"/>
  <c r="H61" i="3"/>
  <c r="H62" i="3"/>
  <c r="H63" i="3"/>
  <c r="H64" i="3"/>
  <c r="H65" i="3"/>
  <c r="H66" i="3"/>
  <c r="H67" i="3"/>
  <c r="H68" i="3"/>
  <c r="H69" i="3"/>
  <c r="H70" i="3"/>
  <c r="H71" i="3"/>
  <c r="H72" i="3"/>
  <c r="H73" i="3"/>
  <c r="I23" i="17" s="1"/>
  <c r="H74" i="3"/>
  <c r="I32" i="17" s="1"/>
  <c r="H75" i="3"/>
  <c r="I31" i="17" s="1"/>
  <c r="H76" i="3"/>
  <c r="H77" i="3"/>
  <c r="H78" i="3"/>
  <c r="H79" i="3"/>
  <c r="H82" i="3"/>
  <c r="H83" i="3"/>
  <c r="H86" i="3"/>
  <c r="H96" i="3"/>
  <c r="H87" i="3"/>
  <c r="H88" i="3"/>
  <c r="H89" i="3"/>
  <c r="H92" i="3"/>
  <c r="H93" i="3"/>
  <c r="H94" i="3"/>
  <c r="H95" i="3"/>
  <c r="H97" i="3"/>
  <c r="H98" i="3"/>
  <c r="H99" i="3"/>
  <c r="G3" i="3"/>
  <c r="G4" i="3"/>
  <c r="G5" i="3"/>
  <c r="G6" i="3"/>
  <c r="G7" i="3"/>
  <c r="G8" i="3"/>
  <c r="G9" i="3"/>
  <c r="G10" i="3"/>
  <c r="H24" i="23" s="1"/>
  <c r="G11" i="3"/>
  <c r="G12" i="3"/>
  <c r="H25" i="23" s="1"/>
  <c r="G13" i="3"/>
  <c r="H26" i="23" s="1"/>
  <c r="G14" i="3"/>
  <c r="G15" i="3"/>
  <c r="G16" i="3"/>
  <c r="G17" i="3"/>
  <c r="H9" i="18" s="1"/>
  <c r="G18" i="3"/>
  <c r="H12" i="18" s="1"/>
  <c r="G19" i="3"/>
  <c r="H10" i="18" s="1"/>
  <c r="G20" i="3"/>
  <c r="H13" i="18" s="1"/>
  <c r="G21" i="3"/>
  <c r="G22" i="3"/>
  <c r="H14" i="17" s="1"/>
  <c r="G23" i="3"/>
  <c r="G24" i="3"/>
  <c r="H17" i="17" s="1"/>
  <c r="G26" i="3"/>
  <c r="G27" i="3"/>
  <c r="G28" i="3"/>
  <c r="H29" i="17" s="1"/>
  <c r="G29" i="3"/>
  <c r="G30" i="3"/>
  <c r="G31" i="3"/>
  <c r="G32" i="3"/>
  <c r="H17" i="23" s="1"/>
  <c r="G33" i="3"/>
  <c r="G34" i="3"/>
  <c r="G35" i="3"/>
  <c r="G36" i="3"/>
  <c r="G37" i="3"/>
  <c r="G38" i="3"/>
  <c r="G39" i="3"/>
  <c r="G40" i="3"/>
  <c r="G41" i="3"/>
  <c r="G42" i="3"/>
  <c r="G43" i="3"/>
  <c r="G44" i="3"/>
  <c r="G45" i="3"/>
  <c r="G46" i="3"/>
  <c r="G47" i="3"/>
  <c r="G48" i="3"/>
  <c r="G49" i="3"/>
  <c r="G50" i="3"/>
  <c r="G51" i="3"/>
  <c r="G52" i="3"/>
  <c r="G53" i="3"/>
  <c r="G54" i="3"/>
  <c r="G55" i="3"/>
  <c r="G56" i="3"/>
  <c r="G57" i="3"/>
  <c r="H11" i="17" s="1"/>
  <c r="G58" i="3"/>
  <c r="H22" i="23" s="1"/>
  <c r="G59" i="3"/>
  <c r="G60" i="3"/>
  <c r="G61" i="3"/>
  <c r="G62" i="3"/>
  <c r="G63" i="3"/>
  <c r="G64" i="3"/>
  <c r="G65" i="3"/>
  <c r="G66" i="3"/>
  <c r="G67" i="3"/>
  <c r="G68" i="3"/>
  <c r="G69" i="3"/>
  <c r="G70" i="3"/>
  <c r="G71" i="3"/>
  <c r="G72" i="3"/>
  <c r="G73" i="3"/>
  <c r="H23" i="17" s="1"/>
  <c r="G74" i="3"/>
  <c r="H32" i="17" s="1"/>
  <c r="G75" i="3"/>
  <c r="H31" i="17" s="1"/>
  <c r="G76" i="3"/>
  <c r="G77" i="3"/>
  <c r="G78" i="3"/>
  <c r="G79" i="3"/>
  <c r="G82" i="3"/>
  <c r="G83" i="3"/>
  <c r="G86" i="3"/>
  <c r="G96" i="3"/>
  <c r="G87" i="3"/>
  <c r="G88" i="3"/>
  <c r="G89" i="3"/>
  <c r="G92" i="3"/>
  <c r="G93" i="3"/>
  <c r="G94" i="3"/>
  <c r="G95" i="3"/>
  <c r="G97" i="3"/>
  <c r="G98" i="3"/>
  <c r="G99" i="3"/>
  <c r="H12" i="23" l="1"/>
  <c r="H9" i="23"/>
  <c r="H10" i="23"/>
  <c r="H13" i="23"/>
  <c r="H16" i="17"/>
  <c r="H21" i="23"/>
  <c r="H28" i="17"/>
  <c r="H20" i="23"/>
  <c r="H13" i="17"/>
  <c r="H19" i="23"/>
  <c r="H10" i="17"/>
  <c r="H18" i="23"/>
  <c r="H20" i="17"/>
  <c r="H31" i="23"/>
  <c r="H22" i="17"/>
  <c r="H30" i="23"/>
  <c r="H26" i="17"/>
  <c r="H29" i="23"/>
  <c r="H19" i="17"/>
  <c r="H28" i="23"/>
  <c r="I12" i="23"/>
  <c r="I9" i="23"/>
  <c r="I10" i="23"/>
  <c r="I13" i="23"/>
  <c r="I16" i="17"/>
  <c r="I21" i="23"/>
  <c r="I28" i="17"/>
  <c r="I20" i="23"/>
  <c r="I13" i="17"/>
  <c r="I19" i="23"/>
  <c r="I10" i="17"/>
  <c r="I18" i="23"/>
  <c r="I20" i="17"/>
  <c r="I31" i="23"/>
  <c r="I22" i="17"/>
  <c r="I30" i="23"/>
  <c r="I26" i="17"/>
  <c r="I29" i="23"/>
  <c r="I19" i="17"/>
  <c r="I28" i="23"/>
  <c r="J12" i="23"/>
  <c r="J9" i="23"/>
  <c r="J10" i="23"/>
  <c r="J13" i="23"/>
  <c r="J16" i="17"/>
  <c r="J21" i="23"/>
  <c r="J28" i="17"/>
  <c r="J20" i="23"/>
  <c r="J13" i="17"/>
  <c r="J19" i="23"/>
  <c r="J10" i="17"/>
  <c r="J18" i="23"/>
  <c r="J20" i="17"/>
  <c r="J31" i="23"/>
  <c r="J22" i="17"/>
  <c r="J30" i="23"/>
  <c r="J26" i="17"/>
  <c r="J29" i="23"/>
  <c r="J19" i="17"/>
  <c r="J28" i="23"/>
  <c r="K12" i="23"/>
  <c r="K9" i="23"/>
  <c r="K10" i="23"/>
  <c r="K13" i="23"/>
  <c r="K16" i="17"/>
  <c r="K21" i="23"/>
  <c r="K28" i="17"/>
  <c r="K20" i="23"/>
  <c r="K13" i="17"/>
  <c r="K19" i="23"/>
  <c r="K10" i="17"/>
  <c r="K18" i="23"/>
  <c r="K20" i="17"/>
  <c r="K31" i="23"/>
  <c r="K22" i="17"/>
  <c r="K30" i="23"/>
  <c r="K26" i="17"/>
  <c r="K29" i="23"/>
  <c r="K19" i="17"/>
  <c r="K28" i="23"/>
  <c r="H27" i="16"/>
  <c r="H26" i="20"/>
  <c r="J26" i="16"/>
  <c r="J25" i="20"/>
  <c r="K26" i="16"/>
  <c r="K25" i="20"/>
  <c r="J27" i="16"/>
  <c r="J26" i="20"/>
  <c r="I27" i="16"/>
  <c r="I26" i="20"/>
  <c r="H26" i="16"/>
  <c r="H25" i="20"/>
  <c r="K27" i="16"/>
  <c r="K26" i="20"/>
  <c r="I26" i="16"/>
  <c r="I25" i="20"/>
  <c r="H18" i="19"/>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L5" i="14"/>
  <c r="G5" i="14"/>
  <c r="S49" i="2" l="1"/>
  <c r="S48" i="2"/>
  <c r="S47" i="2"/>
  <c r="S46" i="2"/>
  <c r="Q49" i="2"/>
  <c r="A13" i="14" s="1"/>
  <c r="Q48" i="2"/>
  <c r="A12" i="14" s="1"/>
  <c r="Q47" i="2"/>
  <c r="A10" i="14" s="1"/>
  <c r="Q46" i="2"/>
  <c r="A9" i="14" s="1"/>
  <c r="O56" i="2"/>
  <c r="Q56" i="2" s="1"/>
  <c r="S56" i="2" s="1"/>
  <c r="O55" i="2"/>
  <c r="Q55" i="2" s="1"/>
  <c r="S55" i="2" s="1"/>
  <c r="O54" i="2"/>
  <c r="Q54" i="2" s="1"/>
  <c r="S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5" i="13"/>
  <c r="A9" i="13" l="1"/>
  <c r="A18" i="13"/>
  <c r="A19" i="13"/>
  <c r="A10" i="13"/>
  <c r="A12" i="13"/>
  <c r="A13" i="13"/>
  <c r="A15" i="13"/>
  <c r="A16" i="13"/>
  <c r="G13" i="13" l="1"/>
  <c r="C13" i="13"/>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5" i="12"/>
  <c r="A32" i="12" l="1"/>
  <c r="A24" i="12"/>
  <c r="A29" i="12"/>
  <c r="A30" i="12"/>
  <c r="A28" i="12"/>
  <c r="A27" i="12"/>
  <c r="A26" i="12"/>
  <c r="A25" i="12"/>
  <c r="A31" i="12"/>
  <c r="A20" i="12"/>
  <c r="A19" i="12"/>
  <c r="A16" i="12"/>
  <c r="D16" i="12" s="1"/>
  <c r="A13" i="12"/>
  <c r="A11" i="12"/>
  <c r="A10" i="12"/>
  <c r="A17" i="12"/>
  <c r="A14" i="12"/>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B11" i="12" l="1"/>
  <c r="K17" i="14"/>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31" i="8"/>
  <c r="B231" i="8"/>
  <c r="A231" i="8"/>
  <c r="E230" i="8"/>
  <c r="B230" i="8"/>
  <c r="A230" i="8"/>
  <c r="E229" i="8"/>
  <c r="B229" i="8"/>
  <c r="A229" i="8"/>
  <c r="E228" i="8"/>
  <c r="B228" i="8"/>
  <c r="A228" i="8"/>
  <c r="T85" i="3" l="1"/>
  <c r="T81" i="3"/>
  <c r="T80" i="3"/>
  <c r="T90" i="3"/>
  <c r="T91" i="3"/>
  <c r="T84" i="3"/>
  <c r="T25" i="3"/>
  <c r="T5" i="3"/>
  <c r="T3" i="3"/>
  <c r="T4" i="3"/>
  <c r="T6" i="3"/>
  <c r="T7" i="3"/>
  <c r="T8" i="3"/>
  <c r="T9" i="3"/>
  <c r="T10" i="3"/>
  <c r="T11" i="3"/>
  <c r="T12" i="3"/>
  <c r="T13" i="3"/>
  <c r="T14" i="3"/>
  <c r="T15" i="3"/>
  <c r="T16" i="3"/>
  <c r="T17" i="3"/>
  <c r="T18" i="3"/>
  <c r="T19"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2" i="3"/>
  <c r="T83" i="3"/>
  <c r="T86" i="3"/>
  <c r="T96" i="3"/>
  <c r="T87" i="3"/>
  <c r="T88" i="3"/>
  <c r="T89" i="3"/>
  <c r="T92" i="3"/>
  <c r="T93" i="3"/>
  <c r="T94" i="3"/>
  <c r="T95" i="3"/>
  <c r="T97" i="3"/>
  <c r="T98" i="3"/>
  <c r="T99" i="3"/>
  <c r="E225" i="8"/>
  <c r="B225" i="8"/>
  <c r="A225" i="8"/>
  <c r="E224" i="8"/>
  <c r="B224" i="8"/>
  <c r="A224" i="8"/>
  <c r="E223" i="8"/>
  <c r="B223" i="8"/>
  <c r="A223" i="8"/>
  <c r="E222" i="8"/>
  <c r="B222" i="8"/>
  <c r="A222" i="8"/>
  <c r="S85" i="3" l="1"/>
  <c r="S81" i="3"/>
  <c r="S80" i="3"/>
  <c r="S90" i="3"/>
  <c r="S91" i="3"/>
  <c r="S84" i="3"/>
  <c r="S25" i="3"/>
  <c r="S5" i="3"/>
  <c r="S3" i="3"/>
  <c r="S4" i="3"/>
  <c r="S6" i="3"/>
  <c r="S7" i="3"/>
  <c r="S8" i="3"/>
  <c r="S9" i="3"/>
  <c r="S10" i="3"/>
  <c r="S11" i="3"/>
  <c r="S12" i="3"/>
  <c r="S13" i="3"/>
  <c r="S14" i="3"/>
  <c r="S15" i="3"/>
  <c r="S16" i="3"/>
  <c r="S17" i="3"/>
  <c r="S18" i="3"/>
  <c r="S19" i="3"/>
  <c r="S20" i="3"/>
  <c r="S21" i="3"/>
  <c r="S22" i="3"/>
  <c r="S23" i="3"/>
  <c r="S24"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2" i="3"/>
  <c r="S83" i="3"/>
  <c r="S86" i="3"/>
  <c r="S96" i="3"/>
  <c r="S87" i="3"/>
  <c r="S88" i="3"/>
  <c r="S89" i="3"/>
  <c r="S92" i="3"/>
  <c r="S93" i="3"/>
  <c r="S94" i="3"/>
  <c r="S95" i="3"/>
  <c r="S97" i="3"/>
  <c r="S98" i="3"/>
  <c r="S99" i="3"/>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V85" i="3" l="1"/>
  <c r="V81" i="3"/>
  <c r="V80" i="3"/>
  <c r="V90" i="3"/>
  <c r="V91" i="3"/>
  <c r="V84" i="3"/>
  <c r="V25" i="3"/>
  <c r="V5" i="3"/>
  <c r="V10" i="3"/>
  <c r="V18" i="3"/>
  <c r="V26" i="3"/>
  <c r="V34" i="3"/>
  <c r="V42" i="3"/>
  <c r="V50" i="3"/>
  <c r="V58" i="3"/>
  <c r="V66" i="3"/>
  <c r="V74" i="3"/>
  <c r="V83" i="3"/>
  <c r="V94" i="3"/>
  <c r="V32" i="3"/>
  <c r="V92" i="3"/>
  <c r="V11" i="3"/>
  <c r="V19" i="3"/>
  <c r="V27" i="3"/>
  <c r="V35" i="3"/>
  <c r="V43" i="3"/>
  <c r="V51" i="3"/>
  <c r="V59" i="3"/>
  <c r="V67" i="3"/>
  <c r="V75" i="3"/>
  <c r="V86" i="3"/>
  <c r="V95" i="3"/>
  <c r="V8" i="3"/>
  <c r="V72" i="3"/>
  <c r="V3" i="3"/>
  <c r="V12" i="3"/>
  <c r="V20" i="3"/>
  <c r="V28" i="3"/>
  <c r="V36" i="3"/>
  <c r="V44" i="3"/>
  <c r="V52" i="3"/>
  <c r="V60" i="3"/>
  <c r="V68" i="3"/>
  <c r="V76" i="3"/>
  <c r="V96" i="3"/>
  <c r="V97" i="3"/>
  <c r="V16" i="3"/>
  <c r="V4" i="3"/>
  <c r="V13" i="3"/>
  <c r="V21" i="3"/>
  <c r="V29" i="3"/>
  <c r="V37" i="3"/>
  <c r="V45" i="3"/>
  <c r="V53" i="3"/>
  <c r="V61" i="3"/>
  <c r="V69" i="3"/>
  <c r="V77" i="3"/>
  <c r="V87" i="3"/>
  <c r="V98" i="3"/>
  <c r="V56" i="3"/>
  <c r="V6" i="3"/>
  <c r="V14" i="3"/>
  <c r="V22" i="3"/>
  <c r="V30" i="3"/>
  <c r="V38" i="3"/>
  <c r="V46" i="3"/>
  <c r="V54" i="3"/>
  <c r="V62" i="3"/>
  <c r="V70" i="3"/>
  <c r="V78" i="3"/>
  <c r="V88" i="3"/>
  <c r="V99" i="3"/>
  <c r="V48" i="3"/>
  <c r="V7" i="3"/>
  <c r="V15" i="3"/>
  <c r="V23" i="3"/>
  <c r="V31" i="3"/>
  <c r="V39" i="3"/>
  <c r="V47" i="3"/>
  <c r="V55" i="3"/>
  <c r="V63" i="3"/>
  <c r="V71" i="3"/>
  <c r="V79" i="3"/>
  <c r="V89" i="3"/>
  <c r="V24" i="3"/>
  <c r="V64" i="3"/>
  <c r="V9" i="3"/>
  <c r="V17" i="3"/>
  <c r="V33" i="3"/>
  <c r="V41" i="3"/>
  <c r="V49" i="3"/>
  <c r="V57" i="3"/>
  <c r="V65" i="3"/>
  <c r="V73" i="3"/>
  <c r="V82" i="3"/>
  <c r="V93" i="3"/>
  <c r="V40" i="3"/>
  <c r="E202" i="8"/>
  <c r="B202" i="8"/>
  <c r="A202" i="8"/>
  <c r="E201" i="8"/>
  <c r="B201" i="8"/>
  <c r="A201" i="8"/>
  <c r="E200" i="8"/>
  <c r="B200" i="8"/>
  <c r="A200" i="8"/>
  <c r="E199" i="8"/>
  <c r="B199" i="8"/>
  <c r="A199" i="8"/>
  <c r="E198" i="8"/>
  <c r="B198" i="8"/>
  <c r="A198" i="8"/>
  <c r="E197" i="8"/>
  <c r="B197" i="8"/>
  <c r="A197" i="8"/>
  <c r="E196" i="8"/>
  <c r="B196" i="8"/>
  <c r="A196" i="8"/>
  <c r="E195" i="8"/>
  <c r="B195" i="8"/>
  <c r="A195" i="8"/>
  <c r="E194" i="8"/>
  <c r="B194" i="8"/>
  <c r="A194" i="8"/>
  <c r="E193" i="8"/>
  <c r="B193" i="8"/>
  <c r="A193" i="8"/>
  <c r="E192" i="8"/>
  <c r="B192" i="8"/>
  <c r="A192" i="8"/>
  <c r="E191" i="8"/>
  <c r="B191" i="8"/>
  <c r="A191" i="8"/>
  <c r="E190" i="8"/>
  <c r="B190" i="8"/>
  <c r="A190" i="8"/>
  <c r="E189" i="8"/>
  <c r="B189" i="8"/>
  <c r="A189" i="8"/>
  <c r="U85" i="3" l="1"/>
  <c r="U81" i="3"/>
  <c r="U80" i="3"/>
  <c r="U90" i="3"/>
  <c r="U91" i="3"/>
  <c r="U84" i="3"/>
  <c r="U25" i="3"/>
  <c r="U5" i="3"/>
  <c r="U7" i="3"/>
  <c r="U15" i="3"/>
  <c r="U23" i="3"/>
  <c r="U31" i="3"/>
  <c r="U39" i="3"/>
  <c r="U47" i="3"/>
  <c r="U55" i="3"/>
  <c r="U63" i="3"/>
  <c r="U71" i="3"/>
  <c r="U79" i="3"/>
  <c r="U89" i="3"/>
  <c r="U8" i="3"/>
  <c r="U16" i="3"/>
  <c r="U24" i="3"/>
  <c r="U32" i="3"/>
  <c r="U40" i="3"/>
  <c r="U48" i="3"/>
  <c r="U56" i="3"/>
  <c r="U92" i="3"/>
  <c r="U9" i="3"/>
  <c r="U17" i="3"/>
  <c r="U33" i="3"/>
  <c r="U41" i="3"/>
  <c r="U49" i="3"/>
  <c r="U57" i="3"/>
  <c r="U65" i="3"/>
  <c r="U73" i="3"/>
  <c r="U82" i="3"/>
  <c r="U93" i="3"/>
  <c r="U22" i="3"/>
  <c r="U54" i="3"/>
  <c r="U72" i="3"/>
  <c r="U10" i="3"/>
  <c r="U18" i="3"/>
  <c r="U26" i="3"/>
  <c r="U34" i="3"/>
  <c r="U42" i="3"/>
  <c r="U50" i="3"/>
  <c r="U58" i="3"/>
  <c r="U66" i="3"/>
  <c r="U74" i="3"/>
  <c r="U83" i="3"/>
  <c r="U94" i="3"/>
  <c r="U6" i="3"/>
  <c r="U46" i="3"/>
  <c r="U99" i="3"/>
  <c r="U11" i="3"/>
  <c r="U19" i="3"/>
  <c r="U27" i="3"/>
  <c r="U35" i="3"/>
  <c r="U43" i="3"/>
  <c r="U51" i="3"/>
  <c r="U59" i="3"/>
  <c r="U67" i="3"/>
  <c r="U75" i="3"/>
  <c r="U86" i="3"/>
  <c r="U95" i="3"/>
  <c r="U14" i="3"/>
  <c r="U62" i="3"/>
  <c r="U88" i="3"/>
  <c r="U64" i="3"/>
  <c r="U3" i="3"/>
  <c r="U12" i="3"/>
  <c r="U20" i="3"/>
  <c r="U28" i="3"/>
  <c r="U36" i="3"/>
  <c r="U44" i="3"/>
  <c r="U52" i="3"/>
  <c r="U60" i="3"/>
  <c r="U68" i="3"/>
  <c r="U76" i="3"/>
  <c r="U96" i="3"/>
  <c r="U97" i="3"/>
  <c r="U38" i="3"/>
  <c r="U78" i="3"/>
  <c r="U4" i="3"/>
  <c r="U13" i="3"/>
  <c r="U21" i="3"/>
  <c r="U29" i="3"/>
  <c r="U37" i="3"/>
  <c r="U45" i="3"/>
  <c r="U53" i="3"/>
  <c r="U61" i="3"/>
  <c r="U69" i="3"/>
  <c r="U77" i="3"/>
  <c r="U87" i="3"/>
  <c r="U98" i="3"/>
  <c r="U30" i="3"/>
  <c r="U70" i="3"/>
  <c r="E148" i="8" l="1"/>
  <c r="B148" i="8"/>
  <c r="A148" i="8"/>
  <c r="E147" i="8"/>
  <c r="B147" i="8"/>
  <c r="A147" i="8"/>
  <c r="E146" i="8"/>
  <c r="B146" i="8"/>
  <c r="A146" i="8"/>
  <c r="E145" i="8"/>
  <c r="B145" i="8"/>
  <c r="A145" i="8"/>
  <c r="E142" i="8"/>
  <c r="B142" i="8"/>
  <c r="A142" i="8"/>
  <c r="E141" i="8"/>
  <c r="B141" i="8"/>
  <c r="A141" i="8"/>
  <c r="E140" i="8"/>
  <c r="B140" i="8"/>
  <c r="A140" i="8"/>
  <c r="E139" i="8"/>
  <c r="B139" i="8"/>
  <c r="A139" i="8"/>
  <c r="AC85" i="3" l="1"/>
  <c r="AB85" i="3"/>
  <c r="AB81" i="3"/>
  <c r="AB80" i="3"/>
  <c r="AB90" i="3"/>
  <c r="AB91" i="3"/>
  <c r="AB84" i="3"/>
  <c r="AC81" i="3"/>
  <c r="AC80" i="3"/>
  <c r="AC90" i="3"/>
  <c r="AC91" i="3"/>
  <c r="AC84" i="3"/>
  <c r="AB25" i="3"/>
  <c r="AC25" i="3"/>
  <c r="AB5" i="3"/>
  <c r="AB3" i="3"/>
  <c r="AB4" i="3"/>
  <c r="AB6" i="3"/>
  <c r="AB7"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2" i="3"/>
  <c r="AB83" i="3"/>
  <c r="AB86" i="3"/>
  <c r="AB96" i="3"/>
  <c r="AB87" i="3"/>
  <c r="AB88" i="3"/>
  <c r="AB89" i="3"/>
  <c r="AB92" i="3"/>
  <c r="AB93" i="3"/>
  <c r="AB94" i="3"/>
  <c r="AB95" i="3"/>
  <c r="AB97" i="3"/>
  <c r="AB98" i="3"/>
  <c r="AB99" i="3"/>
  <c r="AC5" i="3"/>
  <c r="AC3" i="3"/>
  <c r="AC4" i="3"/>
  <c r="AC6" i="3"/>
  <c r="AC7" i="3"/>
  <c r="AC8" i="3"/>
  <c r="AC9" i="3"/>
  <c r="AC10" i="3"/>
  <c r="AC11" i="3"/>
  <c r="AC12" i="3"/>
  <c r="AC13" i="3"/>
  <c r="AC14" i="3"/>
  <c r="AC15" i="3"/>
  <c r="AC16" i="3"/>
  <c r="AC17" i="3"/>
  <c r="AC18" i="3"/>
  <c r="AC19" i="3"/>
  <c r="AC20" i="3"/>
  <c r="AC21" i="3"/>
  <c r="AC22" i="3"/>
  <c r="AC23" i="3"/>
  <c r="AC24"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2" i="3"/>
  <c r="AC83" i="3"/>
  <c r="AC86" i="3"/>
  <c r="AC96" i="3"/>
  <c r="AC87" i="3"/>
  <c r="AC88" i="3"/>
  <c r="AC89" i="3"/>
  <c r="AC92" i="3"/>
  <c r="AC93" i="3"/>
  <c r="AC94" i="3"/>
  <c r="AC95" i="3"/>
  <c r="AC97" i="3"/>
  <c r="AC98" i="3"/>
  <c r="AC99" i="3"/>
  <c r="E136" i="8"/>
  <c r="B136" i="8"/>
  <c r="A136" i="8"/>
  <c r="E135" i="8"/>
  <c r="B135" i="8"/>
  <c r="A135" i="8"/>
  <c r="E134" i="8"/>
  <c r="B134" i="8"/>
  <c r="A134" i="8"/>
  <c r="E133" i="8"/>
  <c r="B133" i="8"/>
  <c r="A133" i="8"/>
  <c r="AA85" i="3" l="1"/>
  <c r="AA81" i="3"/>
  <c r="AA80" i="3"/>
  <c r="AA90" i="3"/>
  <c r="AA91" i="3"/>
  <c r="AA84" i="3"/>
  <c r="AA25" i="3"/>
  <c r="AA5" i="3"/>
  <c r="AA3" i="3"/>
  <c r="AA4" i="3"/>
  <c r="AA6" i="3"/>
  <c r="AA7" i="3"/>
  <c r="AA8" i="3"/>
  <c r="AA9" i="3"/>
  <c r="AA10" i="3"/>
  <c r="AA11" i="3"/>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2" i="3"/>
  <c r="AA83" i="3"/>
  <c r="AA86" i="3"/>
  <c r="AA96" i="3"/>
  <c r="AA87" i="3"/>
  <c r="AA88" i="3"/>
  <c r="AA89" i="3"/>
  <c r="AA92" i="3"/>
  <c r="AA93" i="3"/>
  <c r="AA94" i="3"/>
  <c r="AA95" i="3"/>
  <c r="AA97" i="3"/>
  <c r="AA98" i="3"/>
  <c r="AA99"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Z85" i="3" l="1"/>
  <c r="Z81" i="3"/>
  <c r="Z80" i="3"/>
  <c r="Z90" i="3"/>
  <c r="Z91" i="3"/>
  <c r="Z84" i="3"/>
  <c r="Z25" i="3"/>
  <c r="Z5" i="3"/>
  <c r="Z61" i="3"/>
  <c r="Z62" i="3"/>
  <c r="Z65" i="3"/>
  <c r="Z3" i="3"/>
  <c r="Z12" i="3"/>
  <c r="Z20" i="3"/>
  <c r="Z28" i="3"/>
  <c r="Z36" i="3"/>
  <c r="Z44" i="3"/>
  <c r="Z52" i="3"/>
  <c r="Z60" i="3"/>
  <c r="Z68" i="3"/>
  <c r="Z76" i="3"/>
  <c r="Z96" i="3"/>
  <c r="Z97" i="3"/>
  <c r="Z14" i="3"/>
  <c r="Z30" i="3"/>
  <c r="Z46" i="3"/>
  <c r="Z70" i="3"/>
  <c r="Z88" i="3"/>
  <c r="Z58" i="3"/>
  <c r="Z11" i="3"/>
  <c r="Z51" i="3"/>
  <c r="Z86" i="3"/>
  <c r="Z4" i="3"/>
  <c r="Z13" i="3"/>
  <c r="Z21" i="3"/>
  <c r="Z29" i="3"/>
  <c r="Z37" i="3"/>
  <c r="Z45" i="3"/>
  <c r="Z53" i="3"/>
  <c r="Z69" i="3"/>
  <c r="Z77" i="3"/>
  <c r="Z87" i="3"/>
  <c r="Z98" i="3"/>
  <c r="Z22" i="3"/>
  <c r="Z38" i="3"/>
  <c r="Z99" i="3"/>
  <c r="Z26" i="3"/>
  <c r="Z27" i="3"/>
  <c r="Z59" i="3"/>
  <c r="Z6" i="3"/>
  <c r="Z54" i="3"/>
  <c r="Z78" i="3"/>
  <c r="Z34" i="3"/>
  <c r="Z94" i="3"/>
  <c r="Z7" i="3"/>
  <c r="Z15" i="3"/>
  <c r="Z23" i="3"/>
  <c r="Z31" i="3"/>
  <c r="Z39" i="3"/>
  <c r="Z47" i="3"/>
  <c r="Z55" i="3"/>
  <c r="Z63" i="3"/>
  <c r="Z71" i="3"/>
  <c r="Z79" i="3"/>
  <c r="Z89" i="3"/>
  <c r="Z8" i="3"/>
  <c r="Z16" i="3"/>
  <c r="Z32" i="3"/>
  <c r="Z40" i="3"/>
  <c r="Z48" i="3"/>
  <c r="Z56" i="3"/>
  <c r="Z72" i="3"/>
  <c r="Z92" i="3"/>
  <c r="Z50" i="3"/>
  <c r="Z35" i="3"/>
  <c r="Z67" i="3"/>
  <c r="Z24" i="3"/>
  <c r="Z64" i="3"/>
  <c r="Z42" i="3"/>
  <c r="Z83" i="3"/>
  <c r="Z19" i="3"/>
  <c r="Z43" i="3"/>
  <c r="Z75" i="3"/>
  <c r="Z9" i="3"/>
  <c r="Z17" i="3"/>
  <c r="Z33" i="3"/>
  <c r="Z41" i="3"/>
  <c r="Z49" i="3"/>
  <c r="Z57" i="3"/>
  <c r="Z73" i="3"/>
  <c r="Z82" i="3"/>
  <c r="Z93" i="3"/>
  <c r="Z10" i="3"/>
  <c r="Z18" i="3"/>
  <c r="Z66" i="3"/>
  <c r="Z74" i="3"/>
  <c r="Z95" i="3"/>
  <c r="E111" i="8" l="1"/>
  <c r="B111" i="8"/>
  <c r="A111" i="8"/>
  <c r="E110" i="8"/>
  <c r="B110" i="8"/>
  <c r="A110" i="8"/>
  <c r="E109" i="8"/>
  <c r="B109" i="8"/>
  <c r="A109" i="8"/>
  <c r="E108" i="8"/>
  <c r="B108" i="8"/>
  <c r="A108" i="8"/>
  <c r="E107" i="8"/>
  <c r="B107" i="8"/>
  <c r="A107" i="8"/>
  <c r="E106" i="8"/>
  <c r="B106" i="8"/>
  <c r="A106" i="8"/>
  <c r="Q85" i="3" l="1"/>
  <c r="Q81" i="3"/>
  <c r="Q80" i="3"/>
  <c r="Q90" i="3"/>
  <c r="Q91" i="3"/>
  <c r="Q84" i="3"/>
  <c r="Q25" i="3"/>
  <c r="Q5" i="3"/>
  <c r="Q3" i="3"/>
  <c r="Q4" i="3"/>
  <c r="Q6" i="3"/>
  <c r="Q7" i="3"/>
  <c r="Q8" i="3"/>
  <c r="Q9" i="3"/>
  <c r="Q10" i="3"/>
  <c r="Q11" i="3"/>
  <c r="Q12" i="3"/>
  <c r="Q13" i="3"/>
  <c r="Q14" i="3"/>
  <c r="Q15" i="3"/>
  <c r="Q16" i="3"/>
  <c r="Q17" i="3"/>
  <c r="Q18" i="3"/>
  <c r="Q19" i="3"/>
  <c r="Q20" i="3"/>
  <c r="Q21" i="3"/>
  <c r="Q22" i="3"/>
  <c r="Q23" i="3"/>
  <c r="Q24"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2" i="3"/>
  <c r="Q83" i="3"/>
  <c r="Q86" i="3"/>
  <c r="Q96" i="3"/>
  <c r="Q87" i="3"/>
  <c r="Q88" i="3"/>
  <c r="Q89" i="3"/>
  <c r="Q92" i="3"/>
  <c r="Q93" i="3"/>
  <c r="Q94" i="3"/>
  <c r="Q95" i="3"/>
  <c r="Q97" i="3"/>
  <c r="Q98" i="3"/>
  <c r="Q99" i="3"/>
  <c r="E103" i="8"/>
  <c r="B103" i="8"/>
  <c r="A103" i="8"/>
  <c r="E102" i="8"/>
  <c r="B102" i="8"/>
  <c r="A102" i="8"/>
  <c r="E101" i="8"/>
  <c r="B101" i="8"/>
  <c r="A101" i="8"/>
  <c r="E100" i="8"/>
  <c r="B100" i="8"/>
  <c r="A100" i="8"/>
  <c r="E99" i="8"/>
  <c r="B99" i="8"/>
  <c r="A99" i="8"/>
  <c r="E98" i="8"/>
  <c r="B98" i="8"/>
  <c r="A98" i="8"/>
  <c r="P85" i="3" l="1"/>
  <c r="P81" i="3"/>
  <c r="P80" i="3"/>
  <c r="P90" i="3"/>
  <c r="P91" i="3"/>
  <c r="P84" i="3"/>
  <c r="P25" i="3"/>
  <c r="P5" i="3"/>
  <c r="P3" i="3"/>
  <c r="P4" i="3"/>
  <c r="P6" i="3"/>
  <c r="P7" i="3"/>
  <c r="P8" i="3"/>
  <c r="P9" i="3"/>
  <c r="P10" i="3"/>
  <c r="P11" i="3"/>
  <c r="P12" i="3"/>
  <c r="P13" i="3"/>
  <c r="P14" i="3"/>
  <c r="P15" i="3"/>
  <c r="P16" i="3"/>
  <c r="P17" i="3"/>
  <c r="P18" i="3"/>
  <c r="P19" i="3"/>
  <c r="P20" i="3"/>
  <c r="P21" i="3"/>
  <c r="P22" i="3"/>
  <c r="P23" i="3"/>
  <c r="P24"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2" i="3"/>
  <c r="P83" i="3"/>
  <c r="P86" i="3"/>
  <c r="P96" i="3"/>
  <c r="P87" i="3"/>
  <c r="P88" i="3"/>
  <c r="P89" i="3"/>
  <c r="P92" i="3"/>
  <c r="P93" i="3"/>
  <c r="P94" i="3"/>
  <c r="P95" i="3"/>
  <c r="P97" i="3"/>
  <c r="P98" i="3"/>
  <c r="P99"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5" i="3" l="1"/>
  <c r="R81" i="3"/>
  <c r="R80" i="3"/>
  <c r="R90" i="3"/>
  <c r="R91" i="3"/>
  <c r="R84" i="3"/>
  <c r="R25" i="3"/>
  <c r="R5" i="3"/>
  <c r="R3" i="3"/>
  <c r="R4" i="3"/>
  <c r="R6" i="3"/>
  <c r="R7" i="3"/>
  <c r="R8" i="3"/>
  <c r="R9" i="3"/>
  <c r="R10" i="3"/>
  <c r="R11" i="3"/>
  <c r="R12" i="3"/>
  <c r="R13" i="3"/>
  <c r="R14" i="3"/>
  <c r="R15" i="3"/>
  <c r="R16" i="3"/>
  <c r="R17" i="3"/>
  <c r="R18" i="3"/>
  <c r="R19" i="3"/>
  <c r="R20" i="3"/>
  <c r="R21" i="3"/>
  <c r="R22" i="3"/>
  <c r="R23" i="3"/>
  <c r="R24"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2" i="3"/>
  <c r="R83" i="3"/>
  <c r="R86" i="3"/>
  <c r="R96" i="3"/>
  <c r="R87" i="3"/>
  <c r="R88" i="3"/>
  <c r="R89" i="3"/>
  <c r="R92" i="3"/>
  <c r="R93" i="3"/>
  <c r="R94" i="3"/>
  <c r="R95" i="3"/>
  <c r="R97" i="3"/>
  <c r="R98" i="3"/>
  <c r="R99" i="3"/>
  <c r="L8" i="10"/>
  <c r="A44" i="10" s="1"/>
  <c r="L7" i="10"/>
  <c r="A42" i="10" s="1"/>
  <c r="G6" i="10"/>
  <c r="G5" i="10"/>
  <c r="L6" i="5"/>
  <c r="G6" i="5"/>
  <c r="G5" i="5"/>
  <c r="A43" i="10" l="1"/>
  <c r="B43" i="10" s="1"/>
  <c r="G42" i="10"/>
  <c r="F42" i="10"/>
  <c r="H42" i="10"/>
  <c r="A39" i="10"/>
  <c r="A38" i="10"/>
  <c r="I38" i="10" s="1"/>
  <c r="A40" i="10"/>
  <c r="I42" i="10"/>
  <c r="B42" i="10"/>
  <c r="J42" i="10"/>
  <c r="C42" i="10"/>
  <c r="K42" i="10"/>
  <c r="D42" i="10"/>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L6" i="10" l="1"/>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E32" i="5" l="1"/>
  <c r="E26"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5" i="3" l="1"/>
  <c r="O81" i="3"/>
  <c r="O80" i="3"/>
  <c r="O90" i="3"/>
  <c r="O91" i="3"/>
  <c r="O84" i="3"/>
  <c r="O25" i="3"/>
  <c r="O5" i="3"/>
  <c r="O62" i="3"/>
  <c r="O83" i="3"/>
  <c r="O59" i="3"/>
  <c r="O82" i="3"/>
  <c r="O60" i="3"/>
  <c r="O63" i="3"/>
  <c r="O64" i="3"/>
  <c r="O54" i="3"/>
  <c r="O52" i="3"/>
  <c r="O55" i="3"/>
  <c r="O6" i="3"/>
  <c r="O53" i="3"/>
  <c r="O56" i="3"/>
  <c r="O61" i="3"/>
  <c r="O65" i="3"/>
  <c r="O96" i="3"/>
  <c r="O66" i="3"/>
  <c r="O67" i="3"/>
  <c r="O68" i="3"/>
  <c r="O69" i="3"/>
  <c r="O70" i="3"/>
  <c r="O71" i="3"/>
  <c r="O72" i="3"/>
  <c r="O87" i="3"/>
  <c r="O88" i="3"/>
  <c r="O89" i="3"/>
  <c r="O86" i="3"/>
  <c r="O17" i="3"/>
  <c r="O18" i="3"/>
  <c r="O19" i="3"/>
  <c r="O20" i="3"/>
  <c r="O79" i="3"/>
  <c r="O98" i="3"/>
  <c r="O99" i="3"/>
  <c r="O97" i="3"/>
  <c r="O77" i="3"/>
  <c r="O78" i="3"/>
  <c r="O10" i="3"/>
  <c r="O13" i="3"/>
  <c r="O24" i="3"/>
  <c r="O30" i="3"/>
  <c r="O34" i="3"/>
  <c r="O43" i="3"/>
  <c r="O50" i="3"/>
  <c r="O23" i="3"/>
  <c r="O14" i="3"/>
  <c r="O12" i="3"/>
  <c r="O75" i="3"/>
  <c r="O31" i="3"/>
  <c r="O35" i="3"/>
  <c r="O44" i="3"/>
  <c r="O74" i="3"/>
  <c r="O9" i="3"/>
  <c r="O33" i="3"/>
  <c r="O92" i="3"/>
  <c r="O11" i="3"/>
  <c r="O15" i="3"/>
  <c r="O27" i="3"/>
  <c r="O32" i="3"/>
  <c r="O36" i="3"/>
  <c r="O45" i="3"/>
  <c r="O7" i="3"/>
  <c r="O93" i="3"/>
  <c r="O49" i="3"/>
  <c r="O16" i="3"/>
  <c r="O42" i="3"/>
  <c r="O37" i="3"/>
  <c r="O46" i="3"/>
  <c r="O22" i="3"/>
  <c r="O29" i="3"/>
  <c r="O94" i="3"/>
  <c r="O48" i="3"/>
  <c r="O51" i="3"/>
  <c r="O26" i="3"/>
  <c r="O76" i="3"/>
  <c r="O38" i="3"/>
  <c r="O58" i="3"/>
  <c r="O8" i="3"/>
  <c r="O40" i="3"/>
  <c r="O57" i="3"/>
  <c r="O73" i="3"/>
  <c r="O21" i="3"/>
  <c r="O28" i="3"/>
  <c r="O47" i="3"/>
  <c r="O39" i="3"/>
  <c r="O95" i="3"/>
  <c r="O41" i="3"/>
  <c r="O4" i="3"/>
  <c r="O3"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5" i="3" l="1"/>
  <c r="L85" i="3"/>
  <c r="M85" i="3"/>
  <c r="L25" i="3"/>
  <c r="L81" i="3"/>
  <c r="L80" i="3"/>
  <c r="L90" i="3"/>
  <c r="L91" i="3"/>
  <c r="L84" i="3"/>
  <c r="M81" i="3"/>
  <c r="M80" i="3"/>
  <c r="M90" i="3"/>
  <c r="M91" i="3"/>
  <c r="M84" i="3"/>
  <c r="N81" i="3"/>
  <c r="N80" i="3"/>
  <c r="N84" i="3"/>
  <c r="N91" i="3"/>
  <c r="N90" i="3"/>
  <c r="N25" i="3"/>
  <c r="M25" i="3"/>
  <c r="L5" i="3"/>
  <c r="L62" i="3"/>
  <c r="L83" i="3"/>
  <c r="L59" i="3"/>
  <c r="L82" i="3"/>
  <c r="L60" i="3"/>
  <c r="L63" i="3"/>
  <c r="L64" i="3"/>
  <c r="L54" i="3"/>
  <c r="L52" i="3"/>
  <c r="L55" i="3"/>
  <c r="L6" i="3"/>
  <c r="L53" i="3"/>
  <c r="L56" i="3"/>
  <c r="L61" i="3"/>
  <c r="L65" i="3"/>
  <c r="L96" i="3"/>
  <c r="L66" i="3"/>
  <c r="L67" i="3"/>
  <c r="L68" i="3"/>
  <c r="L69" i="3"/>
  <c r="L70" i="3"/>
  <c r="L71" i="3"/>
  <c r="L72" i="3"/>
  <c r="L87" i="3"/>
  <c r="L88" i="3"/>
  <c r="L89" i="3"/>
  <c r="L86" i="3"/>
  <c r="L17" i="3"/>
  <c r="L18" i="3"/>
  <c r="L19" i="3"/>
  <c r="L20" i="3"/>
  <c r="M5" i="3"/>
  <c r="M62" i="3"/>
  <c r="M83" i="3"/>
  <c r="M59" i="3"/>
  <c r="M82" i="3"/>
  <c r="M60" i="3"/>
  <c r="M63" i="3"/>
  <c r="M64" i="3"/>
  <c r="M54" i="3"/>
  <c r="M52" i="3"/>
  <c r="M55" i="3"/>
  <c r="M6" i="3"/>
  <c r="M53" i="3"/>
  <c r="M56" i="3"/>
  <c r="M61" i="3"/>
  <c r="M65" i="3"/>
  <c r="M96" i="3"/>
  <c r="M66" i="3"/>
  <c r="M67" i="3"/>
  <c r="M68" i="3"/>
  <c r="M69" i="3"/>
  <c r="M70" i="3"/>
  <c r="M71" i="3"/>
  <c r="M72" i="3"/>
  <c r="M87" i="3"/>
  <c r="M88" i="3"/>
  <c r="M89" i="3"/>
  <c r="M86" i="3"/>
  <c r="M17" i="3"/>
  <c r="M18" i="3"/>
  <c r="M19" i="3"/>
  <c r="M20" i="3"/>
  <c r="N5" i="3"/>
  <c r="N62" i="3"/>
  <c r="N83" i="3"/>
  <c r="N59" i="3"/>
  <c r="N82" i="3"/>
  <c r="N60" i="3"/>
  <c r="N63" i="3"/>
  <c r="N64" i="3"/>
  <c r="N54" i="3"/>
  <c r="N52" i="3"/>
  <c r="N55" i="3"/>
  <c r="N6" i="3"/>
  <c r="N53" i="3"/>
  <c r="N56" i="3"/>
  <c r="N61" i="3"/>
  <c r="N65" i="3"/>
  <c r="N96" i="3"/>
  <c r="N66" i="3"/>
  <c r="N67" i="3"/>
  <c r="N68" i="3"/>
  <c r="N69" i="3"/>
  <c r="N70" i="3"/>
  <c r="N71" i="3"/>
  <c r="N72" i="3"/>
  <c r="N87" i="3"/>
  <c r="N88" i="3"/>
  <c r="N89" i="3"/>
  <c r="N86" i="3"/>
  <c r="N17" i="3"/>
  <c r="N18" i="3"/>
  <c r="N19" i="3"/>
  <c r="N20" i="3"/>
  <c r="N79" i="3"/>
  <c r="N98" i="3"/>
  <c r="N78" i="3"/>
  <c r="N97" i="3"/>
  <c r="N77" i="3"/>
  <c r="N99" i="3"/>
  <c r="N93" i="3"/>
  <c r="N49" i="3"/>
  <c r="N16" i="3"/>
  <c r="N42" i="3"/>
  <c r="N37" i="3"/>
  <c r="N46" i="3"/>
  <c r="N44" i="3"/>
  <c r="N11" i="3"/>
  <c r="N36" i="3"/>
  <c r="N94" i="3"/>
  <c r="N48" i="3"/>
  <c r="N51" i="3"/>
  <c r="N26" i="3"/>
  <c r="N76" i="3"/>
  <c r="N38" i="3"/>
  <c r="N58" i="3"/>
  <c r="N75" i="3"/>
  <c r="N32" i="3"/>
  <c r="N57" i="3"/>
  <c r="N73" i="3"/>
  <c r="N21" i="3"/>
  <c r="N28" i="3"/>
  <c r="N47" i="3"/>
  <c r="N39" i="3"/>
  <c r="N8" i="3"/>
  <c r="N74" i="3"/>
  <c r="N22" i="3"/>
  <c r="N50" i="3"/>
  <c r="N95" i="3"/>
  <c r="N40" i="3"/>
  <c r="N14" i="3"/>
  <c r="N35" i="3"/>
  <c r="N15" i="3"/>
  <c r="N9" i="3"/>
  <c r="N7" i="3"/>
  <c r="N23" i="3"/>
  <c r="N29" i="3"/>
  <c r="N33" i="3"/>
  <c r="N41" i="3"/>
  <c r="N12" i="3"/>
  <c r="N10" i="3"/>
  <c r="N13" i="3"/>
  <c r="N24" i="3"/>
  <c r="N30" i="3"/>
  <c r="N34" i="3"/>
  <c r="N43" i="3"/>
  <c r="N31" i="3"/>
  <c r="N92" i="3"/>
  <c r="N27" i="3"/>
  <c r="N45" i="3"/>
  <c r="L97" i="3"/>
  <c r="L78" i="3"/>
  <c r="L79" i="3"/>
  <c r="L98" i="3"/>
  <c r="L77" i="3"/>
  <c r="L99" i="3"/>
  <c r="L14" i="3"/>
  <c r="L12" i="3"/>
  <c r="L75" i="3"/>
  <c r="L31" i="3"/>
  <c r="L35" i="3"/>
  <c r="L44" i="3"/>
  <c r="L23" i="3"/>
  <c r="L24" i="3"/>
  <c r="L43" i="3"/>
  <c r="L92" i="3"/>
  <c r="L11" i="3"/>
  <c r="L15" i="3"/>
  <c r="L27" i="3"/>
  <c r="L32" i="3"/>
  <c r="L36" i="3"/>
  <c r="L45" i="3"/>
  <c r="L29" i="3"/>
  <c r="L13" i="3"/>
  <c r="L93" i="3"/>
  <c r="L49" i="3"/>
  <c r="L16" i="3"/>
  <c r="L42" i="3"/>
  <c r="L37" i="3"/>
  <c r="L46" i="3"/>
  <c r="L94" i="3"/>
  <c r="L48" i="3"/>
  <c r="L51" i="3"/>
  <c r="L26" i="3"/>
  <c r="L76" i="3"/>
  <c r="L38" i="3"/>
  <c r="L58" i="3"/>
  <c r="L10" i="3"/>
  <c r="L34" i="3"/>
  <c r="L57" i="3"/>
  <c r="L73" i="3"/>
  <c r="L21" i="3"/>
  <c r="L28" i="3"/>
  <c r="L47" i="3"/>
  <c r="L39" i="3"/>
  <c r="L7" i="3"/>
  <c r="L41" i="3"/>
  <c r="L8" i="3"/>
  <c r="L74" i="3"/>
  <c r="L22" i="3"/>
  <c r="L50" i="3"/>
  <c r="L95" i="3"/>
  <c r="L40" i="3"/>
  <c r="L9" i="3"/>
  <c r="L33" i="3"/>
  <c r="L30" i="3"/>
  <c r="M79" i="3"/>
  <c r="M98" i="3"/>
  <c r="M97" i="3"/>
  <c r="M77" i="3"/>
  <c r="M99" i="3"/>
  <c r="M78" i="3"/>
  <c r="M8" i="3"/>
  <c r="M74" i="3"/>
  <c r="M22" i="3"/>
  <c r="M50" i="3"/>
  <c r="M95" i="3"/>
  <c r="M40" i="3"/>
  <c r="M58" i="3"/>
  <c r="M28" i="3"/>
  <c r="M9" i="3"/>
  <c r="M7" i="3"/>
  <c r="M23" i="3"/>
  <c r="M29" i="3"/>
  <c r="M33" i="3"/>
  <c r="M41" i="3"/>
  <c r="M76" i="3"/>
  <c r="M57" i="3"/>
  <c r="M47" i="3"/>
  <c r="M10" i="3"/>
  <c r="M13" i="3"/>
  <c r="M24" i="3"/>
  <c r="M30" i="3"/>
  <c r="M34" i="3"/>
  <c r="M43" i="3"/>
  <c r="M21" i="3"/>
  <c r="M14" i="3"/>
  <c r="M12" i="3"/>
  <c r="M75" i="3"/>
  <c r="M31" i="3"/>
  <c r="M35" i="3"/>
  <c r="M44" i="3"/>
  <c r="M48" i="3"/>
  <c r="M39" i="3"/>
  <c r="M92" i="3"/>
  <c r="M11" i="3"/>
  <c r="M15" i="3"/>
  <c r="M27" i="3"/>
  <c r="M32" i="3"/>
  <c r="M36" i="3"/>
  <c r="M45" i="3"/>
  <c r="M26" i="3"/>
  <c r="M93" i="3"/>
  <c r="M49" i="3"/>
  <c r="M16" i="3"/>
  <c r="M42" i="3"/>
  <c r="M37" i="3"/>
  <c r="M46" i="3"/>
  <c r="M94" i="3"/>
  <c r="M51" i="3"/>
  <c r="M38" i="3"/>
  <c r="M73" i="3"/>
  <c r="L4" i="3"/>
  <c r="M4" i="3"/>
  <c r="N4" i="3"/>
  <c r="N3" i="3"/>
  <c r="L3" i="3"/>
  <c r="M3"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<sst xmlns="http://schemas.openxmlformats.org/spreadsheetml/2006/main" count="3802" uniqueCount="628">
  <si>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</si>
  <si>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</si>
  <si>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</si>
  <si>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</si>
  <si>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</si>
  <si>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</si>
  <si>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</si>
  <si>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</si>
  <si>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</si>
  <si>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</si>
  <si>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</si>
  <si>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</si>
  <si>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</si>
  <si>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</si>
  <si>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</si>
  <si>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</si>
  <si>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</si>
  <si>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</si>
  <si>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</si>
  <si>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2025 Availabilities</t>
  </si>
  <si>
    <t>Year 1</t>
  </si>
  <si>
    <t>OUA Code</t>
  </si>
  <si>
    <t>Study Period</t>
  </si>
  <si>
    <t>Pre Requisite(s)</t>
  </si>
  <si>
    <t>CP</t>
  </si>
  <si>
    <t>SP1</t>
  </si>
  <si>
    <t>SP2</t>
  </si>
  <si>
    <t>SP3</t>
  </si>
  <si>
    <t>SP4</t>
  </si>
  <si>
    <t>Notes / 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</si>
  <si>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</si>
  <si>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</si>
  <si>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</si>
  <si>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</si>
  <si>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</si>
  <si>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</si>
  <si>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</si>
  <si>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</si>
  <si>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</si>
  <si>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</si>
  <si>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</si>
  <si>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Specified Electives</t>
  </si>
  <si>
    <t>Master of Arts (Applied Linguistics) (OpenUnis)</t>
  </si>
  <si>
    <t>Graduate Certificate in Teaching English to Speakers of Other Languages (TESOL) (OpenUnis)</t>
  </si>
  <si>
    <t>Alternate Core Subjects</t>
  </si>
  <si>
    <t>Graduate Certificate in Education (OpenUnis)</t>
  </si>
  <si>
    <t>Specified Elective Subjects</t>
  </si>
  <si>
    <t>Graduate Certificate in Higher Education Innovative Learning and Teaching (OpenUnis)</t>
  </si>
  <si>
    <t>Progress</t>
  </si>
  <si>
    <t>Postgraduate Teaching</t>
  </si>
  <si>
    <t>TableCourses</t>
  </si>
  <si>
    <t>ECE</t>
  </si>
  <si>
    <t>Primary</t>
  </si>
  <si>
    <t>Choose your Course</t>
  </si>
  <si>
    <t>SM Version</t>
  </si>
  <si>
    <t>SM Effective Date</t>
  </si>
  <si>
    <t>Akari Iteration</t>
  </si>
  <si>
    <t>Akari Effective Date</t>
  </si>
  <si>
    <t>Credit Points</t>
  </si>
  <si>
    <t>SM Availabilities</t>
  </si>
  <si>
    <t>RangeUnitsetsECEPR</t>
  </si>
  <si>
    <t>OUMP-TCHECSP1</t>
  </si>
  <si>
    <t>OUMP-TCHECSP2</t>
  </si>
  <si>
    <t>OUMP-TCHECSP3</t>
  </si>
  <si>
    <t>OUMP-TCHECSP4</t>
  </si>
  <si>
    <t>OUMP-TCHPESP1</t>
  </si>
  <si>
    <t>OUMP-TCHPESP2</t>
  </si>
  <si>
    <t>OUMP-TCHPESP3</t>
  </si>
  <si>
    <t>OUMP-TCHPESP4</t>
  </si>
  <si>
    <t>Graduate Certificate in Education (OpenUnis CSP)</t>
  </si>
  <si>
    <t>OC-EDUCS1</t>
  </si>
  <si>
    <t>v.1</t>
  </si>
  <si>
    <t>100 credit points required</t>
  </si>
  <si>
    <t>SP1; SP2; SP3; SP4</t>
  </si>
  <si>
    <t>Y1SP1</t>
  </si>
  <si>
    <t>EDUC5012</t>
  </si>
  <si>
    <t>Y1SP2</t>
  </si>
  <si>
    <t>EDEC5017</t>
  </si>
  <si>
    <t>Y1SP3</t>
  </si>
  <si>
    <t>Y1SP4</t>
  </si>
  <si>
    <t>EDUC5013</t>
  </si>
  <si>
    <t>EDUC5032</t>
  </si>
  <si>
    <t>OC-EDUC</t>
  </si>
  <si>
    <t>EDEC5019</t>
  </si>
  <si>
    <t>EDEC5016</t>
  </si>
  <si>
    <t>EDEC5020</t>
  </si>
  <si>
    <t>EDPR5012</t>
  </si>
  <si>
    <t>EDPR5010</t>
  </si>
  <si>
    <t>Graduate Certificate in Higher Education Innovative Learning and Teaching (OpenUnis CSP)</t>
  </si>
  <si>
    <t>OC-EDHE1</t>
  </si>
  <si>
    <t>OC-EDHE</t>
  </si>
  <si>
    <t>EDEC5013</t>
  </si>
  <si>
    <t>EDPR5011</t>
  </si>
  <si>
    <t>Graduate Certificate in Teaching English to Speakers of Other Languages (TESOL) (OpenUnis CSP)</t>
  </si>
  <si>
    <t>OC-TESOL1</t>
  </si>
  <si>
    <t>EDUC5017</t>
  </si>
  <si>
    <t>EDUC5014</t>
  </si>
  <si>
    <t>OC-TESOL</t>
  </si>
  <si>
    <t>v.2</t>
  </si>
  <si>
    <t>EDEC5015</t>
  </si>
  <si>
    <t>EDPR5013</t>
  </si>
  <si>
    <t>Graduate Diploma in Education (OpenUnis)</t>
  </si>
  <si>
    <t>OG-EDUC</t>
  </si>
  <si>
    <t>200 credit points required</t>
  </si>
  <si>
    <t>SP1 only</t>
  </si>
  <si>
    <t>Graduate Diploma in Education (OpenUnis CSP)</t>
  </si>
  <si>
    <t>OG-EDUC1</t>
  </si>
  <si>
    <t>EDEC5018</t>
  </si>
  <si>
    <t>EDPR5017</t>
  </si>
  <si>
    <t>OM-APLING</t>
  </si>
  <si>
    <t>Y2SP1</t>
  </si>
  <si>
    <t>Y2SP2</t>
  </si>
  <si>
    <t>Y2SP3</t>
  </si>
  <si>
    <t>Y2SP4</t>
  </si>
  <si>
    <t>EDEC6002</t>
  </si>
  <si>
    <t>EDPR5016</t>
  </si>
  <si>
    <t>EDPR5015</t>
  </si>
  <si>
    <t>OM-EDUC</t>
  </si>
  <si>
    <t>EDEC5012</t>
  </si>
  <si>
    <t>EDEC6004</t>
  </si>
  <si>
    <t>EDUC6063</t>
  </si>
  <si>
    <t>EDPR6001</t>
  </si>
  <si>
    <t>EDUC6067</t>
  </si>
  <si>
    <t>OM-TEACH1</t>
  </si>
  <si>
    <t>400 credit points required</t>
  </si>
  <si>
    <t>TableMajorsMTeach</t>
  </si>
  <si>
    <t>Choose your Major</t>
  </si>
  <si>
    <t>OUMP-TCHEC</t>
  </si>
  <si>
    <t>OUMP-TCHPE</t>
  </si>
  <si>
    <t>EDUC6065</t>
  </si>
  <si>
    <t>---</t>
  </si>
  <si>
    <t>Secondary Education Major (MTeach OpenUnis)</t>
  </si>
  <si>
    <t>OUMP-TCHSE</t>
  </si>
  <si>
    <t>v.3</t>
  </si>
  <si>
    <t>Y3SP1</t>
  </si>
  <si>
    <t>--</t>
  </si>
  <si>
    <t>Y3SP2</t>
  </si>
  <si>
    <t>Y3SP3</t>
  </si>
  <si>
    <t>Y3SP4</t>
  </si>
  <si>
    <t>TableMajorsGradDip</t>
  </si>
  <si>
    <t>Primary Education Major (GradDipEdu OpenUnis)</t>
  </si>
  <si>
    <t>OUMP-EDUPR</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</si>
  <si>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</si>
  <si>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</si>
  <si>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</si>
  <si>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</si>
  <si>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</si>
  <si>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</si>
  <si>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</si>
  <si>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</si>
  <si>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</si>
  <si>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</si>
  <si>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</si>
  <si>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</si>
  <si>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</si>
  <si>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</si>
  <si>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</si>
  <si>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</si>
  <si>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</si>
  <si>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Secondary Education Major (GradDipEdu OpenUnis)</t>
  </si>
  <si>
    <t>OUMP-EDUSC</t>
  </si>
  <si>
    <t>Y1SSP1</t>
  </si>
  <si>
    <t>EDUC6034</t>
  </si>
  <si>
    <t>Y1SSP2</t>
  </si>
  <si>
    <t>EDUC6047</t>
  </si>
  <si>
    <t>Y1SSP3</t>
  </si>
  <si>
    <t>Y1SSP4</t>
  </si>
  <si>
    <t>SpecElec</t>
  </si>
  <si>
    <t>EDUC6057</t>
  </si>
  <si>
    <t>EDUC6053</t>
  </si>
  <si>
    <t>EDUC6026</t>
  </si>
  <si>
    <t>EDUC6055</t>
  </si>
  <si>
    <t>EDUC6059</t>
  </si>
  <si>
    <t>EDUC6061</t>
  </si>
  <si>
    <t>EDUC6049</t>
  </si>
  <si>
    <t>TableSpecialisationsOMEDUC</t>
  </si>
  <si>
    <t>No Specialisation - study 4 Option subjects</t>
  </si>
  <si>
    <t>OSEP-None</t>
  </si>
  <si>
    <t>EDUC6036</t>
  </si>
  <si>
    <t>LING6008</t>
  </si>
  <si>
    <t>EDUC6051</t>
  </si>
  <si>
    <t>Cultural and Linguistic Diversity Specialisation (MEd OpenUnis)</t>
  </si>
  <si>
    <t>OSEP-CULIN</t>
  </si>
  <si>
    <t>-</t>
  </si>
  <si>
    <t>Innovative Learning and Teaching Specialisation (MEd OpenUnis)</t>
  </si>
  <si>
    <t>OSEP-LNTCH</t>
  </si>
  <si>
    <t>Innovative STEM Education Specialisation (MEd OpenUnis)</t>
  </si>
  <si>
    <t>OSEP-STEME</t>
  </si>
  <si>
    <t>Option1</t>
  </si>
  <si>
    <t>TableFocusOCEDUC</t>
  </si>
  <si>
    <t>Option2</t>
  </si>
  <si>
    <t>Choose your Focus Area (drop-down list)</t>
  </si>
  <si>
    <t>Option3</t>
  </si>
  <si>
    <t>No Focus Area (customise your degree)</t>
  </si>
  <si>
    <t>FOC-None</t>
  </si>
  <si>
    <t>Option4</t>
  </si>
  <si>
    <t>Introduction to Learning and Teaching Principles</t>
  </si>
  <si>
    <t>FOC-LTP</t>
  </si>
  <si>
    <t>Option5</t>
  </si>
  <si>
    <t>Introduction to Early Childhood Education</t>
  </si>
  <si>
    <t>FOC-ECE</t>
  </si>
  <si>
    <t>Option6</t>
  </si>
  <si>
    <t>Introduction to Primary Education</t>
  </si>
  <si>
    <t>FOC-PRI</t>
  </si>
  <si>
    <t>Option7</t>
  </si>
  <si>
    <t>Option8</t>
  </si>
  <si>
    <t>Option9</t>
  </si>
  <si>
    <t>TableStudyPeriods</t>
  </si>
  <si>
    <t>START</t>
  </si>
  <si>
    <t>Next</t>
  </si>
  <si>
    <t>Next2</t>
  </si>
  <si>
    <t>Next3</t>
  </si>
  <si>
    <t>Study Period 1 (February - May)</t>
  </si>
  <si>
    <t>RangeUnitsetsTESOL</t>
  </si>
  <si>
    <t>OC-TESOLSP1</t>
  </si>
  <si>
    <t>OC-TESOLSP2</t>
  </si>
  <si>
    <t>OC-TESOLSP3</t>
  </si>
  <si>
    <t>OC-TESOLSP4</t>
  </si>
  <si>
    <t>OM-APLINGSP1</t>
  </si>
  <si>
    <t>OM-APLINGSP2</t>
  </si>
  <si>
    <t>OM-APLINGSP3</t>
  </si>
  <si>
    <t>OM-APLINGSP4</t>
  </si>
  <si>
    <t>Study Period 2 (May - August)</t>
  </si>
  <si>
    <t>EDUC5024</t>
  </si>
  <si>
    <t>EDUC5020</t>
  </si>
  <si>
    <t>EDUC6043</t>
  </si>
  <si>
    <t>EDUC6042</t>
  </si>
  <si>
    <t>Study Period 3 (August - November)</t>
  </si>
  <si>
    <t>AC-TESOL</t>
  </si>
  <si>
    <t>EDUC5026</t>
  </si>
  <si>
    <t>LING6009</t>
  </si>
  <si>
    <t>EDUC6028</t>
  </si>
  <si>
    <t>Study Period 4 (November - February)</t>
  </si>
  <si>
    <t>1)      Update high level course / component &amp; study period details (Unitsets Tab)</t>
  </si>
  <si>
    <t>2)      Update Planner page(s) to reference year of planner e.g. “2025” (Planner Tab)</t>
  </si>
  <si>
    <t>3)      Update structures (Structures Tab)</t>
  </si>
  <si>
    <t>AltCore1</t>
  </si>
  <si>
    <t>4)      Update Handbook unit list from updated structures (Handbook Tab)</t>
  </si>
  <si>
    <t>AltCore2</t>
  </si>
  <si>
    <t>EDUC5022</t>
  </si>
  <si>
    <t>5)      Update Availabilities using updated Handbook unit list (Availabilities Tab)</t>
  </si>
  <si>
    <t>AltCore3</t>
  </si>
  <si>
    <t>EDUC5029</t>
  </si>
  <si>
    <t>6)      Update Pre Requisites (Handbook Tab)</t>
  </si>
  <si>
    <t>7)      Update sequences for courses / components (Unitsets Tab)</t>
  </si>
  <si>
    <t>8)      Review Handbook Tab for obvious issues / errors and enter notes (Handbook Tab)</t>
  </si>
  <si>
    <t>RangeUnitsetsOCEDHE</t>
  </si>
  <si>
    <t>OC-EDHESP1</t>
  </si>
  <si>
    <t>OC-EDHESP2</t>
  </si>
  <si>
    <t>OC-EDHESP3</t>
  </si>
  <si>
    <t>OC-EDHESP4</t>
  </si>
  <si>
    <t>9)      Review Planner Tab(s) for obvious issues / errors (Planner Tab)</t>
  </si>
  <si>
    <t>EDHE5001</t>
  </si>
  <si>
    <t>EDHE5002</t>
  </si>
  <si>
    <t>EDHE5004</t>
  </si>
  <si>
    <t>EDHE5005</t>
  </si>
  <si>
    <t>RangeUnitsetsOCEDUC</t>
  </si>
  <si>
    <t>OC-EDUCSP1</t>
  </si>
  <si>
    <t>OC-EDUCSP2</t>
  </si>
  <si>
    <t>OC-EDUCSP3</t>
  </si>
  <si>
    <t>OC-EDUCSP4</t>
  </si>
  <si>
    <t>Options</t>
  </si>
  <si>
    <t>EDSC5040</t>
  </si>
  <si>
    <t>EDUC5034</t>
  </si>
  <si>
    <t xml:space="preserve"> </t>
  </si>
  <si>
    <t>First Teaching Area:</t>
  </si>
  <si>
    <t>The Arts</t>
  </si>
  <si>
    <t>Second Teaching Area:</t>
  </si>
  <si>
    <t>Health and Physical Education (HPE)</t>
  </si>
  <si>
    <t>Teaching Area Subjects</t>
  </si>
  <si>
    <t>2025 Full-Time (Accelerated Study) Enrolment Planner</t>
  </si>
  <si>
    <t>Teaching Area:</t>
  </si>
  <si>
    <t>Choose your Approved Teaching Area (drop-down list)</t>
  </si>
  <si>
    <t>Teaching Area subjects (study Lower before Senior)</t>
  </si>
  <si>
    <t>Master of Teaching &amp; Graduate Diploma in Education</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</si>
  <si>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</si>
  <si>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</si>
  <si>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</si>
  <si>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</si>
  <si>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</si>
  <si>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</si>
  <si>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</si>
  <si>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</si>
  <si>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</si>
  <si>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</si>
  <si>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</si>
  <si>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FTAL</t>
  </si>
  <si>
    <t>Code</t>
  </si>
  <si>
    <t>FTAArts</t>
  </si>
  <si>
    <t xml:space="preserve">English </t>
  </si>
  <si>
    <t>EDSC5039</t>
  </si>
  <si>
    <t>FTAEnglish</t>
  </si>
  <si>
    <t>FTAHPE</t>
  </si>
  <si>
    <t>Humanities and Social Sciences (HASS)</t>
  </si>
  <si>
    <t>EDSC5051</t>
  </si>
  <si>
    <t>STAL</t>
  </si>
  <si>
    <t>FTAHASS</t>
  </si>
  <si>
    <t>Mathematics</t>
  </si>
  <si>
    <t>FTAMaths</t>
  </si>
  <si>
    <t>Science</t>
  </si>
  <si>
    <t>FTAScience</t>
  </si>
  <si>
    <t>Choose your Second Approved Teaching Area (drop-down list)</t>
  </si>
  <si>
    <t>EDSC6001</t>
  </si>
  <si>
    <t>The Arts only (no second teaching area)</t>
  </si>
  <si>
    <t>FTAS</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</si>
  <si>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</si>
  <si>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</si>
  <si>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</si>
  <si>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</si>
  <si>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</si>
  <si>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</si>
  <si>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</si>
  <si>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</si>
  <si>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</si>
  <si>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</si>
  <si>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</si>
  <si>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</si>
  <si>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</si>
  <si>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</si>
  <si>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</si>
  <si>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</si>
  <si>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</si>
  <si>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</si>
  <si>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</si>
  <si>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</si>
  <si>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</si>
  <si>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</si>
  <si>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</si>
  <si>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</si>
  <si>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</si>
  <si>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</si>
  <si>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</si>
  <si>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</si>
  <si>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</si>
  <si>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</si>
  <si>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</si>
  <si>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</si>
  <si>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</si>
  <si>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</si>
  <si>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</si>
  <si>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</si>
  <si>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</si>
  <si>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</si>
  <si>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</si>
  <si>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</si>
  <si>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</si>
  <si>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</si>
  <si>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</si>
  <si>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Pre-reqs (7/10/2024)</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</si>
  <si>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</si>
  <si>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</si>
  <si>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</si>
  <si>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</si>
  <si>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</si>
  <si>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</si>
  <si>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</si>
  <si>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</si>
  <si>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</si>
  <si>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</si>
  <si>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</si>
  <si>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</si>
  <si>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</si>
  <si>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</si>
  <si>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</si>
  <si>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</si>
  <si>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</si>
  <si>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</si>
  <si>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</si>
  <si>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</si>
  <si>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</si>
  <si>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</si>
  <si>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</si>
  <si>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</si>
  <si>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</si>
  <si>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</si>
  <si>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</si>
  <si>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</si>
  <si>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</si>
  <si>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</si>
  <si>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</si>
  <si>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</si>
  <si>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</si>
  <si>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</si>
  <si>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</si>
  <si>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</si>
  <si>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</si>
  <si>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</si>
  <si>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</si>
  <si>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</si>
  <si>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</si>
  <si>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</si>
  <si>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MTP505</t>
  </si>
  <si>
    <t>Teaching Science in the Primary Years</t>
  </si>
  <si>
    <t>MTP506</t>
  </si>
  <si>
    <t>Primary Professional Experience 2: Assessment and Reporting</t>
  </si>
  <si>
    <t>MTP508</t>
  </si>
  <si>
    <t>Statistics For Educators</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</si>
  <si>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</si>
  <si>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</si>
  <si>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</si>
  <si>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</si>
  <si>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</si>
  <si>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</si>
  <si>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</si>
  <si>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</si>
  <si>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</si>
  <si>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</si>
  <si>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</si>
  <si>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</si>
  <si>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</si>
  <si>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</si>
  <si>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</si>
  <si>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</si>
  <si>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</si>
  <si>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</si>
  <si>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</si>
  <si>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</si>
  <si>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</si>
  <si>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</si>
  <si>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</si>
  <si>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</si>
  <si>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</si>
  <si>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</si>
  <si>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</si>
  <si>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</si>
  <si>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</si>
  <si>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</si>
  <si>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</si>
  <si>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</si>
  <si>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</si>
  <si>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</si>
  <si>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</si>
  <si>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</si>
  <si>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</si>
  <si>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</si>
  <si>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</si>
  <si>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</si>
  <si>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</si>
  <si>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</si>
  <si>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</si>
  <si>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</si>
  <si>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</si>
  <si>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</si>
  <si>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</si>
  <si>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</si>
  <si>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</si>
  <si>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</si>
  <si>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</si>
  <si>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</si>
  <si>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</si>
  <si>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</si>
  <si>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</si>
  <si>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</si>
  <si>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</si>
  <si>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</si>
  <si>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</si>
  <si>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</si>
  <si>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</si>
  <si>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</si>
  <si>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</si>
  <si>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</si>
  <si>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</si>
  <si>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</si>
  <si>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</si>
  <si>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</si>
  <si>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</si>
  <si>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</si>
  <si>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</si>
  <si>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</si>
  <si>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</si>
  <si>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</si>
  <si>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</si>
  <si>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</si>
  <si>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</si>
  <si>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</si>
  <si>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</si>
  <si>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</si>
  <si>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</si>
  <si>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</si>
  <si>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</si>
  <si>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</si>
  <si>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</si>
  <si>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</si>
  <si>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</si>
  <si>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</si>
  <si>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</si>
  <si>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</si>
  <si>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</si>
  <si>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</si>
  <si>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</si>
  <si>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</si>
  <si>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</si>
  <si>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</si>
  <si>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</si>
  <si>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</si>
  <si>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</si>
  <si>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</si>
  <si>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</si>
  <si>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</si>
  <si>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</si>
  <si>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subjects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</si>
  <si>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</si>
  <si>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</si>
  <si>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</si>
  <si>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</si>
  <si>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</si>
  <si>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</si>
  <si>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</si>
  <si>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</si>
  <si>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OptionOG-EDUC</t>
  </si>
  <si>
    <t>Teaching Area Options</t>
  </si>
  <si>
    <t/>
  </si>
  <si>
    <t>Opt-MEd</t>
  </si>
  <si>
    <t>Choose a specialisation OR Choose Optional units from the list to the value of 100 credit points</t>
  </si>
  <si>
    <t>Opt-OCEDUC</t>
  </si>
  <si>
    <t>Choose Option subjects to the value of 100CP</t>
  </si>
  <si>
    <t>Second Teaching Area Subjects</t>
  </si>
  <si>
    <t>Study a Specified Elective from the list below</t>
  </si>
  <si>
    <t>Second Teaching Area subjects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</si>
  <si>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</si>
  <si>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</si>
  <si>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</si>
  <si>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</si>
  <si>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</si>
  <si>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</si>
  <si>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Version</t>
  </si>
  <si>
    <t>CPs</t>
  </si>
  <si>
    <t>No.</t>
  </si>
  <si>
    <t>Component Type</t>
  </si>
  <si>
    <t>Year Level</t>
  </si>
  <si>
    <t>Study Package Code</t>
  </si>
  <si>
    <t>Structure Line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</si>
  <si>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</si>
  <si>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</si>
  <si>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</si>
  <si>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</si>
  <si>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</si>
  <si>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</si>
  <si>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</si>
  <si>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</si>
  <si>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</si>
  <si>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</si>
  <si>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</si>
  <si>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</si>
  <si>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</si>
  <si>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</si>
  <si>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</si>
  <si>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</si>
  <si>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</si>
  <si>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</si>
  <si>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</si>
  <si>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</si>
  <si>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</si>
  <si>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</si>
  <si>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</si>
  <si>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</si>
  <si>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</si>
  <si>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</si>
  <si>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</si>
  <si>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</si>
  <si>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</si>
  <si>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</si>
  <si>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</si>
  <si>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</si>
  <si>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</si>
  <si>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</si>
  <si>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</si>
  <si>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</si>
  <si>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</si>
  <si>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</si>
  <si>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</si>
  <si>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</si>
  <si>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</si>
  <si>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</si>
  <si>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</si>
  <si>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</si>
  <si>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</si>
  <si>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</si>
  <si>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</si>
  <si>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</si>
  <si>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</si>
  <si>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</si>
  <si>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</si>
  <si>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</si>
  <si>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</si>
  <si>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</si>
  <si>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</si>
  <si>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</si>
  <si>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</si>
  <si>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</si>
  <si>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</si>
  <si>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</si>
  <si>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</si>
  <si>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</si>
  <si>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</si>
  <si>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</si>
  <si>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</si>
  <si>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</si>
  <si>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AltCoreTESOL</t>
  </si>
  <si>
    <t>TESOL501 Materials Design and Assessment</t>
  </si>
  <si>
    <t>TESOL505 Language Teaching Practice</t>
  </si>
  <si>
    <t>EDMC500 Perspectives on Educational Research</t>
  </si>
  <si>
    <t>EDMC600 Education in the Post-Truth Era</t>
  </si>
  <si>
    <t>OptionMEd</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</si>
  <si>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</si>
  <si>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</si>
  <si>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</si>
  <si>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</si>
  <si>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</si>
  <si>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</si>
  <si>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</si>
  <si>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Major</t>
  </si>
  <si>
    <t>Choose a Major</t>
  </si>
  <si>
    <t>OpenUnis SP 1</t>
  </si>
  <si>
    <t>OpenUnis SP 2</t>
  </si>
  <si>
    <t>OpenUnis SP 3</t>
  </si>
  <si>
    <t>OpenUnis SP 4</t>
  </si>
  <si>
    <t>Opt-EDUSC</t>
  </si>
  <si>
    <t>Teaching Area Options (Grad Dip)</t>
  </si>
  <si>
    <t>Choose your optional units</t>
  </si>
  <si>
    <t>OptionOC-EDUC</t>
  </si>
  <si>
    <t>Choose Options to the value of 100CP</t>
  </si>
  <si>
    <t>EDHE501 The Learning Cycle: Design and Curriculum</t>
  </si>
  <si>
    <t>EDHE502 Design Thinking and Educational Innovation</t>
  </si>
  <si>
    <t>EDHE504 Research for the Scholarship of Learning and Teaching</t>
  </si>
  <si>
    <t>EDHE505 Teaching Portfolio</t>
  </si>
  <si>
    <t>Row Labels</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</si>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</sst>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b/>
      <sz val="10"/>
      <color rgb="FFFF0000"/>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diagonal/>
    </border>
  </borders>
  <cellStyleXfs count="4">
    <xf numFmtId="0" fontId="0" fillId="0" borderId="0"/>
    <xf numFmtId="0" fontId="1" fillId="0" borderId="0"/>
    <xf numFmtId="0" fontId="28" fillId="0" borderId="0" applyNumberFormat="0" applyFill="0" applyBorder="0" applyAlignment="0" applyProtection="0"/>
    <xf numFmtId="0" fontId="59" fillId="12" borderId="0" applyNumberFormat="0" applyBorder="0" applyAlignment="0" applyProtection="0"/>
  </cellStyleXfs>
  <cellXfs count="293">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4" borderId="11" xfId="1" applyFont="1" applyFill="1" applyBorder="1" applyAlignment="1">
      <alignment horizontal="center" vertical="center" wrapText="1"/>
    </xf>
    <xf numFmtId="0" fontId="22" fillId="4" borderId="0" xfId="1" applyFont="1" applyFill="1" applyAlignment="1">
      <alignment horizontal="center" vertical="center" wrapText="1"/>
    </xf>
    <xf numFmtId="0" fontId="22" fillId="4" borderId="0" xfId="1" applyFont="1" applyFill="1" applyAlignment="1">
      <alignment vertical="center" wrapText="1"/>
    </xf>
    <xf numFmtId="0" fontId="25" fillId="4" borderId="0" xfId="1" applyFont="1" applyFill="1" applyAlignment="1">
      <alignment horizontal="left" vertical="center" wrapText="1"/>
    </xf>
    <xf numFmtId="0" fontId="22" fillId="4" borderId="15"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4" borderId="0" xfId="2" applyFont="1" applyFill="1" applyAlignment="1" applyProtection="1">
      <alignment vertical="center"/>
    </xf>
    <xf numFmtId="0" fontId="28" fillId="4"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17" xfId="1" applyFont="1" applyBorder="1" applyAlignment="1">
      <alignment horizontal="left" vertical="center"/>
    </xf>
    <xf numFmtId="0" fontId="35" fillId="0" borderId="17" xfId="1" applyFont="1" applyBorder="1" applyAlignment="1">
      <alignment vertical="center"/>
    </xf>
    <xf numFmtId="0" fontId="35" fillId="0" borderId="17" xfId="1" applyFont="1" applyBorder="1" applyAlignment="1">
      <alignment vertical="center" wrapText="1"/>
    </xf>
    <xf numFmtId="0" fontId="35" fillId="0" borderId="17"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25" fillId="2" borderId="17"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7" xfId="1" applyFont="1" applyBorder="1" applyAlignment="1">
      <alignment vertical="center" wrapText="1"/>
    </xf>
    <xf numFmtId="0" fontId="22" fillId="2" borderId="18" xfId="1" applyFont="1" applyFill="1" applyBorder="1" applyAlignment="1" applyProtection="1">
      <alignment horizontal="left" vertical="center" wrapText="1"/>
      <protection locked="0"/>
    </xf>
    <xf numFmtId="0" fontId="22" fillId="0" borderId="17" xfId="1" applyFont="1" applyBorder="1" applyAlignment="1">
      <alignment horizontal="left" vertical="center"/>
    </xf>
    <xf numFmtId="0" fontId="22" fillId="2" borderId="16" xfId="1" applyFont="1" applyFill="1" applyBorder="1" applyAlignment="1">
      <alignment horizontal="center" vertical="center" wrapText="1"/>
    </xf>
    <xf numFmtId="0" fontId="22" fillId="2" borderId="17" xfId="1" applyFont="1" applyFill="1" applyBorder="1" applyAlignment="1">
      <alignment vertical="center" wrapText="1"/>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43" fillId="0" borderId="0" xfId="0" applyFont="1"/>
    <xf numFmtId="0" fontId="43" fillId="0" borderId="0" xfId="0" applyFont="1" applyAlignment="1">
      <alignment horizontal="right"/>
    </xf>
    <xf numFmtId="0" fontId="0" fillId="0" borderId="23" xfId="0"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8" fillId="7" borderId="0" xfId="1" applyFont="1" applyFill="1" applyAlignment="1">
      <alignment vertical="center" wrapText="1"/>
    </xf>
    <xf numFmtId="0" fontId="36" fillId="7" borderId="0" xfId="1" applyFont="1" applyFill="1" applyAlignment="1">
      <alignment horizontal="left" vertical="center" readingOrder="1"/>
    </xf>
    <xf numFmtId="0" fontId="21" fillId="7" borderId="0" xfId="1" applyFont="1" applyFill="1" applyAlignment="1">
      <alignment horizontal="left" vertical="center" readingOrder="1"/>
    </xf>
    <xf numFmtId="0" fontId="40" fillId="7" borderId="0" xfId="1" applyFont="1" applyFill="1" applyAlignment="1">
      <alignment horizontal="center" vertical="center" readingOrder="1"/>
    </xf>
    <xf numFmtId="0" fontId="23" fillId="7" borderId="20" xfId="1" applyFont="1" applyFill="1" applyBorder="1" applyAlignment="1">
      <alignment vertical="center" readingOrder="1"/>
    </xf>
    <xf numFmtId="0" fontId="23" fillId="7" borderId="0" xfId="1" applyFont="1" applyFill="1" applyAlignment="1">
      <alignment vertical="center" readingOrder="1"/>
    </xf>
    <xf numFmtId="0" fontId="40" fillId="7" borderId="0" xfId="1" applyFont="1" applyFill="1" applyAlignment="1">
      <alignment vertical="center" readingOrder="1"/>
    </xf>
    <xf numFmtId="0" fontId="40" fillId="7" borderId="15" xfId="1" applyFont="1" applyFill="1" applyBorder="1" applyAlignment="1">
      <alignment vertical="center" readingOrder="1"/>
    </xf>
    <xf numFmtId="0" fontId="37" fillId="7" borderId="0" xfId="1" applyFont="1" applyFill="1"/>
    <xf numFmtId="0" fontId="3" fillId="0" borderId="6"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xf>
    <xf numFmtId="0" fontId="23" fillId="8" borderId="20" xfId="1" applyFont="1" applyFill="1" applyBorder="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pplyProtection="1">
      <alignment vertical="center"/>
      <protection locked="0"/>
    </xf>
    <xf numFmtId="0" fontId="23" fillId="8" borderId="0" xfId="1" applyFont="1" applyFill="1" applyAlignment="1" applyProtection="1">
      <alignment horizontal="center" vertical="center"/>
      <protection locked="0"/>
    </xf>
    <xf numFmtId="0" fontId="23" fillId="8" borderId="24" xfId="1" applyFont="1" applyFill="1" applyBorder="1" applyAlignment="1">
      <alignment horizontal="center" vertical="center" wrapText="1"/>
    </xf>
    <xf numFmtId="0" fontId="23" fillId="8" borderId="25" xfId="1" applyFont="1" applyFill="1" applyBorder="1" applyAlignment="1">
      <alignment horizontal="center" vertical="center" wrapText="1"/>
    </xf>
    <xf numFmtId="0" fontId="45" fillId="2" borderId="0" xfId="1" applyFont="1" applyFill="1" applyAlignment="1">
      <alignment vertical="center"/>
    </xf>
    <xf numFmtId="0" fontId="46" fillId="2" borderId="0" xfId="1" applyFont="1" applyFill="1" applyAlignment="1">
      <alignment vertical="center"/>
    </xf>
    <xf numFmtId="0" fontId="23" fillId="8" borderId="26" xfId="1" applyFont="1" applyFill="1" applyBorder="1" applyAlignment="1">
      <alignment horizontal="left" vertical="center"/>
    </xf>
    <xf numFmtId="0" fontId="43" fillId="0" borderId="0" xfId="0" applyFont="1" applyAlignment="1">
      <alignment horizontal="left"/>
    </xf>
    <xf numFmtId="0" fontId="18" fillId="0" borderId="0" xfId="1" applyFont="1" applyAlignment="1">
      <alignment horizontal="center"/>
    </xf>
    <xf numFmtId="0" fontId="18" fillId="0" borderId="0" xfId="1" applyFont="1"/>
    <xf numFmtId="0" fontId="47" fillId="0" borderId="0" xfId="1" applyFont="1" applyAlignment="1">
      <alignment horizontal="center"/>
    </xf>
    <xf numFmtId="0" fontId="23" fillId="8" borderId="0" xfId="1" applyFont="1" applyFill="1" applyAlignment="1">
      <alignment horizontal="left" vertical="center"/>
    </xf>
    <xf numFmtId="0" fontId="23" fillId="8" borderId="19" xfId="1" applyFont="1" applyFill="1" applyBorder="1" applyAlignment="1">
      <alignment horizontal="center" vertical="center" wrapText="1"/>
    </xf>
    <xf numFmtId="0" fontId="23" fillId="8" borderId="0" xfId="1" applyFont="1" applyFill="1" applyAlignment="1">
      <alignment horizontal="center" vertical="center"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9"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9" fillId="0" borderId="0" xfId="0" applyFont="1" applyAlignment="1" applyProtection="1">
      <alignment horizontal="left"/>
      <protection locked="0"/>
    </xf>
    <xf numFmtId="0" fontId="11" fillId="0" borderId="3" xfId="0" applyFont="1" applyBorder="1" applyProtection="1">
      <protection locked="0"/>
    </xf>
    <xf numFmtId="0" fontId="11" fillId="0" borderId="5" xfId="0" applyFont="1" applyBorder="1" applyProtection="1">
      <protection locked="0"/>
    </xf>
    <xf numFmtId="0" fontId="11" fillId="0" borderId="8" xfId="0" applyFont="1" applyBorder="1" applyProtection="1">
      <protection locked="0"/>
    </xf>
    <xf numFmtId="0" fontId="50" fillId="2" borderId="0" xfId="1" applyFont="1" applyFill="1" applyAlignment="1">
      <alignment vertical="center"/>
    </xf>
    <xf numFmtId="0" fontId="2" fillId="3" borderId="27" xfId="0" applyFont="1" applyFill="1" applyBorder="1" applyAlignment="1" applyProtection="1">
      <alignment horizontal="right" vertical="center"/>
      <protection locked="0"/>
    </xf>
    <xf numFmtId="0" fontId="35" fillId="9" borderId="17" xfId="1" applyFont="1" applyFill="1" applyBorder="1" applyAlignment="1">
      <alignment horizontal="left" vertical="center"/>
    </xf>
    <xf numFmtId="0" fontId="35" fillId="9" borderId="17" xfId="1" applyFont="1" applyFill="1" applyBorder="1" applyAlignment="1">
      <alignment vertical="center"/>
    </xf>
    <xf numFmtId="0" fontId="35" fillId="9" borderId="17" xfId="1" applyFont="1" applyFill="1" applyBorder="1" applyAlignment="1">
      <alignment vertical="center" wrapText="1"/>
    </xf>
    <xf numFmtId="0" fontId="35" fillId="9" borderId="17" xfId="1" applyFont="1" applyFill="1" applyBorder="1" applyAlignment="1">
      <alignment horizontal="center" vertical="center" wrapText="1"/>
    </xf>
    <xf numFmtId="0" fontId="22" fillId="9" borderId="21" xfId="1" applyFont="1" applyFill="1" applyBorder="1" applyAlignment="1">
      <alignment horizontal="center" vertical="center" wrapText="1"/>
    </xf>
    <xf numFmtId="0" fontId="22" fillId="9" borderId="17" xfId="1" applyFont="1" applyFill="1" applyBorder="1" applyAlignment="1">
      <alignment horizontal="center" vertical="center" wrapText="1"/>
    </xf>
    <xf numFmtId="0" fontId="22" fillId="9" borderId="22" xfId="1" applyFont="1" applyFill="1" applyBorder="1" applyAlignment="1">
      <alignment horizontal="center" vertical="center" wrapText="1"/>
    </xf>
    <xf numFmtId="0" fontId="22" fillId="9" borderId="18" xfId="1" applyFont="1" applyFill="1" applyBorder="1" applyAlignment="1">
      <alignment horizontal="center" vertical="center" wrapText="1"/>
    </xf>
    <xf numFmtId="0" fontId="26" fillId="9" borderId="0" xfId="1" applyFont="1" applyFill="1" applyAlignment="1" applyProtection="1">
      <alignment horizontal="left" vertical="top" wrapText="1"/>
      <protection locked="0"/>
    </xf>
    <xf numFmtId="0" fontId="35" fillId="5" borderId="17" xfId="1" applyFont="1" applyFill="1" applyBorder="1" applyAlignment="1">
      <alignment horizontal="left" vertical="center"/>
    </xf>
    <xf numFmtId="0" fontId="35" fillId="5" borderId="17" xfId="1" applyFont="1" applyFill="1" applyBorder="1" applyAlignment="1">
      <alignment vertical="center"/>
    </xf>
    <xf numFmtId="0" fontId="35" fillId="5" borderId="17" xfId="1" applyFont="1" applyFill="1" applyBorder="1" applyAlignment="1">
      <alignment vertical="center" wrapText="1"/>
    </xf>
    <xf numFmtId="0" fontId="35" fillId="5" borderId="17" xfId="1" applyFont="1" applyFill="1" applyBorder="1" applyAlignment="1">
      <alignment horizontal="center" vertical="center" wrapText="1"/>
    </xf>
    <xf numFmtId="0" fontId="22" fillId="5" borderId="18" xfId="1" applyFont="1" applyFill="1" applyBorder="1" applyAlignment="1">
      <alignment horizontal="center" vertical="center" wrapText="1"/>
    </xf>
    <xf numFmtId="0" fontId="26" fillId="5" borderId="0" xfId="1" applyFont="1" applyFill="1" applyAlignment="1" applyProtection="1">
      <alignment horizontal="left" vertical="top" wrapText="1"/>
      <protection locked="0"/>
    </xf>
    <xf numFmtId="0" fontId="51" fillId="7" borderId="0" xfId="1" applyFont="1" applyFill="1" applyAlignment="1">
      <alignment horizontal="left" vertical="center" readingOrder="1"/>
    </xf>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4"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5" fillId="9" borderId="16" xfId="1" applyFont="1" applyFill="1" applyBorder="1" applyAlignment="1">
      <alignment horizontal="center" vertical="center"/>
    </xf>
    <xf numFmtId="0" fontId="35" fillId="0" borderId="16" xfId="1" applyFont="1" applyBorder="1" applyAlignment="1">
      <alignment horizontal="center" vertical="center"/>
    </xf>
    <xf numFmtId="0" fontId="35" fillId="5" borderId="16"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2" fillId="0" borderId="0" xfId="0" applyFont="1" applyAlignment="1" applyProtection="1">
      <alignment horizontal="left"/>
      <protection locked="0"/>
    </xf>
    <xf numFmtId="0" fontId="52"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0" borderId="0" xfId="0" applyFont="1" applyAlignment="1" applyProtection="1">
      <alignment horizontal="center"/>
      <protection locked="0"/>
    </xf>
    <xf numFmtId="15" fontId="43" fillId="0" borderId="0" xfId="0" applyNumberFormat="1" applyFont="1" applyAlignment="1">
      <alignment horizontal="left"/>
    </xf>
    <xf numFmtId="0" fontId="2" fillId="3" borderId="3"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0" fontId="3" fillId="0" borderId="4"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3" fillId="7" borderId="0" xfId="1" applyFont="1" applyFill="1" applyAlignment="1">
      <alignment horizontal="left" vertical="center" readingOrder="1"/>
    </xf>
    <xf numFmtId="0" fontId="9" fillId="0" borderId="0" xfId="1" applyFont="1"/>
    <xf numFmtId="0" fontId="54" fillId="0" borderId="6" xfId="0" applyFont="1" applyBorder="1" applyAlignment="1" applyProtection="1">
      <alignment horizontal="center" vertical="center"/>
      <protection locked="0"/>
    </xf>
    <xf numFmtId="0" fontId="54" fillId="0" borderId="7" xfId="0" quotePrefix="1"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10" fillId="10" borderId="0" xfId="0" applyFont="1" applyFill="1" applyAlignment="1" applyProtection="1">
      <alignment horizontal="left"/>
      <protection locked="0"/>
    </xf>
    <xf numFmtId="0" fontId="0" fillId="0" borderId="0" xfId="0" applyAlignment="1">
      <alignment wrapText="1"/>
    </xf>
    <xf numFmtId="14" fontId="56" fillId="0" borderId="0" xfId="0" applyNumberFormat="1" applyFont="1"/>
    <xf numFmtId="14" fontId="6" fillId="0" borderId="0" xfId="0" applyNumberFormat="1" applyFont="1" applyAlignment="1" applyProtection="1">
      <alignment horizontal="center"/>
      <protection locked="0"/>
    </xf>
    <xf numFmtId="0" fontId="0" fillId="10" borderId="0" xfId="0" applyFill="1"/>
    <xf numFmtId="14" fontId="0" fillId="10" borderId="0" xfId="0" applyNumberFormat="1" applyFill="1"/>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0" xfId="1" applyFont="1" applyFill="1" applyBorder="1" applyAlignment="1">
      <alignment horizontal="center" vertical="center" wrapText="1"/>
    </xf>
    <xf numFmtId="0" fontId="44" fillId="11" borderId="0" xfId="1" applyFont="1" applyFill="1" applyAlignment="1">
      <alignment horizontal="center" vertical="center" wrapText="1"/>
    </xf>
    <xf numFmtId="0" fontId="22" fillId="11" borderId="15" xfId="1" applyFont="1" applyFill="1" applyBorder="1" applyAlignment="1" applyProtection="1">
      <alignment horizontal="center" vertical="center" wrapText="1"/>
      <protection locked="0"/>
    </xf>
    <xf numFmtId="0" fontId="44" fillId="11" borderId="15" xfId="1" applyFont="1" applyFill="1" applyBorder="1" applyAlignment="1">
      <alignment horizontal="center" vertical="center" wrapText="1"/>
    </xf>
    <xf numFmtId="0" fontId="6" fillId="0" borderId="0" xfId="0" applyFont="1" applyAlignment="1" applyProtection="1">
      <alignment horizontal="left"/>
      <protection locked="0"/>
    </xf>
    <xf numFmtId="0" fontId="35" fillId="0" borderId="17" xfId="1" applyFont="1" applyBorder="1" applyAlignment="1">
      <alignment horizontal="center" vertical="center"/>
    </xf>
    <xf numFmtId="14" fontId="0" fillId="0" borderId="0" xfId="0" applyNumberFormat="1"/>
    <xf numFmtId="0" fontId="30" fillId="2" borderId="0" xfId="1" applyFont="1" applyFill="1" applyAlignment="1">
      <alignment vertical="center"/>
    </xf>
    <xf numFmtId="0" fontId="22" fillId="9" borderId="16" xfId="1" applyFont="1" applyFill="1" applyBorder="1" applyAlignment="1">
      <alignment horizontal="center" vertical="center" wrapText="1"/>
    </xf>
    <xf numFmtId="0" fontId="22" fillId="9" borderId="17" xfId="1" applyFont="1" applyFill="1" applyBorder="1" applyAlignment="1">
      <alignment vertical="center" wrapText="1"/>
    </xf>
    <xf numFmtId="0" fontId="25" fillId="9" borderId="17" xfId="1" applyFont="1" applyFill="1" applyBorder="1" applyAlignment="1">
      <alignment horizontal="center" vertical="center" wrapText="1"/>
    </xf>
    <xf numFmtId="0" fontId="22" fillId="9" borderId="18" xfId="1" applyFont="1" applyFill="1" applyBorder="1" applyAlignment="1" applyProtection="1">
      <alignment horizontal="center" vertical="center" wrapText="1"/>
      <protection locked="0"/>
    </xf>
    <xf numFmtId="0" fontId="26" fillId="9" borderId="0" xfId="1" applyFont="1" applyFill="1" applyAlignment="1" applyProtection="1">
      <alignment horizontal="center" vertical="center" wrapText="1"/>
      <protection locked="0"/>
    </xf>
    <xf numFmtId="0" fontId="22" fillId="9" borderId="17" xfId="1" applyFont="1" applyFill="1" applyBorder="1" applyAlignment="1">
      <alignment horizontal="left" vertical="center"/>
    </xf>
    <xf numFmtId="0" fontId="35" fillId="9" borderId="17" xfId="1" applyFont="1" applyFill="1" applyBorder="1" applyAlignment="1">
      <alignment horizontal="center" vertical="center"/>
    </xf>
    <xf numFmtId="0" fontId="57" fillId="0" borderId="0" xfId="1" applyFont="1" applyAlignment="1">
      <alignment horizontal="right" vertical="center"/>
    </xf>
    <xf numFmtId="14" fontId="36" fillId="2" borderId="0" xfId="1" applyNumberFormat="1" applyFont="1" applyFill="1" applyAlignment="1">
      <alignment horizontal="right" vertical="center"/>
    </xf>
    <xf numFmtId="0" fontId="35" fillId="5" borderId="17" xfId="1" applyFont="1" applyFill="1" applyBorder="1" applyAlignment="1">
      <alignment horizontal="center" vertical="center"/>
    </xf>
    <xf numFmtId="0" fontId="54" fillId="0" borderId="7" xfId="0" applyFont="1" applyBorder="1" applyAlignment="1" applyProtection="1">
      <alignment horizontal="center" vertical="center"/>
      <protection locked="0"/>
    </xf>
    <xf numFmtId="0" fontId="45" fillId="9"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9"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9" borderId="0" xfId="1" applyFont="1" applyFill="1" applyAlignment="1">
      <alignment horizontal="left" vertical="top" wrapText="1"/>
    </xf>
    <xf numFmtId="0" fontId="34" fillId="2" borderId="0" xfId="1" applyFont="1" applyFill="1"/>
    <xf numFmtId="0" fontId="45" fillId="9" borderId="0" xfId="1" applyFont="1" applyFill="1" applyAlignment="1" applyProtection="1">
      <alignment vertical="center"/>
      <protection locked="0"/>
    </xf>
    <xf numFmtId="0" fontId="19" fillId="11" borderId="13" xfId="1" applyFont="1" applyFill="1" applyBorder="1" applyAlignment="1">
      <alignment vertical="center"/>
    </xf>
    <xf numFmtId="0" fontId="19" fillId="11" borderId="14" xfId="1" applyFont="1" applyFill="1" applyBorder="1" applyAlignment="1">
      <alignment vertical="center"/>
    </xf>
    <xf numFmtId="0" fontId="55" fillId="11" borderId="14" xfId="1" applyFont="1" applyFill="1" applyBorder="1" applyAlignment="1">
      <alignment horizontal="right" vertical="center"/>
    </xf>
    <xf numFmtId="0" fontId="55" fillId="11" borderId="14" xfId="1" applyFont="1" applyFill="1" applyBorder="1" applyAlignment="1">
      <alignment horizontal="center" vertical="center"/>
    </xf>
    <xf numFmtId="0" fontId="41" fillId="11" borderId="14" xfId="1" applyFont="1" applyFill="1" applyBorder="1" applyAlignment="1">
      <alignment vertical="center"/>
    </xf>
    <xf numFmtId="14" fontId="21" fillId="2" borderId="0" xfId="1" applyNumberFormat="1" applyFont="1" applyFill="1" applyAlignment="1">
      <alignment vertical="center"/>
    </xf>
    <xf numFmtId="0" fontId="21" fillId="0" borderId="0" xfId="1" applyFont="1" applyAlignment="1" applyProtection="1">
      <alignment vertical="top" wrapText="1"/>
      <protection locked="0"/>
    </xf>
    <xf numFmtId="0" fontId="0" fillId="0" borderId="0" xfId="0" applyAlignment="1">
      <alignment horizontal="left" textRotation="90"/>
    </xf>
    <xf numFmtId="0" fontId="56" fillId="0" borderId="0" xfId="0" applyFont="1" applyAlignment="1">
      <alignment horizontal="right"/>
    </xf>
    <xf numFmtId="0" fontId="58" fillId="0" borderId="0" xfId="0" applyFont="1" applyAlignment="1">
      <alignment horizontal="center"/>
    </xf>
    <xf numFmtId="0" fontId="10" fillId="0" borderId="0" xfId="0" applyFont="1" applyAlignment="1">
      <alignment horizontal="left"/>
    </xf>
    <xf numFmtId="0" fontId="10" fillId="6" borderId="0" xfId="0" applyFont="1" applyFill="1"/>
    <xf numFmtId="0" fontId="10" fillId="0" borderId="0" xfId="0" applyFont="1" applyAlignment="1">
      <alignment horizontal="left" textRotation="90"/>
    </xf>
    <xf numFmtId="0" fontId="10" fillId="5" borderId="0" xfId="0" applyFont="1" applyFill="1" applyAlignment="1">
      <alignment horizontal="center"/>
    </xf>
    <xf numFmtId="0" fontId="10" fillId="9" borderId="0" xfId="0" applyFont="1" applyFill="1" applyAlignment="1">
      <alignment horizontal="center"/>
    </xf>
    <xf numFmtId="0" fontId="10" fillId="0" borderId="5" xfId="0" applyFont="1" applyBorder="1" applyAlignment="1">
      <alignment horizontal="left" textRotation="90"/>
    </xf>
    <xf numFmtId="0" fontId="10" fillId="9" borderId="5" xfId="0" applyFont="1" applyFill="1" applyBorder="1" applyAlignment="1">
      <alignment horizontal="center"/>
    </xf>
    <xf numFmtId="0" fontId="0" fillId="0" borderId="0" xfId="0" applyAlignment="1" applyProtection="1">
      <alignment horizontal="center"/>
      <protection locked="0"/>
    </xf>
    <xf numFmtId="0" fontId="45" fillId="5" borderId="0" xfId="1" applyFont="1" applyFill="1" applyAlignment="1">
      <alignment vertical="center"/>
    </xf>
    <xf numFmtId="0" fontId="55" fillId="11" borderId="14" xfId="1" applyFont="1" applyFill="1" applyBorder="1" applyAlignment="1">
      <alignment horizontal="left" vertical="center"/>
    </xf>
    <xf numFmtId="0" fontId="10" fillId="13" borderId="0" xfId="0" applyFont="1" applyFill="1" applyAlignment="1" applyProtection="1">
      <alignment horizontal="center"/>
      <protection locked="0"/>
    </xf>
    <xf numFmtId="14" fontId="10" fillId="13" borderId="0" xfId="0" applyNumberFormat="1" applyFont="1" applyFill="1" applyAlignment="1" applyProtection="1">
      <alignment horizontal="center"/>
      <protection locked="0"/>
    </xf>
    <xf numFmtId="0" fontId="60" fillId="0" borderId="0" xfId="0" applyFont="1" applyAlignment="1" applyProtection="1">
      <alignment horizontal="center"/>
      <protection locked="0"/>
    </xf>
    <xf numFmtId="14" fontId="60" fillId="0" borderId="0" xfId="0" applyNumberFormat="1" applyFont="1" applyAlignment="1" applyProtection="1">
      <alignment horizontal="center"/>
      <protection locked="0"/>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4" fontId="59" fillId="12" borderId="0" xfId="3" applyNumberFormat="1" applyAlignment="1">
      <alignment horizontal="center"/>
    </xf>
    <xf numFmtId="0" fontId="10" fillId="14" borderId="0" xfId="0" applyFont="1" applyFill="1" applyAlignment="1" applyProtection="1">
      <alignment horizontal="center"/>
      <protection locked="0"/>
    </xf>
    <xf numFmtId="14" fontId="6" fillId="13" borderId="0" xfId="0" applyNumberFormat="1" applyFont="1" applyFill="1" applyAlignment="1" applyProtection="1">
      <alignment horizontal="center"/>
      <protection locked="0"/>
    </xf>
    <xf numFmtId="0" fontId="23" fillId="8" borderId="30"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44" fillId="11" borderId="34" xfId="1" applyFont="1" applyFill="1" applyBorder="1" applyAlignment="1">
      <alignment horizontal="center" vertical="center" wrapText="1"/>
    </xf>
    <xf numFmtId="0" fontId="44" fillId="11" borderId="35" xfId="1" applyFont="1" applyFill="1" applyBorder="1" applyAlignment="1">
      <alignment horizontal="center" vertical="center" wrapText="1"/>
    </xf>
    <xf numFmtId="0" fontId="23" fillId="8" borderId="36" xfId="1" applyFont="1" applyFill="1" applyBorder="1" applyAlignment="1">
      <alignment horizontal="center" vertical="center" wrapText="1"/>
    </xf>
    <xf numFmtId="0" fontId="22" fillId="0" borderId="32"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2" borderId="37" xfId="1" applyFont="1" applyFill="1" applyBorder="1" applyAlignment="1">
      <alignment horizontal="center" vertical="center" wrapText="1"/>
    </xf>
    <xf numFmtId="0" fontId="44" fillId="4" borderId="34" xfId="1" applyFont="1" applyFill="1" applyBorder="1" applyAlignment="1">
      <alignment horizontal="center" vertical="center" wrapText="1"/>
    </xf>
    <xf numFmtId="0" fontId="44" fillId="4" borderId="35" xfId="1" applyFont="1" applyFill="1" applyBorder="1" applyAlignment="1">
      <alignment horizontal="center" vertical="center" wrapText="1"/>
    </xf>
    <xf numFmtId="0" fontId="44" fillId="11" borderId="38"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2" fillId="9" borderId="37"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33" xfId="1" applyFont="1" applyFill="1" applyBorder="1" applyAlignment="1">
      <alignment horizontal="center" vertical="center" wrapText="1"/>
    </xf>
    <xf numFmtId="0" fontId="22" fillId="5" borderId="37" xfId="1" applyFont="1" applyFill="1" applyBorder="1" applyAlignment="1">
      <alignment horizontal="center" vertical="center" wrapText="1"/>
    </xf>
    <xf numFmtId="0" fontId="62" fillId="0" borderId="0" xfId="1" applyFont="1" applyAlignment="1">
      <alignment horizontal="right" vertical="center"/>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60" fillId="6" borderId="0" xfId="0" applyFont="1" applyFill="1"/>
    <xf numFmtId="0" fontId="10" fillId="10" borderId="0" xfId="0" applyFont="1" applyFill="1"/>
    <xf numFmtId="14" fontId="10" fillId="10" borderId="0" xfId="0" applyNumberFormat="1" applyFont="1" applyFill="1" applyAlignment="1" applyProtection="1">
      <alignment horizontal="center"/>
      <protection locked="0"/>
    </xf>
    <xf numFmtId="0" fontId="1" fillId="0" borderId="0" xfId="1" applyAlignment="1">
      <alignment horizontal="center" vertical="center"/>
    </xf>
    <xf numFmtId="0" fontId="46" fillId="2" borderId="0" xfId="1" applyFont="1" applyFill="1" applyAlignment="1" applyProtection="1">
      <alignment vertical="center"/>
      <protection locked="0"/>
    </xf>
    <xf numFmtId="0" fontId="38" fillId="7" borderId="12" xfId="1" applyFont="1" applyFill="1" applyBorder="1" applyAlignment="1">
      <alignment horizontal="left" vertical="center" wrapText="1"/>
    </xf>
  </cellXfs>
  <cellStyles count="4">
    <cellStyle name="Good" xfId="3" builtinId="26"/>
    <cellStyle name="Hyperlink" xfId="2" builtinId="8"/>
    <cellStyle name="Normal" xfId="0" builtinId="0"/>
    <cellStyle name="Normal 2" xfId="1" xr:uid="{00000000-0005-0000-0000-000003000000}"/>
  </cellStyles>
  <dxfs count="3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148591</xdr:colOff>
      <xdr:row>3</xdr:row>
      <xdr:rowOff>19052</xdr:rowOff>
    </xdr:from>
    <xdr:ext cx="5642610" cy="698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98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(Early Childhood Education)</a:t>
          </a:r>
          <a:endParaRPr lang="en-AU" sz="1000">
            <a:solidFill>
              <a:schemeClr val="accent5"/>
            </a:solidFill>
            <a:effectLst/>
          </a:endParaRPr>
        </a:p>
        <a:p>
          <a:pPr algn="ctr" eaLnBrk="1" fontAlgn="auto" latinLnBrk="0" hangingPunct="1"/>
          <a:endParaRPr lang="en-AU" sz="1100" b="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0">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571501</xdr:colOff>
      <xdr:row>2</xdr:row>
      <xdr:rowOff>285751</xdr:rowOff>
    </xdr:from>
    <xdr:to>
      <xdr:col>21</xdr:col>
      <xdr:colOff>304801</xdr:colOff>
      <xdr:row>3</xdr:row>
      <xdr:rowOff>17541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8575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30</xdr:row>
      <xdr:rowOff>47626</xdr:rowOff>
    </xdr:from>
    <xdr:to>
      <xdr:col>21</xdr:col>
      <xdr:colOff>234317</xdr:colOff>
      <xdr:row>31</xdr:row>
      <xdr:rowOff>28971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40816" y="6400801"/>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139066</xdr:colOff>
      <xdr:row>3</xdr:row>
      <xdr:rowOff>2</xdr:rowOff>
    </xdr:from>
    <xdr:ext cx="5642610" cy="663694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2</xdr:row>
      <xdr:rowOff>266701</xdr:rowOff>
    </xdr:from>
    <xdr:to>
      <xdr:col>21</xdr:col>
      <xdr:colOff>295276</xdr:colOff>
      <xdr:row>2</xdr:row>
      <xdr:rowOff>503316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82776" y="26670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28</xdr:row>
      <xdr:rowOff>38101</xdr:rowOff>
    </xdr:from>
    <xdr:to>
      <xdr:col>21</xdr:col>
      <xdr:colOff>234317</xdr:colOff>
      <xdr:row>29</xdr:row>
      <xdr:rowOff>19446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40816" y="6067426"/>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219076</xdr:colOff>
      <xdr:row>3</xdr:row>
      <xdr:rowOff>114300</xdr:rowOff>
    </xdr:from>
    <xdr:ext cx="5634990" cy="491467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5176" y="619125"/>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b="1" i="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634366</xdr:colOff>
      <xdr:row>2</xdr:row>
      <xdr:rowOff>333376</xdr:rowOff>
    </xdr:from>
    <xdr:to>
      <xdr:col>21</xdr:col>
      <xdr:colOff>367666</xdr:colOff>
      <xdr:row>3</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083666" y="333376"/>
          <a:ext cx="2476500" cy="28424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276226</xdr:colOff>
      <xdr:row>3</xdr:row>
      <xdr:rowOff>85726</xdr:rowOff>
    </xdr:from>
    <xdr:ext cx="5634990" cy="491467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515601" y="590551"/>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 (Applied Linguistics)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5716</xdr:colOff>
      <xdr:row>2</xdr:row>
      <xdr:rowOff>285750</xdr:rowOff>
    </xdr:from>
    <xdr:to>
      <xdr:col>21</xdr:col>
      <xdr:colOff>424816</xdr:colOff>
      <xdr:row>3</xdr:row>
      <xdr:rowOff>82310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674091" y="285750"/>
          <a:ext cx="2476500" cy="30138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 (TESOL) (OpenUnis) </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(OpenUnis)</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rgbClr val="FF0000"/>
              </a:solidFill>
              <a:effectLst/>
              <a:latin typeface="+mn-lt"/>
              <a:ea typeface="+mn-ea"/>
              <a:cs typeface="+mn-cs"/>
            </a:rPr>
            <a:t>This planner shows the </a:t>
          </a:r>
          <a:r>
            <a:rPr lang="en-AU" sz="1100" b="1" u="sng">
              <a:solidFill>
                <a:srgbClr val="FF0000"/>
              </a:solidFill>
              <a:effectLst/>
              <a:latin typeface="+mn-lt"/>
              <a:ea typeface="+mn-ea"/>
              <a:cs typeface="+mn-cs"/>
            </a:rPr>
            <a:t>recommende</a:t>
          </a:r>
          <a:r>
            <a:rPr lang="en-AU" sz="1100" b="1" u="sng" baseline="0">
              <a:solidFill>
                <a:srgbClr val="FF0000"/>
              </a:solidFill>
              <a:effectLst/>
              <a:latin typeface="+mn-lt"/>
              <a:ea typeface="+mn-ea"/>
              <a:cs typeface="+mn-cs"/>
            </a:rPr>
            <a:t>d</a:t>
          </a:r>
          <a:r>
            <a:rPr lang="en-AU" sz="1100" b="0" baseline="0">
              <a:solidFill>
                <a:srgbClr val="FF0000"/>
              </a:solidFill>
              <a:effectLst/>
              <a:latin typeface="+mn-lt"/>
              <a:ea typeface="+mn-ea"/>
              <a:cs typeface="+mn-cs"/>
            </a:rPr>
            <a:t> sequence of </a:t>
          </a:r>
          <a:r>
            <a:rPr lang="en-AU" sz="1100" b="1" i="1" baseline="0">
              <a:solidFill>
                <a:srgbClr val="FF0000"/>
              </a:solidFill>
              <a:effectLst/>
              <a:latin typeface="+mn-lt"/>
              <a:ea typeface="+mn-ea"/>
              <a:cs typeface="+mn-cs"/>
            </a:rPr>
            <a:t>full-time study </a:t>
          </a:r>
          <a:r>
            <a:rPr lang="en-AU" sz="1100" b="0" baseline="0">
              <a:solidFill>
                <a:srgbClr val="FF0000"/>
              </a:solidFill>
              <a:effectLst/>
              <a:latin typeface="+mn-lt"/>
              <a:ea typeface="+mn-ea"/>
              <a:cs typeface="+mn-cs"/>
            </a:rPr>
            <a:t>based on your study period of commencement. The standard full-time study load is </a:t>
          </a:r>
          <a:r>
            <a:rPr lang="en-AU" sz="1100" b="1" i="1" baseline="0">
              <a:solidFill>
                <a:srgbClr val="FF0000"/>
              </a:solidFill>
              <a:effectLst/>
              <a:latin typeface="+mn-lt"/>
              <a:ea typeface="+mn-ea"/>
              <a:cs typeface="+mn-cs"/>
            </a:rPr>
            <a:t>50 credit points </a:t>
          </a:r>
          <a:r>
            <a:rPr lang="en-AU" sz="1100" b="0" baseline="0">
              <a:solidFill>
                <a:srgbClr val="FF0000"/>
              </a:solidFill>
              <a:effectLst/>
              <a:latin typeface="+mn-lt"/>
              <a:ea typeface="+mn-ea"/>
              <a:cs typeface="+mn-cs"/>
            </a:rPr>
            <a:t>per study period. </a:t>
          </a:r>
          <a:endParaRPr lang="en-AU">
            <a:solidFill>
              <a:srgbClr val="FF0000"/>
            </a:solidFill>
            <a:effectLst/>
          </a:endParaRPr>
        </a:p>
        <a:p>
          <a:r>
            <a:rPr lang="en-AU" sz="1100" b="0" baseline="0">
              <a:solidFill>
                <a:srgbClr val="FF0000"/>
              </a:solidFill>
              <a:effectLst/>
              <a:latin typeface="+mn-lt"/>
              <a:ea typeface="+mn-ea"/>
              <a:cs typeface="+mn-cs"/>
            </a:rPr>
            <a:t>Students are strongly advised to follow the recommended sequence of study as shown in this Planner. </a:t>
          </a:r>
          <a:endParaRPr lang="en-AU">
            <a:solidFill>
              <a:srgbClr val="FF0000"/>
            </a:solidFill>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104776</xdr:colOff>
      <xdr:row>3</xdr:row>
      <xdr:rowOff>19049</xdr:rowOff>
    </xdr:from>
    <xdr:ext cx="5634990" cy="422577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 (OpenUnis)</a:t>
          </a:r>
        </a:p>
        <a:p>
          <a:pPr algn="ctr"/>
          <a:endParaRPr lang="en-AU" sz="1100"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520066</xdr:colOff>
      <xdr:row>2</xdr:row>
      <xdr:rowOff>257174</xdr:rowOff>
    </xdr:from>
    <xdr:to>
      <xdr:col>21</xdr:col>
      <xdr:colOff>253366</xdr:colOff>
      <xdr:row>3</xdr:row>
      <xdr:rowOff>17539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74241" y="257174"/>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247651</xdr:colOff>
      <xdr:row>3</xdr:row>
      <xdr:rowOff>76200</xdr:rowOff>
    </xdr:from>
    <xdr:ext cx="5634990" cy="712220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601326" y="581025"/>
          <a:ext cx="5634990" cy="712220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(Secondary Education)</a:t>
          </a:r>
          <a:endParaRPr lang="en-AU">
            <a:solidFill>
              <a:schemeClr val="accent5"/>
            </a:solidFill>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228601</xdr:colOff>
      <xdr:row>29</xdr:row>
      <xdr:rowOff>53341</xdr:rowOff>
    </xdr:from>
    <xdr:to>
      <xdr:col>21</xdr:col>
      <xdr:colOff>342902</xdr:colOff>
      <xdr:row>30</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325476" y="640651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662941</xdr:colOff>
      <xdr:row>2</xdr:row>
      <xdr:rowOff>285751</xdr:rowOff>
    </xdr:from>
    <xdr:to>
      <xdr:col>21</xdr:col>
      <xdr:colOff>396241</xdr:colOff>
      <xdr:row>3</xdr:row>
      <xdr:rowOff>78501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759816" y="2857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314326</xdr:colOff>
      <xdr:row>3</xdr:row>
      <xdr:rowOff>114301</xdr:rowOff>
    </xdr:from>
    <xdr:ext cx="5634990" cy="593233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25126" y="619126"/>
          <a:ext cx="5634990" cy="593233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276226</xdr:colOff>
      <xdr:row>25</xdr:row>
      <xdr:rowOff>24766</xdr:rowOff>
    </xdr:from>
    <xdr:to>
      <xdr:col>21</xdr:col>
      <xdr:colOff>390527</xdr:colOff>
      <xdr:row>26</xdr:row>
      <xdr:rowOff>95646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30226" y="54730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43816</xdr:colOff>
      <xdr:row>2</xdr:row>
      <xdr:rowOff>323851</xdr:rowOff>
    </xdr:from>
    <xdr:to>
      <xdr:col>21</xdr:col>
      <xdr:colOff>462916</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83616"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219076</xdr:colOff>
      <xdr:row>3</xdr:row>
      <xdr:rowOff>28576</xdr:rowOff>
    </xdr:from>
    <xdr:ext cx="5634990" cy="507119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533401"/>
          <a:ext cx="5634990" cy="50711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a:effectLst/>
          </a:endParaRPr>
        </a:p>
        <a:p>
          <a:pPr algn="ctr"/>
          <a:r>
            <a:rPr lang="en-AU" sz="1100" b="1" u="sng">
              <a:solidFill>
                <a:schemeClr val="accent5"/>
              </a:solidFill>
              <a:effectLst/>
              <a:latin typeface="+mn-lt"/>
              <a:ea typeface="+mn-ea"/>
              <a:cs typeface="+mn-cs"/>
            </a:rPr>
            <a:t>Accelerated Study Plan</a:t>
          </a: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endParaRPr lang="en-AU">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20</xdr:row>
      <xdr:rowOff>15241</xdr:rowOff>
    </xdr:from>
    <xdr:to>
      <xdr:col>21</xdr:col>
      <xdr:colOff>314327</xdr:colOff>
      <xdr:row>21</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54026" y="45205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634366</xdr:colOff>
      <xdr:row>2</xdr:row>
      <xdr:rowOff>238126</xdr:rowOff>
    </xdr:from>
    <xdr:to>
      <xdr:col>21</xdr:col>
      <xdr:colOff>367666</xdr:colOff>
      <xdr:row>3</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588366" y="238126"/>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304801</xdr:colOff>
      <xdr:row>3</xdr:row>
      <xdr:rowOff>114300</xdr:rowOff>
    </xdr:from>
    <xdr:ext cx="5634990" cy="696568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515601" y="619125"/>
          <a:ext cx="5634990" cy="69656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sz="1100" b="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247651</xdr:colOff>
      <xdr:row>28</xdr:row>
      <xdr:rowOff>81916</xdr:rowOff>
    </xdr:from>
    <xdr:to>
      <xdr:col>21</xdr:col>
      <xdr:colOff>361952</xdr:colOff>
      <xdr:row>29</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201651" y="647319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34291</xdr:colOff>
      <xdr:row>2</xdr:row>
      <xdr:rowOff>323851</xdr:rowOff>
    </xdr:from>
    <xdr:to>
      <xdr:col>21</xdr:col>
      <xdr:colOff>453391</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674091"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352426</xdr:colOff>
      <xdr:row>3</xdr:row>
      <xdr:rowOff>95252</xdr:rowOff>
    </xdr:from>
    <xdr:ext cx="5634990" cy="610455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63226" y="600077"/>
          <a:ext cx="5634990" cy="6104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eaLnBrk="1" fontAlgn="auto" latinLnBrk="0" hangingPunct="1"/>
          <a:r>
            <a:rPr lang="en-AU" sz="1100" b="1" u="sng">
              <a:solidFill>
                <a:schemeClr val="dk1"/>
              </a:solidFill>
              <a:effectLst/>
              <a:latin typeface="+mn-lt"/>
              <a:ea typeface="+mn-ea"/>
              <a:cs typeface="+mn-cs"/>
            </a:rPr>
            <a:t>Full-Time Enrolment Guidelines</a:t>
          </a:r>
          <a:endParaRPr lang="en-AU">
            <a:effectLst/>
          </a:endParaRPr>
        </a:p>
        <a:p>
          <a:pPr algn="ctr"/>
          <a:endParaRPr lang="en-AU" sz="1100" b="1" u="sng">
            <a:solidFill>
              <a:schemeClr val="dk1"/>
            </a:solidFill>
            <a:effectLst/>
            <a:latin typeface="+mn-lt"/>
            <a:ea typeface="+mn-ea"/>
            <a:cs typeface="+mn-cs"/>
          </a:endParaRPr>
        </a:p>
        <a:p>
          <a:pPr algn="ctr"/>
          <a:r>
            <a:rPr lang="en-AU" sz="1100" b="1" u="sng">
              <a:solidFill>
                <a:schemeClr val="accent5"/>
              </a:solidFill>
              <a:effectLst/>
              <a:latin typeface="+mn-lt"/>
              <a:ea typeface="+mn-ea"/>
              <a:cs typeface="+mn-cs"/>
            </a:rPr>
            <a:t>Accelerated Study Plan</a:t>
          </a:r>
          <a:endParaRPr lang="en-AU">
            <a:solidFill>
              <a:schemeClr val="accent5"/>
            </a:solidFill>
            <a:effectLst/>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314326</xdr:colOff>
      <xdr:row>24</xdr:row>
      <xdr:rowOff>43816</xdr:rowOff>
    </xdr:from>
    <xdr:to>
      <xdr:col>21</xdr:col>
      <xdr:colOff>428627</xdr:colOff>
      <xdr:row>25</xdr:row>
      <xdr:rowOff>38496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13268326" y="56540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81916</xdr:colOff>
      <xdr:row>2</xdr:row>
      <xdr:rowOff>304801</xdr:rowOff>
    </xdr:from>
    <xdr:to>
      <xdr:col>21</xdr:col>
      <xdr:colOff>501016</xdr:colOff>
      <xdr:row>3</xdr:row>
      <xdr:rowOff>97551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B00-000005000000}"/>
            </a:ext>
          </a:extLst>
        </xdr:cNvPr>
        <xdr:cNvSpPr txBox="1"/>
      </xdr:nvSpPr>
      <xdr:spPr>
        <a:xfrm>
          <a:off x="13721716" y="30480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15" totalsRowShown="0" headerRowDxfId="389" dataDxfId="388">
  <autoFilter ref="A4:H15" xr:uid="{00000000-0009-0000-0100-000003000000}"/>
  <sortState xmlns:xlrd2="http://schemas.microsoft.com/office/spreadsheetml/2017/richdata2" ref="A8:F16">
    <sortCondition ref="A7:A16"/>
  </sortState>
  <tableColumns count="8">
    <tableColumn id="3" xr3:uid="{00000000-0010-0000-0000-000003000000}" name="Choose your Course" dataDxfId="387"/>
    <tableColumn id="1" xr3:uid="{00000000-0010-0000-0000-000001000000}" name="UDC" dataDxfId="386"/>
    <tableColumn id="2" xr3:uid="{00000000-0010-0000-0000-000002000000}" name="SM Version" dataDxfId="385"/>
    <tableColumn id="5" xr3:uid="{00000000-0010-0000-0000-000005000000}" name="SM Effective Date" dataDxfId="384"/>
    <tableColumn id="4" xr3:uid="{00000000-0010-0000-0000-000004000000}" name="Akari Iteration" dataDxfId="383"/>
    <tableColumn id="6" xr3:uid="{00000000-0010-0000-0000-000006000000}" name="Akari Effective Date" dataDxfId="382"/>
    <tableColumn id="8" xr3:uid="{00000000-0010-0000-0000-000008000000}" name="Credit Points" dataDxfId="381"/>
    <tableColumn id="7" xr3:uid="{00000000-0010-0000-0000-000007000000}" name="SM Availabilities" dataDxfId="3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SpecialisationsOMEDUC" displayName="TableSpecialisationsOMEDUC" ref="A29:G33" totalsRowShown="0" headerRowDxfId="379" dataDxfId="378">
  <autoFilter ref="A29:G33" xr:uid="{00000000-0009-0000-0100-000010000000}"/>
  <tableColumns count="7">
    <tableColumn id="1" xr3:uid="{00000000-0010-0000-0100-000001000000}" name="Choose your MEd Specialisation (drop-down list)" dataDxfId="377"/>
    <tableColumn id="2" xr3:uid="{00000000-0010-0000-0100-000002000000}" name="UDC" dataDxfId="376"/>
    <tableColumn id="3" xr3:uid="{00000000-0010-0000-0100-000003000000}" name="SM Version" dataDxfId="375"/>
    <tableColumn id="4" xr3:uid="{00000000-0010-0000-0100-000004000000}" name="SM Effective Date" dataDxfId="374"/>
    <tableColumn id="5" xr3:uid="{00000000-0010-0000-0100-000005000000}" name="Akari Iteration" dataDxfId="373"/>
    <tableColumn id="6" xr3:uid="{00000000-0010-0000-0100-000006000000}" name="Akari Effective Date" dataDxfId="372"/>
    <tableColumn id="7" xr3:uid="{00000000-0010-0000-0100-000007000000}" name="Credit Points" dataDxfId="3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4:E48" totalsRowShown="0" headerRowDxfId="370" dataDxfId="369">
  <autoFilter ref="A44:E48" xr:uid="{00000000-0009-0000-0100-000004000000}"/>
  <tableColumns count="5">
    <tableColumn id="1" xr3:uid="{00000000-0010-0000-0200-000001000000}" name="Choose your commencing study period (drop-down list)" dataDxfId="368"/>
    <tableColumn id="2" xr3:uid="{00000000-0010-0000-0200-000002000000}" name="START" dataDxfId="367"/>
    <tableColumn id="3" xr3:uid="{00000000-0010-0000-0200-000003000000}" name="Next" dataDxfId="366"/>
    <tableColumn id="4" xr3:uid="{00000000-0010-0000-0200-000004000000}" name="Next2" dataDxfId="365"/>
    <tableColumn id="5" xr3:uid="{00000000-0010-0000-0200-000005000000}" name="Next3" dataDxfId="3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MTeach" displayName="TableMajorsMTeach" ref="A18:G21" totalsRowShown="0" headerRowDxfId="363" dataDxfId="362">
  <autoFilter ref="A18:G21" xr:uid="{00000000-0009-0000-0100-000005000000}"/>
  <tableColumns count="7">
    <tableColumn id="1" xr3:uid="{00000000-0010-0000-0300-000001000000}" name="Choose your Major" dataDxfId="361"/>
    <tableColumn id="2" xr3:uid="{00000000-0010-0000-0300-000002000000}" name="UDC" dataDxfId="360"/>
    <tableColumn id="3" xr3:uid="{00000000-0010-0000-0300-000003000000}" name="SM Version" dataDxfId="359"/>
    <tableColumn id="4" xr3:uid="{00000000-0010-0000-0300-000004000000}" name="SM Effective Date" dataDxfId="358"/>
    <tableColumn id="5" xr3:uid="{00000000-0010-0000-0300-000005000000}" name="Akari Iteration" dataDxfId="357"/>
    <tableColumn id="6" xr3:uid="{00000000-0010-0000-0300-000006000000}" name="Akari Effective Date" dataDxfId="356"/>
    <tableColumn id="7" xr3:uid="{00000000-0010-0000-0300-000007000000}" name="Credit Points" dataDxfId="3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24:G26" totalsRowShown="0" headerRowDxfId="354" dataDxfId="353">
  <autoFilter ref="A24:G26" xr:uid="{00000000-0009-0000-0100-000029000000}"/>
  <tableColumns count="7">
    <tableColumn id="1" xr3:uid="{00000000-0010-0000-0400-000001000000}" name="Choose your Major" dataDxfId="352"/>
    <tableColumn id="2" xr3:uid="{00000000-0010-0000-0400-000002000000}" name="UDC" dataDxfId="351"/>
    <tableColumn id="3" xr3:uid="{00000000-0010-0000-0400-000003000000}" name="SM Version" dataDxfId="350"/>
    <tableColumn id="4" xr3:uid="{00000000-0010-0000-0400-000004000000}" name="SM Effective Date" dataDxfId="349"/>
    <tableColumn id="5" xr3:uid="{00000000-0010-0000-0400-000005000000}" name="Akari Iteration" dataDxfId="348"/>
    <tableColumn id="6" xr3:uid="{00000000-0010-0000-0400-000006000000}" name="Akari Effective Date" dataDxfId="347"/>
    <tableColumn id="7" xr3:uid="{00000000-0010-0000-0400-000007000000}" name="Credit Points" dataDxfId="3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5000000}" name="TableFocusOCEDUC" displayName="TableFocusOCEDUC" ref="A36:G40" totalsRowShown="0" headerRowDxfId="345" dataDxfId="344">
  <autoFilter ref="A36:G40" xr:uid="{00000000-0009-0000-0100-00002F000000}"/>
  <tableColumns count="7">
    <tableColumn id="1" xr3:uid="{00000000-0010-0000-0500-000001000000}" name="Choose your Focus Area (drop-down list)" dataDxfId="343"/>
    <tableColumn id="2" xr3:uid="{00000000-0010-0000-0500-000002000000}" name="UDC" dataDxfId="342"/>
    <tableColumn id="3" xr3:uid="{00000000-0010-0000-0500-000003000000}" name="SM Version" dataDxfId="341"/>
    <tableColumn id="4" xr3:uid="{00000000-0010-0000-0500-000004000000}" name="SM Effective Date" dataDxfId="340"/>
    <tableColumn id="5" xr3:uid="{00000000-0010-0000-0500-000005000000}" name="Akari Iteration" dataDxfId="339"/>
    <tableColumn id="6" xr3:uid="{00000000-0010-0000-0500-000006000000}" name="Akari Effective Date" dataDxfId="338"/>
    <tableColumn id="7" xr3:uid="{00000000-0010-0000-0500-000007000000}" name="Credit Points" dataDxfId="33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FirstTeachingArea" displayName="TableFirstTeachingArea" ref="A6:B12" totalsRowShown="0">
  <autoFilter ref="A6:B12" xr:uid="{00000000-0009-0000-0100-00000A000000}"/>
  <tableColumns count="2">
    <tableColumn id="1" xr3:uid="{00000000-0010-0000-0600-000001000000}" name="First 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700-000001000000}" name="Teaching Area"/>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OGEDUCTeachingArea" displayName="TableOGEDUCTeachingArea" ref="A30:B36" totalsRowShown="0">
  <autoFilter ref="A30:B36" xr:uid="{00000000-0009-0000-0100-00002E000000}"/>
  <tableColumns count="2">
    <tableColumn id="1" xr3:uid="{00000000-0010-0000-0800-000001000000}" name="Choose your Approved Teaching Area (drop-down list)"/>
    <tableColumn id="2" xr3:uid="{00000000-0010-0000-0800-000002000000}" name="Code"/>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Handbook" displayName="TableHandbook" ref="A2:AC99" totalsRowShown="0" headerRowDxfId="336" dataDxfId="335">
  <autoFilter ref="A2:AC99" xr:uid="{00000000-0009-0000-0100-000002000000}"/>
  <sortState xmlns:xlrd2="http://schemas.microsoft.com/office/spreadsheetml/2017/richdata2" ref="A3:AC99">
    <sortCondition ref="A2:A99"/>
  </sortState>
  <tableColumns count="29">
    <tableColumn id="1" xr3:uid="{00000000-0010-0000-0900-000001000000}" name="UDC" dataDxfId="334"/>
    <tableColumn id="2" xr3:uid="{00000000-0010-0000-0900-000002000000}" name="Ver" dataDxfId="333"/>
    <tableColumn id="3" xr3:uid="{00000000-0010-0000-0900-000003000000}" name="OUA Cd" dataDxfId="332"/>
    <tableColumn id="4" xr3:uid="{00000000-0010-0000-0900-000004000000}" name="Title" dataDxfId="331"/>
    <tableColumn id="5" xr3:uid="{00000000-0010-0000-0900-000005000000}" name="Credits" dataDxfId="330"/>
    <tableColumn id="6" xr3:uid="{00000000-0010-0000-0900-000006000000}" name="Pre-reqs (7/10/2024)" dataDxfId="329"/>
    <tableColumn id="12" xr3:uid="{00000000-0010-0000-0900-00000C000000}" name="SP1" dataDxfId="328">
      <calculatedColumnFormula>IFERROR(IF(VLOOKUP(TableHandbook[[#This Row],[UDC]],TableAvailabilities[],2,FALSE)&gt;0,"Y",""),"")</calculatedColumnFormula>
    </tableColumn>
    <tableColumn id="17" xr3:uid="{00000000-0010-0000-0900-000011000000}" name="SP2" dataDxfId="327">
      <calculatedColumnFormula>IFERROR(IF(VLOOKUP(TableHandbook[[#This Row],[UDC]],TableAvailabilities[],3,FALSE)&gt;0,"Y",""),"")</calculatedColumnFormula>
    </tableColumn>
    <tableColumn id="18" xr3:uid="{00000000-0010-0000-0900-000012000000}" name="SP3" dataDxfId="326">
      <calculatedColumnFormula>IFERROR(IF(VLOOKUP(TableHandbook[[#This Row],[UDC]],TableAvailabilities[],4,FALSE)&gt;0,"Y",""),"")</calculatedColumnFormula>
    </tableColumn>
    <tableColumn id="7" xr3:uid="{00000000-0010-0000-0900-000007000000}" name="SP4" dataDxfId="325">
      <calculatedColumnFormula>IFERROR(IF(VLOOKUP(TableHandbook[[#This Row],[UDC]],TableAvailabilities[],5,FALSE)&gt;0,"Y",""),"")</calculatedColumnFormula>
    </tableColumn>
    <tableColumn id="16" xr3:uid="{00000000-0010-0000-0900-000010000000}" name="Notes" dataDxfId="324"/>
    <tableColumn id="8" xr3:uid="{00000000-0010-0000-0900-000008000000}" name="OM-TEACH1" dataDxfId="323">
      <calculatedColumnFormula>IFERROR(VLOOKUP(TableHandbook[[#This Row],[UDC]],TableOMTEACH1[],7,FALSE),"")</calculatedColumnFormula>
    </tableColumn>
    <tableColumn id="9" xr3:uid="{00000000-0010-0000-0900-000009000000}" name="OUMP-TCHEC" dataDxfId="322">
      <calculatedColumnFormula>IFERROR(VLOOKUP(TableHandbook[[#This Row],[UDC]],TableOUMPTCHEC[],7,FALSE),"")</calculatedColumnFormula>
    </tableColumn>
    <tableColumn id="10" xr3:uid="{00000000-0010-0000-0900-00000A000000}" name="OUMP-TCHPE" dataDxfId="321">
      <calculatedColumnFormula>IFERROR(VLOOKUP(TableHandbook[[#This Row],[UDC]],TableOUMPTCHPE[],7,FALSE),"")</calculatedColumnFormula>
    </tableColumn>
    <tableColumn id="20" xr3:uid="{00000000-0010-0000-0900-000014000000}" name="OUMP-TCHSE" dataDxfId="320">
      <calculatedColumnFormula>IFERROR(VLOOKUP(TableHandbook[[#This Row],[UDC]],TableOUMPTCHSE[],7,FALSE),"")</calculatedColumnFormula>
    </tableColumn>
    <tableColumn id="11" xr3:uid="{00000000-0010-0000-0900-00000B000000}" name="OC-TESOL1" dataDxfId="319">
      <calculatedColumnFormula>IFERROR(VLOOKUP(TableHandbook[[#This Row],[UDC]],TableOCTESOL1[],7,FALSE),"")</calculatedColumnFormula>
    </tableColumn>
    <tableColumn id="13" xr3:uid="{00000000-0010-0000-0900-00000D000000}" name="OC-TESOL" dataDxfId="318">
      <calculatedColumnFormula>IFERROR(VLOOKUP(TableHandbook[[#This Row],[UDC]],TableOCTESOL[],7,FALSE),"")</calculatedColumnFormula>
    </tableColumn>
    <tableColumn id="14" xr3:uid="{00000000-0010-0000-0900-00000E000000}" name="OM-APLING" dataDxfId="317">
      <calculatedColumnFormula>IFERROR(VLOOKUP(TableHandbook[[#This Row],[UDC]],TableOMAPLING[],7,FALSE),"")</calculatedColumnFormula>
    </tableColumn>
    <tableColumn id="15" xr3:uid="{00000000-0010-0000-0900-00000F000000}" name="OC-EDHE1" dataDxfId="316">
      <calculatedColumnFormula>IFERROR(VLOOKUP(TableHandbook[[#This Row],[UDC]],TableOCEDHE1[],7,FALSE),"")</calculatedColumnFormula>
    </tableColumn>
    <tableColumn id="19" xr3:uid="{00000000-0010-0000-0900-000013000000}" name="OC-EDHE" dataDxfId="315">
      <calculatedColumnFormula>IFERROR(VLOOKUP(TableHandbook[[#This Row],[UDC]],TableOCEDHE[],7,FALSE),"")</calculatedColumnFormula>
    </tableColumn>
    <tableColumn id="21" xr3:uid="{00000000-0010-0000-0900-000015000000}" name="OC-EDUCS1" dataDxfId="314">
      <calculatedColumnFormula>IFERROR(VLOOKUP(TableHandbook[[#This Row],[UDC]],TableOCEDUCS1[],7,FALSE),"")</calculatedColumnFormula>
    </tableColumn>
    <tableColumn id="22" xr3:uid="{00000000-0010-0000-0900-000016000000}" name="OC-EDUC" dataDxfId="313">
      <calculatedColumnFormula>IFERROR(VLOOKUP(TableHandbook[[#This Row],[UDC]],TableOCEDUC[],7,FALSE),"")</calculatedColumnFormula>
    </tableColumn>
    <tableColumn id="27" xr3:uid="{00000000-0010-0000-0900-00001B000000}" name="OG-EDUC" dataDxfId="312">
      <calculatedColumnFormula>IFERROR(VLOOKUP(TableHandbook[[#This Row],[UDC]],TableOGEDUC[],7,FALSE),"")</calculatedColumnFormula>
    </tableColumn>
    <tableColumn id="30" xr3:uid="{00000000-0010-0000-0900-00001E000000}" name="OUMP-EDUPR" dataDxfId="311">
      <calculatedColumnFormula>IFERROR(VLOOKUP(TableHandbook[[#This Row],[UDC]],TableOUMPEDUPR[],7,FALSE),"")</calculatedColumnFormula>
    </tableColumn>
    <tableColumn id="31" xr3:uid="{00000000-0010-0000-0900-00001F000000}" name="OUMP-EDUSC" dataDxfId="310">
      <calculatedColumnFormula>IFERROR(VLOOKUP(TableHandbook[[#This Row],[UDC]],TableOUMPEDUSC[],7,FALSE),"")</calculatedColumnFormula>
    </tableColumn>
    <tableColumn id="23" xr3:uid="{00000000-0010-0000-0900-000017000000}" name="OM-EDUC" dataDxfId="309">
      <calculatedColumnFormula>IFERROR(VLOOKUP(TableHandbook[[#This Row],[UDC]],TableOMEDUC[],7,FALSE),"")</calculatedColumnFormula>
    </tableColumn>
    <tableColumn id="24" xr3:uid="{00000000-0010-0000-0900-000018000000}" name="OSEP-CULIN" dataDxfId="308">
      <calculatedColumnFormula>IFERROR(VLOOKUP(TableHandbook[[#This Row],[UDC]],TableOSEPCULIN[],7,FALSE),"")</calculatedColumnFormula>
    </tableColumn>
    <tableColumn id="25" xr3:uid="{00000000-0010-0000-0900-000019000000}" name="OSEP-LNTCH" dataDxfId="307">
      <calculatedColumnFormula>IFERROR(VLOOKUP(TableHandbook[[#This Row],[UDC]],TableOSEPLNTCH[],7,FALSE),"")</calculatedColumnFormula>
    </tableColumn>
    <tableColumn id="26" xr3:uid="{00000000-0010-0000-0900-00001A000000}" name="OSEP-STEME" dataDxfId="306">
      <calculatedColumnFormula>IFERROR(VLOOKUP(TableHandbook[[#This Row],[UDC]],TableOSEPSTEME[],7,FALSE),"")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A00-00000F000000}" name="UDC" dataDxfId="305">
      <calculatedColumnFormula>TableOMTEACH1[[#This Row],[Study Package Code]]</calculatedColumnFormula>
    </tableColumn>
    <tableColumn id="16" xr3:uid="{00000000-0010-0000-0A00-000010000000}" name="Version" dataDxfId="304">
      <calculatedColumnFormula>TableOMTEACH1[[#This Row],[Ver]]</calculatedColumnFormula>
    </tableColumn>
    <tableColumn id="17" xr3:uid="{00000000-0010-0000-0A00-000011000000}" name="OUA Code"/>
    <tableColumn id="18" xr3:uid="{00000000-0010-0000-0A00-000012000000}" name="Unit Title" dataDxfId="303">
      <calculatedColumnFormula>TableOMTEACH1[[#This Row],[Structure Line]]</calculatedColumnFormula>
    </tableColumn>
    <tableColumn id="19" xr3:uid="{00000000-0010-0000-0A00-000013000000}" name="CPs" dataDxfId="302">
      <calculatedColumnFormula>TableOMTEACH1[[#This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301"/>
    <tableColumn id="10" xr3:uid="{00000000-0010-0000-0A00-00000A000000}" name="Discont." dataDxfId="30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B00-000009000000}" name="UDC" dataDxfId="299">
      <calculatedColumnFormula>TableOUMPTCHEC[[#This Row],[Study Package Code]]</calculatedColumnFormula>
    </tableColumn>
    <tableColumn id="10" xr3:uid="{00000000-0010-0000-0B00-00000A000000}" name="Version" dataDxfId="298">
      <calculatedColumnFormula>TableOUMPTCHEC[[#This Row],[Ver]]</calculatedColumnFormula>
    </tableColumn>
    <tableColumn id="11" xr3:uid="{00000000-0010-0000-0B00-00000B000000}" name="OUA Code" dataDxfId="297">
      <calculatedColumnFormula>LEFT(TableOUMPTCHEC[[#This Row],[Structure Line]],7)</calculatedColumnFormula>
    </tableColumn>
    <tableColumn id="12" xr3:uid="{00000000-0010-0000-0B00-00000C000000}" name="Unit Title" dataDxfId="296">
      <calculatedColumnFormula>MID(TableOUMPTCHEC[[#This Row],[Structure Line]],8,LEN(TableOUMPTCHEC[[#This Row],[Structure Line]]))</calculatedColumnFormula>
    </tableColumn>
    <tableColumn id="13" xr3:uid="{00000000-0010-0000-0B00-00000D000000}" name="CPs" dataDxfId="295">
      <calculatedColumnFormula>TableOUMPTCHEC[[#This Row],[Credit Points]]</calculatedColumnFormula>
    </tableColumn>
    <tableColumn id="1" xr3:uid="{00000000-0010-0000-0B00-000001000000}" name="No." dataDxfId="294"/>
    <tableColumn id="2" xr3:uid="{00000000-0010-0000-0B00-000002000000}" name="Component Type" dataDxfId="293"/>
    <tableColumn id="3" xr3:uid="{00000000-0010-0000-0B00-000003000000}" name="Year Level" dataDxfId="292"/>
    <tableColumn id="4" xr3:uid="{00000000-0010-0000-0B00-000004000000}" name="Study Period" dataDxfId="291"/>
    <tableColumn id="5" xr3:uid="{00000000-0010-0000-0B00-000005000000}" name="Study Package Code" dataDxfId="290"/>
    <tableColumn id="6" xr3:uid="{00000000-0010-0000-0B00-000006000000}" name="Ver" dataDxfId="289"/>
    <tableColumn id="7" xr3:uid="{00000000-0010-0000-0B00-000007000000}" name="Structure Line" dataDxfId="288"/>
    <tableColumn id="8" xr3:uid="{00000000-0010-0000-0B00-000008000000}" name="Credit Points" dataDxfId="287"/>
    <tableColumn id="14" xr3:uid="{00000000-0010-0000-0B00-00000E000000}" name="Effective" dataDxfId="286"/>
    <tableColumn id="15" xr3:uid="{00000000-0010-0000-0B00-00000F000000}" name="Discont." dataDxfId="28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C00-000009000000}" name="UDC" dataDxfId="284">
      <calculatedColumnFormula>TableOUMPTCHPE[[#This Row],[Study Package Code]]</calculatedColumnFormula>
    </tableColumn>
    <tableColumn id="10" xr3:uid="{00000000-0010-0000-0C00-00000A000000}" name="Version" dataDxfId="283">
      <calculatedColumnFormula>TableOUMPTCHPE[[#This Row],[Ver]]</calculatedColumnFormula>
    </tableColumn>
    <tableColumn id="11" xr3:uid="{00000000-0010-0000-0C00-00000B000000}" name="OUA Code" dataDxfId="282">
      <calculatedColumnFormula>LEFT(TableOUMPTCHPE[[#This Row],[Structure Line]], FIND(" ", TableOUMPTCHPE[[#This Row],[Structure Line]])-1)</calculatedColumnFormula>
    </tableColumn>
    <tableColumn id="12" xr3:uid="{00000000-0010-0000-0C00-00000C000000}" name="Unit Title" dataDxfId="281">
      <calculatedColumnFormula>MID(TableOUMPTCHPE[[#This Row],[Structure Line]],FIND(" ",TableOUMPTCHPE[[#This Row],[Structure Line]])+1,LEN(TableOUMPTCHPE[[#This Row],[Structure Line]]))</calculatedColumnFormula>
    </tableColumn>
    <tableColumn id="13" xr3:uid="{00000000-0010-0000-0C00-00000D000000}" name="CPs" dataDxfId="280">
      <calculatedColumnFormula>TableOUMPTCHPE[[#This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279"/>
    <tableColumn id="15" xr3:uid="{00000000-0010-0000-0C00-00000F000000}" name="Discont." dataDxfId="2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D00-000009000000}" name="UDC" dataDxfId="277">
      <calculatedColumnFormula>TableOUMPTCHSE[[#This Row],[Study Package Code]]</calculatedColumnFormula>
    </tableColumn>
    <tableColumn id="10" xr3:uid="{00000000-0010-0000-0D00-00000A000000}" name="Version" dataDxfId="276">
      <calculatedColumnFormula>TableOUMPTCHSE[[#This Row],[Ver]]</calculatedColumnFormula>
    </tableColumn>
    <tableColumn id="11" xr3:uid="{00000000-0010-0000-0D00-00000B000000}" name="OUA Code" dataDxfId="275">
      <calculatedColumnFormula>LEFT(TableOUMPTCHSE[[#This Row],[Structure Line]], FIND(" ", TableOUMPTCHSE[[#This Row],[Structure Line]])-1)</calculatedColumnFormula>
    </tableColumn>
    <tableColumn id="12" xr3:uid="{00000000-0010-0000-0D00-00000C000000}" name="Unit Title" dataDxfId="274">
      <calculatedColumnFormula>MID(TableOUMPTCHSE[[#This Row],[Structure Line]],FIND(" ",TableOUMPTCHSE[[#This Row],[Structure Line]])+1,LEN(TableOUMPTCHSE[[#This Row],[Structure Line]]))</calculatedColumnFormula>
    </tableColumn>
    <tableColumn id="13" xr3:uid="{00000000-0010-0000-0D00-00000D000000}" name="CPs" dataDxfId="273">
      <calculatedColumnFormula>TableOUMPTCHSE[[#This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272"/>
    <tableColumn id="15" xr3:uid="{00000000-0010-0000-0D00-00000F000000}" name="Discont." dataDxfId="2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E00-000009000000}" name="UDC" dataDxfId="270">
      <calculatedColumnFormula>TableOMAPLING[[#This Row],[Study Package Code]]</calculatedColumnFormula>
    </tableColumn>
    <tableColumn id="10" xr3:uid="{00000000-0010-0000-0E00-00000A000000}" name="Version" dataDxfId="269">
      <calculatedColumnFormula>TableOMAPLING[[#This Row],[Ver]]</calculatedColumnFormula>
    </tableColumn>
    <tableColumn id="11" xr3:uid="{00000000-0010-0000-0E00-00000B000000}" name="OUA Code" dataDxfId="268">
      <calculatedColumnFormula>LEFT(TableOMAPLING[[#This Row],[Structure Line]], FIND(" ", TableOMAPLING[[#This Row],[Structure Line]])-1)</calculatedColumnFormula>
    </tableColumn>
    <tableColumn id="12" xr3:uid="{00000000-0010-0000-0E00-00000C000000}" name="Unit Title" dataDxfId="267">
      <calculatedColumnFormula>MID(TableOMAPLING[[#This Row],[Structure Line]],FIND(" ",TableOMAPLING[[#This Row],[Structure Line]])+1,LEN(TableOMAPLING[[#This Row],[Structure Line]]))</calculatedColumnFormula>
    </tableColumn>
    <tableColumn id="13" xr3:uid="{00000000-0010-0000-0E00-00000D000000}" name="CPs" dataDxfId="266">
      <calculatedColumnFormula>TableOMAPLING[[#This Row],[Credit Points]]</calculatedColumnFormula>
    </tableColumn>
    <tableColumn id="1" xr3:uid="{00000000-0010-0000-0E00-000001000000}" name="No." dataDxfId="265"/>
    <tableColumn id="2" xr3:uid="{00000000-0010-0000-0E00-000002000000}" name="Component Type" dataDxfId="264"/>
    <tableColumn id="3" xr3:uid="{00000000-0010-0000-0E00-000003000000}" name="Year Level" dataDxfId="263"/>
    <tableColumn id="4" xr3:uid="{00000000-0010-0000-0E00-000004000000}" name="Study Period" dataDxfId="262"/>
    <tableColumn id="5" xr3:uid="{00000000-0010-0000-0E00-000005000000}" name="Study Package Code" dataDxfId="261"/>
    <tableColumn id="6" xr3:uid="{00000000-0010-0000-0E00-000006000000}" name="Ver" dataDxfId="260"/>
    <tableColumn id="7" xr3:uid="{00000000-0010-0000-0E00-000007000000}" name="Structure Line" dataDxfId="259"/>
    <tableColumn id="8" xr3:uid="{00000000-0010-0000-0E00-000008000000}" name="Credit Points" dataDxfId="258"/>
    <tableColumn id="14" xr3:uid="{00000000-0010-0000-0E00-00000E000000}" name="Effective" dataDxfId="257"/>
    <tableColumn id="15" xr3:uid="{00000000-0010-0000-0E00-00000F000000}" name="Discont." dataDxfId="2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F00-000009000000}" name="UDC" dataDxfId="255">
      <calculatedColumnFormula>TableOCTESOL1[[#This Row],[Study Package Code]]</calculatedColumnFormula>
    </tableColumn>
    <tableColumn id="10" xr3:uid="{00000000-0010-0000-0F00-00000A000000}" name="Version" dataDxfId="254">
      <calculatedColumnFormula>TableOCTESOL1[[#This Row],[Ver]]</calculatedColumnFormula>
    </tableColumn>
    <tableColumn id="11" xr3:uid="{00000000-0010-0000-0F00-00000B000000}" name="OUA Code" dataDxfId="253">
      <calculatedColumnFormula>LEFT(TableOCTESOL1[[#This Row],[Structure Line]], FIND(" ", TableOCTESOL1[[#This Row],[Structure Line]])-1)</calculatedColumnFormula>
    </tableColumn>
    <tableColumn id="12" xr3:uid="{00000000-0010-0000-0F00-00000C000000}" name="Unit Title" dataDxfId="252">
      <calculatedColumnFormula>MID(TableOCTESOL1[[#This Row],[Structure Line]],FIND(" ",TableOCTESOL1[[#This Row],[Structure Line]])+1,LEN(TableOCTESOL1[[#This Row],[Structure Line]]))</calculatedColumnFormula>
    </tableColumn>
    <tableColumn id="13" xr3:uid="{00000000-0010-0000-0F00-00000D000000}" name="CPs" dataDxfId="251">
      <calculatedColumnFormula>TableOCTESOL1[[#This Row],[Credit Points]]</calculatedColumnFormula>
    </tableColumn>
    <tableColumn id="1" xr3:uid="{00000000-0010-0000-0F00-000001000000}" name="No." dataDxfId="250"/>
    <tableColumn id="2" xr3:uid="{00000000-0010-0000-0F00-000002000000}" name="Component Type" dataDxfId="249"/>
    <tableColumn id="3" xr3:uid="{00000000-0010-0000-0F00-000003000000}" name="Year Level" dataDxfId="248"/>
    <tableColumn id="4" xr3:uid="{00000000-0010-0000-0F00-000004000000}" name="Study Period" dataDxfId="247"/>
    <tableColumn id="5" xr3:uid="{00000000-0010-0000-0F00-000005000000}" name="Study Package Code" dataDxfId="246"/>
    <tableColumn id="6" xr3:uid="{00000000-0010-0000-0F00-000006000000}" name="Ver" dataDxfId="245"/>
    <tableColumn id="7" xr3:uid="{00000000-0010-0000-0F00-000007000000}" name="Structure Line" dataDxfId="244"/>
    <tableColumn id="8" xr3:uid="{00000000-0010-0000-0F00-000008000000}" name="Credit Points" dataDxfId="243"/>
    <tableColumn id="14" xr3:uid="{00000000-0010-0000-0F00-00000E000000}" name="Effective" dataDxfId="242"/>
    <tableColumn id="15" xr3:uid="{00000000-0010-0000-0F00-00000F000000}" name="Discont." dataDxfId="24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1000-000009000000}" name="UDC" dataDxfId="240">
      <calculatedColumnFormula>TableOCTESOL[[#This Row],[Study Package Code]]</calculatedColumnFormula>
    </tableColumn>
    <tableColumn id="10" xr3:uid="{00000000-0010-0000-1000-00000A000000}" name="Version" dataDxfId="239">
      <calculatedColumnFormula>TableOCTESOL[[#This Row],[Ver]]</calculatedColumnFormula>
    </tableColumn>
    <tableColumn id="11" xr3:uid="{00000000-0010-0000-1000-00000B000000}" name="OUA Code" dataDxfId="238">
      <calculatedColumnFormula>LEFT(TableOCTESOL[[#This Row],[Structure Line]], FIND(" ", TableOCTESOL[[#This Row],[Structure Line]])-1)</calculatedColumnFormula>
    </tableColumn>
    <tableColumn id="12" xr3:uid="{00000000-0010-0000-1000-00000C000000}" name="Unit Title" dataDxfId="237">
      <calculatedColumnFormula>MID(TableOCTESOL[[#This Row],[Structure Line]],FIND(" ",TableOCTESOL[[#This Row],[Structure Line]])+1,LEN(TableOCTESOL[[#This Row],[Structure Line]]))</calculatedColumnFormula>
    </tableColumn>
    <tableColumn id="13" xr3:uid="{00000000-0010-0000-1000-00000D000000}" name="CPs" dataDxfId="236">
      <calculatedColumnFormula>TableOCTESOL[[#This Row],[Credit Points]]</calculatedColumnFormula>
    </tableColumn>
    <tableColumn id="1" xr3:uid="{00000000-0010-0000-1000-000001000000}" name="No." dataDxfId="235"/>
    <tableColumn id="2" xr3:uid="{00000000-0010-0000-1000-000002000000}" name="Component Type" dataDxfId="234"/>
    <tableColumn id="3" xr3:uid="{00000000-0010-0000-1000-000003000000}" name="Year Level" dataDxfId="233"/>
    <tableColumn id="4" xr3:uid="{00000000-0010-0000-1000-000004000000}" name="Study Period" dataDxfId="232"/>
    <tableColumn id="5" xr3:uid="{00000000-0010-0000-1000-000005000000}" name="Study Package Code" dataDxfId="231"/>
    <tableColumn id="6" xr3:uid="{00000000-0010-0000-1000-000006000000}" name="Ver" dataDxfId="230"/>
    <tableColumn id="7" xr3:uid="{00000000-0010-0000-1000-000007000000}" name="Structure Line" dataDxfId="229"/>
    <tableColumn id="8" xr3:uid="{00000000-0010-0000-1000-000008000000}" name="Credit Points" dataDxfId="228"/>
    <tableColumn id="14" xr3:uid="{00000000-0010-0000-1000-00000E000000}" name="Effective" dataDxfId="227"/>
    <tableColumn id="15" xr3:uid="{00000000-0010-0000-1000-00000F000000}" name="Discont." dataDxfId="22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100-000009000000}" name="UDC" dataDxfId="225">
      <calculatedColumnFormula>TableOMEDUC[[#This Row],[Study Package Code]]</calculatedColumnFormula>
    </tableColumn>
    <tableColumn id="10" xr3:uid="{00000000-0010-0000-1100-00000A000000}" name="Version" dataDxfId="224">
      <calculatedColumnFormula>TableOMEDUC[[#This Row],[Ver]]</calculatedColumnFormula>
    </tableColumn>
    <tableColumn id="11" xr3:uid="{00000000-0010-0000-1100-00000B000000}" name="OUA Code" dataDxfId="223">
      <calculatedColumnFormula>LEFT(TableOMEDUC[[#This Row],[Structure Line]], FIND(" ", TableOMEDUC[[#This Row],[Structure Line]])-1)</calculatedColumnFormula>
    </tableColumn>
    <tableColumn id="12" xr3:uid="{00000000-0010-0000-1100-00000C000000}" name="Unit Title" dataDxfId="222">
      <calculatedColumnFormula>MID(TableOMEDUC[[#This Row],[Structure Line]],FIND(" ",TableOMEDUC[[#This Row],[Structure Line]])+1,LEN(TableOMEDUC[[#This Row],[Structure Line]]))</calculatedColumnFormula>
    </tableColumn>
    <tableColumn id="13" xr3:uid="{00000000-0010-0000-1100-00000D000000}" name="CPs" dataDxfId="221">
      <calculatedColumnFormula>TableOMEDUC[[#This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220"/>
    <tableColumn id="15" xr3:uid="{00000000-0010-0000-1100-00000F000000}" name="Discont." dataDxfId="2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200-000009000000}" name="UDC" dataDxfId="218">
      <calculatedColumnFormula>TableOSEPCULIN[[#This Row],[Study Package Code]]</calculatedColumnFormula>
    </tableColumn>
    <tableColumn id="10" xr3:uid="{00000000-0010-0000-1200-00000A000000}" name="Version" dataDxfId="217">
      <calculatedColumnFormula>TableOSEPCULIN[[#This Row],[Ver]]</calculatedColumnFormula>
    </tableColumn>
    <tableColumn id="11" xr3:uid="{00000000-0010-0000-1200-00000B000000}" name="OUA Code" dataDxfId="216">
      <calculatedColumnFormula>LEFT(TableOSEPCULIN[[#This Row],[Structure Line]], FIND(" ", TableOSEPCULIN[[#This Row],[Structure Line]])-1)</calculatedColumnFormula>
    </tableColumn>
    <tableColumn id="12" xr3:uid="{00000000-0010-0000-1200-00000C000000}" name="Unit Title" dataDxfId="215">
      <calculatedColumnFormula>MID(TableOSEPCULIN[[#This Row],[Structure Line]],FIND(" ",TableOSEPCULIN[[#This Row],[Structure Line]])+1,LEN(TableOSEPCULIN[[#This Row],[Structure Line]]))</calculatedColumnFormula>
    </tableColumn>
    <tableColumn id="13" xr3:uid="{00000000-0010-0000-1200-00000D000000}" name="CPs" dataDxfId="214">
      <calculatedColumnFormula>TableOSEPCULIN[[#This Row],[Credit Points]]</calculatedColumnFormula>
    </tableColumn>
    <tableColumn id="1" xr3:uid="{00000000-0010-0000-1200-000001000000}" name="No." dataDxfId="213"/>
    <tableColumn id="2" xr3:uid="{00000000-0010-0000-1200-000002000000}" name="Component Type" dataDxfId="212"/>
    <tableColumn id="3" xr3:uid="{00000000-0010-0000-1200-000003000000}" name="Year Level" dataDxfId="211"/>
    <tableColumn id="4" xr3:uid="{00000000-0010-0000-1200-000004000000}" name="Study Period" dataDxfId="210"/>
    <tableColumn id="5" xr3:uid="{00000000-0010-0000-1200-000005000000}" name="Study Package Code" dataDxfId="209"/>
    <tableColumn id="6" xr3:uid="{00000000-0010-0000-1200-000006000000}" name="Ver" dataDxfId="208"/>
    <tableColumn id="7" xr3:uid="{00000000-0010-0000-1200-000007000000}" name="Structure Line" dataDxfId="207"/>
    <tableColumn id="8" xr3:uid="{00000000-0010-0000-1200-000008000000}" name="Credit Points" dataDxfId="206"/>
    <tableColumn id="14" xr3:uid="{00000000-0010-0000-1200-00000E000000}" name="Effective" dataDxfId="205"/>
    <tableColumn id="15" xr3:uid="{00000000-0010-0000-1200-00000F000000}" name="Discont." dataDxfId="2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300-000009000000}" name="UDC" dataDxfId="203">
      <calculatedColumnFormula>TableOSEPLNTCH[[#This Row],[Study Package Code]]</calculatedColumnFormula>
    </tableColumn>
    <tableColumn id="10" xr3:uid="{00000000-0010-0000-1300-00000A000000}" name="Version" dataDxfId="202">
      <calculatedColumnFormula>TableOSEPLNTCH[[#This Row],[Ver]]</calculatedColumnFormula>
    </tableColumn>
    <tableColumn id="11" xr3:uid="{00000000-0010-0000-1300-00000B000000}" name="OUA Code" dataDxfId="201">
      <calculatedColumnFormula>LEFT(TableOSEPLNTCH[[#This Row],[Structure Line]], FIND(" ", TableOSEPLNTCH[[#This Row],[Structure Line]])-1)</calculatedColumnFormula>
    </tableColumn>
    <tableColumn id="12" xr3:uid="{00000000-0010-0000-1300-00000C000000}" name="Unit Title" dataDxfId="200">
      <calculatedColumnFormula>MID(TableOSEPLNTCH[[#This Row],[Structure Line]],FIND(" ",TableOSEPLNTCH[[#This Row],[Structure Line]])+1,LEN(TableOSEPLNTCH[[#This Row],[Structure Line]]))</calculatedColumnFormula>
    </tableColumn>
    <tableColumn id="13" xr3:uid="{00000000-0010-0000-1300-00000D000000}" name="CPs" dataDxfId="199">
      <calculatedColumnFormula>TableOSEPLNTCH[[#This Row],[Credit Points]]</calculatedColumnFormula>
    </tableColumn>
    <tableColumn id="1" xr3:uid="{00000000-0010-0000-1300-000001000000}" name="No." dataDxfId="198"/>
    <tableColumn id="2" xr3:uid="{00000000-0010-0000-1300-000002000000}" name="Component Type" dataDxfId="197"/>
    <tableColumn id="3" xr3:uid="{00000000-0010-0000-1300-000003000000}" name="Year Level" dataDxfId="196"/>
    <tableColumn id="4" xr3:uid="{00000000-0010-0000-1300-000004000000}" name="Study Period" dataDxfId="195"/>
    <tableColumn id="5" xr3:uid="{00000000-0010-0000-1300-000005000000}" name="Study Package Code" dataDxfId="194"/>
    <tableColumn id="6" xr3:uid="{00000000-0010-0000-1300-000006000000}" name="Ver" dataDxfId="193"/>
    <tableColumn id="7" xr3:uid="{00000000-0010-0000-1300-000007000000}" name="Structure Line" dataDxfId="192"/>
    <tableColumn id="8" xr3:uid="{00000000-0010-0000-1300-000008000000}" name="Credit Points" dataDxfId="191"/>
    <tableColumn id="14" xr3:uid="{00000000-0010-0000-1300-00000E000000}" name="Effective" dataDxfId="190"/>
    <tableColumn id="15" xr3:uid="{00000000-0010-0000-1300-00000F000000}" name="Discont." dataDxfId="18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400-000009000000}" name="UDC" dataDxfId="188">
      <calculatedColumnFormula>TableOSEPSTEME[[#This Row],[Study Package Code]]</calculatedColumnFormula>
    </tableColumn>
    <tableColumn id="10" xr3:uid="{00000000-0010-0000-1400-00000A000000}" name="Version" dataDxfId="187">
      <calculatedColumnFormula>TableOSEPSTEME[[#This Row],[Ver]]</calculatedColumnFormula>
    </tableColumn>
    <tableColumn id="11" xr3:uid="{00000000-0010-0000-1400-00000B000000}" name="OUA Code" dataDxfId="186">
      <calculatedColumnFormula>LEFT(TableOSEPSTEME[[#This Row],[Structure Line]], FIND(" ", TableOSEPSTEME[[#This Row],[Structure Line]])-1)</calculatedColumnFormula>
    </tableColumn>
    <tableColumn id="12" xr3:uid="{00000000-0010-0000-1400-00000C000000}" name="Unit Title" dataDxfId="185">
      <calculatedColumnFormula>MID(TableOSEPSTEME[[#This Row],[Structure Line]],FIND(" ",TableOSEPSTEME[[#This Row],[Structure Line]])+1,LEN(TableOSEPSTEME[[#This Row],[Structure Line]]))</calculatedColumnFormula>
    </tableColumn>
    <tableColumn id="13" xr3:uid="{00000000-0010-0000-1400-00000D000000}" name="CPs" dataDxfId="184">
      <calculatedColumnFormula>TableOSEPSTEME[[#This Row],[Credit Points]]</calculatedColumnFormula>
    </tableColumn>
    <tableColumn id="1" xr3:uid="{00000000-0010-0000-1400-000001000000}" name="No." dataDxfId="183"/>
    <tableColumn id="2" xr3:uid="{00000000-0010-0000-1400-000002000000}" name="Component Type" dataDxfId="182"/>
    <tableColumn id="3" xr3:uid="{00000000-0010-0000-1400-000003000000}" name="Year Level" dataDxfId="181"/>
    <tableColumn id="4" xr3:uid="{00000000-0010-0000-1400-000004000000}" name="Study Period" dataDxfId="180"/>
    <tableColumn id="5" xr3:uid="{00000000-0010-0000-1400-000005000000}" name="Study Package Code" dataDxfId="179"/>
    <tableColumn id="6" xr3:uid="{00000000-0010-0000-1400-000006000000}" name="Ver" dataDxfId="178"/>
    <tableColumn id="7" xr3:uid="{00000000-0010-0000-1400-000007000000}" name="Structure Line" dataDxfId="177"/>
    <tableColumn id="8" xr3:uid="{00000000-0010-0000-1400-000008000000}" name="Credit Points" dataDxfId="176"/>
    <tableColumn id="14" xr3:uid="{00000000-0010-0000-1400-00000E000000}" name="Effective" dataDxfId="175"/>
    <tableColumn id="15" xr3:uid="{00000000-0010-0000-1400-00000F000000}" name="Discont." dataDxfId="17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OCEDUCS1" displayName="TableOCEDUCS1" ref="A188:O202" totalsRowShown="0">
  <autoFilter ref="A188:O202" xr:uid="{00000000-0009-0000-0100-000014000000}"/>
  <sortState xmlns:xlrd2="http://schemas.microsoft.com/office/spreadsheetml/2017/richdata2" ref="A151:R161">
    <sortCondition ref="M42:M53"/>
  </sortState>
  <tableColumns count="15">
    <tableColumn id="9" xr3:uid="{00000000-0010-0000-1500-000009000000}" name="UDC" dataDxfId="173">
      <calculatedColumnFormula>TableOCEDUCS1[[#This Row],[Study Package Code]]</calculatedColumnFormula>
    </tableColumn>
    <tableColumn id="10" xr3:uid="{00000000-0010-0000-1500-00000A000000}" name="Version" dataDxfId="172">
      <calculatedColumnFormula>TableOCEDUCS1[[#This Row],[Ver]]</calculatedColumnFormula>
    </tableColumn>
    <tableColumn id="11" xr3:uid="{00000000-0010-0000-1500-00000B000000}" name="OUA Code" dataDxfId="171">
      <calculatedColumnFormula>LEFT(TableOCEDUCS1[[#This Row],[Structure Line]], FIND(" ", TableOCEDUCS1[[#This Row],[Structure Line]])-1)</calculatedColumnFormula>
    </tableColumn>
    <tableColumn id="12" xr3:uid="{00000000-0010-0000-1500-00000C000000}" name="Unit Title" dataDxfId="170">
      <calculatedColumnFormula>MID(TableOCEDUCS1[[#This Row],[Structure Line]],FIND(" ",TableOCEDUCS1[[#This Row],[Structure Line]])+1,LEN(TableOCEDUCS1[[#This Row],[Structure Line]]))</calculatedColumnFormula>
    </tableColumn>
    <tableColumn id="13" xr3:uid="{00000000-0010-0000-1500-00000D000000}" name="CPs" dataDxfId="169">
      <calculatedColumnFormula>TableOCEDUCS1[[#This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168"/>
    <tableColumn id="15" xr3:uid="{00000000-0010-0000-1500-00000F000000}" name="Discont." dataDxfId="1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OCEDUC" displayName="TableOCEDUC" ref="A204:O218" totalsRowShown="0">
  <autoFilter ref="A204:O218" xr:uid="{00000000-0009-0000-0100-000015000000}"/>
  <sortState xmlns:xlrd2="http://schemas.microsoft.com/office/spreadsheetml/2017/richdata2" ref="A167:R177">
    <sortCondition ref="M42:M53"/>
  </sortState>
  <tableColumns count="15">
    <tableColumn id="9" xr3:uid="{00000000-0010-0000-1600-000009000000}" name="UDC" dataDxfId="166">
      <calculatedColumnFormula>TableOCEDUC[[#This Row],[Study Package Code]]</calculatedColumnFormula>
    </tableColumn>
    <tableColumn id="10" xr3:uid="{00000000-0010-0000-1600-00000A000000}" name="Version" dataDxfId="165">
      <calculatedColumnFormula>TableOCEDUC[[#This Row],[Ver]]</calculatedColumnFormula>
    </tableColumn>
    <tableColumn id="11" xr3:uid="{00000000-0010-0000-1600-00000B000000}" name="OUA Code" dataDxfId="164">
      <calculatedColumnFormula>LEFT(TableOCEDUC[[#This Row],[Structure Line]], FIND(" ", TableOCEDUC[[#This Row],[Structure Line]])-1)</calculatedColumnFormula>
    </tableColumn>
    <tableColumn id="12" xr3:uid="{00000000-0010-0000-1600-00000C000000}" name="Unit Title" dataDxfId="163">
      <calculatedColumnFormula>MID(TableOCEDUC[[#This Row],[Structure Line]],FIND(" ",TableOCEDUC[[#This Row],[Structure Line]])+1,LEN(TableOCEDUC[[#This Row],[Structure Line]]))</calculatedColumnFormula>
    </tableColumn>
    <tableColumn id="13" xr3:uid="{00000000-0010-0000-1600-00000D000000}" name="CPs" dataDxfId="162">
      <calculatedColumnFormula>TableOCEDUC[[#This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14" xr3:uid="{00000000-0010-0000-1600-00000E000000}" name="Effective" dataDxfId="161"/>
    <tableColumn id="15" xr3:uid="{00000000-0010-0000-1600-00000F000000}" name="Discont." dataDxfId="16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OCEDHE1" displayName="TableOCEDHE1" ref="A221:O225" totalsRowShown="0">
  <autoFilter ref="A221:O225" xr:uid="{00000000-0009-0000-0100-000016000000}"/>
  <sortState xmlns:xlrd2="http://schemas.microsoft.com/office/spreadsheetml/2017/richdata2" ref="A184:M215">
    <sortCondition ref="F10:F42"/>
  </sortState>
  <tableColumns count="15">
    <tableColumn id="9" xr3:uid="{00000000-0010-0000-1700-000009000000}" name="UDC" dataDxfId="159">
      <calculatedColumnFormula>TableOCEDHE1[[#This Row],[Study Package Code]]</calculatedColumnFormula>
    </tableColumn>
    <tableColumn id="10" xr3:uid="{00000000-0010-0000-1700-00000A000000}" name="Version" dataDxfId="158">
      <calculatedColumnFormula>TableOCEDHE1[[#This Row],[Ver]]</calculatedColumnFormula>
    </tableColumn>
    <tableColumn id="11" xr3:uid="{00000000-0010-0000-1700-00000B000000}" name="OUA Code" dataDxfId="157">
      <calculatedColumnFormula>LEFT(TableOCEDHE1[[#This Row],[Structure Line]], FIND(" ", TableOCEDHE1[[#This Row],[Structure Line]])-1)</calculatedColumnFormula>
    </tableColumn>
    <tableColumn id="12" xr3:uid="{00000000-0010-0000-1700-00000C000000}" name="Unit Title" dataDxfId="156">
      <calculatedColumnFormula>MID(TableOCEDHE1[[#This Row],[Structure Line]],FIND(" ",TableOCEDHE1[[#This Row],[Structure Line]])+1,LEN(TableOCEDHE1[[#This Row],[Structure Line]]))</calculatedColumnFormula>
    </tableColumn>
    <tableColumn id="13" xr3:uid="{00000000-0010-0000-1700-00000D000000}" name="CPs" dataDxfId="155">
      <calculatedColumnFormula>TableOCEDHE1[[#This Row],[Credit Points]]</calculatedColumnFormula>
    </tableColumn>
    <tableColumn id="1" xr3:uid="{00000000-0010-0000-1700-000001000000}" name="No." dataDxfId="154"/>
    <tableColumn id="2" xr3:uid="{00000000-0010-0000-1700-000002000000}" name="Component Type" dataDxfId="153"/>
    <tableColumn id="3" xr3:uid="{00000000-0010-0000-1700-000003000000}" name="Year Level" dataDxfId="152"/>
    <tableColumn id="4" xr3:uid="{00000000-0010-0000-1700-000004000000}" name="Study Period" dataDxfId="151"/>
    <tableColumn id="5" xr3:uid="{00000000-0010-0000-1700-000005000000}" name="Study Package Code" dataDxfId="150"/>
    <tableColumn id="6" xr3:uid="{00000000-0010-0000-1700-000006000000}" name="Ver" dataDxfId="149"/>
    <tableColumn id="7" xr3:uid="{00000000-0010-0000-1700-000007000000}" name="Structure Line" dataDxfId="148"/>
    <tableColumn id="8" xr3:uid="{00000000-0010-0000-1700-000008000000}" name="Credit Points" dataDxfId="147"/>
    <tableColumn id="14" xr3:uid="{00000000-0010-0000-1700-00000E000000}" name="Effective" dataDxfId="146"/>
    <tableColumn id="15" xr3:uid="{00000000-0010-0000-1700-00000F000000}" name="Discont." dataDxfId="14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eOCEDHE" displayName="TableOCEDHE" ref="A227:O231" totalsRowShown="0">
  <autoFilter ref="A227:O231" xr:uid="{00000000-0009-0000-0100-000017000000}"/>
  <sortState xmlns:xlrd2="http://schemas.microsoft.com/office/spreadsheetml/2017/richdata2" ref="A190:M221">
    <sortCondition ref="F10:F42"/>
  </sortState>
  <tableColumns count="15">
    <tableColumn id="9" xr3:uid="{00000000-0010-0000-1800-000009000000}" name="UDC" dataDxfId="144">
      <calculatedColumnFormula>TableOCEDHE[[#This Row],[Study Package Code]]</calculatedColumnFormula>
    </tableColumn>
    <tableColumn id="10" xr3:uid="{00000000-0010-0000-1800-00000A000000}" name="Version" dataDxfId="143">
      <calculatedColumnFormula>TableOCEDHE[[#This Row],[Ver]]</calculatedColumnFormula>
    </tableColumn>
    <tableColumn id="11" xr3:uid="{00000000-0010-0000-1800-00000B000000}" name="OUA Code" dataDxfId="142">
      <calculatedColumnFormula>LEFT(TableOCEDHE[[#This Row],[Structure Line]], FIND(" ", TableOCEDHE[[#This Row],[Structure Line]])-1)</calculatedColumnFormula>
    </tableColumn>
    <tableColumn id="12" xr3:uid="{00000000-0010-0000-1800-00000C000000}" name="Unit Title" dataDxfId="141">
      <calculatedColumnFormula>MID(TableOCEDHE[[#This Row],[Structure Line]],FIND(" ",TableOCEDHE[[#This Row],[Structure Line]])+1,LEN(TableOCEDHE[[#This Row],[Structure Line]]))</calculatedColumnFormula>
    </tableColumn>
    <tableColumn id="13" xr3:uid="{00000000-0010-0000-1800-00000D000000}" name="CPs" dataDxfId="140">
      <calculatedColumnFormula>TableOCEDHE[[#This Row],[Credit Points]]</calculatedColumnFormula>
    </tableColumn>
    <tableColumn id="1" xr3:uid="{00000000-0010-0000-1800-000001000000}" name="No." dataDxfId="139"/>
    <tableColumn id="2" xr3:uid="{00000000-0010-0000-1800-000002000000}" name="Component Type" dataDxfId="138"/>
    <tableColumn id="3" xr3:uid="{00000000-0010-0000-1800-000003000000}" name="Year Level" dataDxfId="137"/>
    <tableColumn id="4" xr3:uid="{00000000-0010-0000-1800-000004000000}" name="Study Period" dataDxfId="136"/>
    <tableColumn id="5" xr3:uid="{00000000-0010-0000-1800-000005000000}" name="Study Package Code" dataDxfId="135"/>
    <tableColumn id="6" xr3:uid="{00000000-0010-0000-1800-000006000000}" name="Ver" dataDxfId="134"/>
    <tableColumn id="7" xr3:uid="{00000000-0010-0000-1800-000007000000}" name="Structure Line" dataDxfId="133"/>
    <tableColumn id="8" xr3:uid="{00000000-0010-0000-1800-000008000000}" name="Credit Points" dataDxfId="132"/>
    <tableColumn id="14" xr3:uid="{00000000-0010-0000-1800-00000E000000}" name="Effective" dataDxfId="131"/>
    <tableColumn id="15" xr3:uid="{00000000-0010-0000-1800-00000F000000}" name="Discont." dataDxfId="1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53565754" displayName="Table53565754" ref="Q3:R7" totalsRowShown="0">
  <autoFilter ref="Q3:R7" xr:uid="{00000000-0009-0000-0100-000018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e5356575426" displayName="Table5356575426" ref="Q9:R25" totalsRowShown="0">
  <autoFilter ref="Q9:R25" xr:uid="{00000000-0009-0000-0100-000019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5356575427" displayName="Table5356575427" ref="Q27:R43" totalsRowShown="0">
  <autoFilter ref="Q27:R43" xr:uid="{00000000-0009-0000-0100-00001A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5356575428" displayName="Table5356575428" ref="Q45:R85" totalsRowShown="0">
  <autoFilter ref="Q45:R85" xr:uid="{00000000-0009-0000-0100-00001B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5356575429" displayName="Table5356575429" ref="Q88:R95" totalsRowShown="0">
  <autoFilter ref="Q88:R95" xr:uid="{00000000-0009-0000-0100-00001C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E000000}" name="Table5356575430" displayName="Table5356575430" ref="Q97:R103" totalsRowShown="0">
  <autoFilter ref="Q97:R103" xr:uid="{00000000-0009-0000-0100-00001D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Table5356575431" displayName="Table5356575431" ref="Q105:R111" totalsRowShown="0">
  <autoFilter ref="Q105:R111" xr:uid="{00000000-0009-0000-0100-00001E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5356575432" displayName="Table5356575432" ref="Q114:R130" totalsRowShown="0">
  <autoFilter ref="Q114:R130" xr:uid="{00000000-0009-0000-0100-00001F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5356575433" displayName="Table5356575433" ref="Q132:R136" totalsRowShown="0">
  <autoFilter ref="Q132:R136" xr:uid="{00000000-0009-0000-0100-000020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Table5356575434" displayName="Table5356575434" ref="Q138:R142" totalsRowShown="0">
  <autoFilter ref="Q138:R142" xr:uid="{00000000-0009-0000-0100-000021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5356575435" displayName="Table5356575435" ref="Q144:R148" totalsRowShown="0">
  <autoFilter ref="Q144:R148" xr:uid="{00000000-0009-0000-0100-000022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6" displayName="Table5356575436" ref="Q188:R202" totalsRowShown="0">
  <autoFilter ref="Q188:R202"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5356575437" displayName="Table5356575437" ref="Q204:R218" totalsRowShown="0">
  <autoFilter ref="Q204:R218" xr:uid="{00000000-0009-0000-0100-000024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5356575438" displayName="Table5356575438" ref="Q221:R225" totalsRowShown="0">
  <autoFilter ref="Q221:R225" xr:uid="{00000000-0009-0000-0100-000025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5356575439" displayName="Table5356575439" ref="Q227:R231" totalsRowShown="0">
  <autoFilter ref="Q227:R231" xr:uid="{00000000-0009-0000-0100-000026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eOGEDUC" displayName="TableOGEDUC" ref="A151:O154" totalsRowShown="0">
  <autoFilter ref="A151:O154" xr:uid="{00000000-0009-0000-0100-000027000000}"/>
  <sortState xmlns:xlrd2="http://schemas.microsoft.com/office/spreadsheetml/2017/richdata2" ref="A151:R161">
    <sortCondition ref="M42:M53"/>
  </sortState>
  <tableColumns count="15">
    <tableColumn id="9" xr3:uid="{00000000-0010-0000-2800-000009000000}" name="UDC" dataDxfId="129">
      <calculatedColumnFormula>TableOGEDUC[[#This Row],[Study Package Code]]</calculatedColumnFormula>
    </tableColumn>
    <tableColumn id="10" xr3:uid="{00000000-0010-0000-2800-00000A000000}" name="Version" dataDxfId="128">
      <calculatedColumnFormula>TableOGEDUC[[#This Row],[Ver]]</calculatedColumnFormula>
    </tableColumn>
    <tableColumn id="11" xr3:uid="{00000000-0010-0000-2800-00000B000000}" name="OUA Code" dataDxfId="127">
      <calculatedColumnFormula>LEFT(TableOGEDUC[[#This Row],[Structure Line]], FIND(" ", TableOGEDUC[[#This Row],[Structure Line]])-1)</calculatedColumnFormula>
    </tableColumn>
    <tableColumn id="12" xr3:uid="{00000000-0010-0000-2800-00000C000000}" name="Unit Title" dataDxfId="126">
      <calculatedColumnFormula>TableOGEDUC[[#This Row],[Structure Line]]</calculatedColumnFormula>
    </tableColumn>
    <tableColumn id="13" xr3:uid="{00000000-0010-0000-2800-00000D000000}" name="CPs" dataDxfId="125">
      <calculatedColumnFormula>TableOGEDUC[[#This Row],[Credit Points]]</calculatedColumnFormula>
    </tableColumn>
    <tableColumn id="1" xr3:uid="{00000000-0010-0000-2800-000001000000}" name="No."/>
    <tableColumn id="2" xr3:uid="{00000000-0010-0000-2800-000002000000}" name="Component Type"/>
    <tableColumn id="3" xr3:uid="{00000000-0010-0000-2800-000003000000}" name="Year Level"/>
    <tableColumn id="4" xr3:uid="{00000000-0010-0000-2800-000004000000}" name="Study Period"/>
    <tableColumn id="5" xr3:uid="{00000000-0010-0000-2800-000005000000}" name="Study Package Code"/>
    <tableColumn id="6" xr3:uid="{00000000-0010-0000-2800-000006000000}" name="Ver"/>
    <tableColumn id="7" xr3:uid="{00000000-0010-0000-2800-000007000000}" name="Structure Line"/>
    <tableColumn id="8" xr3:uid="{00000000-0010-0000-2800-000008000000}" name="Credit Points"/>
    <tableColumn id="14" xr3:uid="{00000000-0010-0000-2800-00000E000000}" name="Effective" dataDxfId="124"/>
    <tableColumn id="15" xr3:uid="{00000000-0010-0000-2800-00000F000000}" name="Discont." dataDxfId="1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9000000}" name="Table535657543241" displayName="Table535657543241" ref="Q151:R154" totalsRowShown="0">
  <autoFilter ref="Q151:R154" xr:uid="{00000000-0009-0000-0100-000028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OUMPEDUPR" displayName="TableOUMPEDUPR" ref="A156:O164" totalsRowShown="0">
  <autoFilter ref="A156:O164" xr:uid="{00000000-0009-0000-0100-00002A000000}"/>
  <sortState xmlns:xlrd2="http://schemas.microsoft.com/office/spreadsheetml/2017/richdata2" ref="A156:R166">
    <sortCondition ref="M42:M53"/>
  </sortState>
  <tableColumns count="15">
    <tableColumn id="9" xr3:uid="{00000000-0010-0000-2A00-000009000000}" name="UDC" dataDxfId="122">
      <calculatedColumnFormula>TableOUMPEDUPR[[#This Row],[Study Package Code]]</calculatedColumnFormula>
    </tableColumn>
    <tableColumn id="10" xr3:uid="{00000000-0010-0000-2A00-00000A000000}" name="Version" dataDxfId="121">
      <calculatedColumnFormula>TableOUMPEDUPR[[#This Row],[Ver]]</calculatedColumnFormula>
    </tableColumn>
    <tableColumn id="11" xr3:uid="{00000000-0010-0000-2A00-00000B000000}" name="OUA Code" dataDxfId="120">
      <calculatedColumnFormula>LEFT(TableOUMPEDUPR[[#This Row],[Structure Line]], FIND(" ", TableOUMPEDUPR[[#This Row],[Structure Line]])-1)</calculatedColumnFormula>
    </tableColumn>
    <tableColumn id="12" xr3:uid="{00000000-0010-0000-2A00-00000C000000}" name="Unit Title" dataDxfId="119">
      <calculatedColumnFormula>MID(TableOUMPEDUPR[[#This Row],[Structure Line]],FIND(" ",TableOUMPEDUPR[[#This Row],[Structure Line]])+1,LEN(TableOUMPEDUPR[[#This Row],[Structure Line]]))</calculatedColumnFormula>
    </tableColumn>
    <tableColumn id="13" xr3:uid="{00000000-0010-0000-2A00-00000D000000}" name="CPs" dataDxfId="118">
      <calculatedColumnFormula>TableOUMPEDUPR[[#This Row],[Credit Points]]</calculatedColumnFormula>
    </tableColumn>
    <tableColumn id="1" xr3:uid="{00000000-0010-0000-2A00-000001000000}" name="No."/>
    <tableColumn id="2" xr3:uid="{00000000-0010-0000-2A00-000002000000}" name="Component Type"/>
    <tableColumn id="3" xr3:uid="{00000000-0010-0000-2A00-000003000000}" name="Year Level"/>
    <tableColumn id="4" xr3:uid="{00000000-0010-0000-2A00-000004000000}" name="Study Period"/>
    <tableColumn id="5" xr3:uid="{00000000-0010-0000-2A00-000005000000}" name="Study Package Code"/>
    <tableColumn id="6" xr3:uid="{00000000-0010-0000-2A00-000006000000}" name="Ver"/>
    <tableColumn id="7" xr3:uid="{00000000-0010-0000-2A00-000007000000}" name="Structure Line"/>
    <tableColumn id="8" xr3:uid="{00000000-0010-0000-2A00-000008000000}" name="Credit Points"/>
    <tableColumn id="14" xr3:uid="{00000000-0010-0000-2A00-00000E000000}" name="Effective" dataDxfId="117"/>
    <tableColumn id="15" xr3:uid="{00000000-0010-0000-2A00-00000F000000}" name="Discont." dataDxfId="11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644" displayName="Table535657543644" ref="Q156:R164" totalsRowShown="0">
  <autoFilter ref="Q156:R164"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OUMPEDUSC" displayName="TableOUMPEDUSC" ref="A166:O185" totalsRowShown="0">
  <autoFilter ref="A166:O185" xr:uid="{00000000-0009-0000-0100-00002C000000}"/>
  <sortState xmlns:xlrd2="http://schemas.microsoft.com/office/spreadsheetml/2017/richdata2" ref="A166:R176">
    <sortCondition ref="M42:M53"/>
  </sortState>
  <tableColumns count="15">
    <tableColumn id="9" xr3:uid="{00000000-0010-0000-2C00-000009000000}" name="UDC" dataDxfId="115">
      <calculatedColumnFormula>TableOUMPEDUSC[[#This Row],[Study Package Code]]</calculatedColumnFormula>
    </tableColumn>
    <tableColumn id="10" xr3:uid="{00000000-0010-0000-2C00-00000A000000}" name="Version" dataDxfId="114">
      <calculatedColumnFormula>TableOUMPEDUSC[[#This Row],[Ver]]</calculatedColumnFormula>
    </tableColumn>
    <tableColumn id="11" xr3:uid="{00000000-0010-0000-2C00-00000B000000}" name="OUA Code" dataDxfId="113">
      <calculatedColumnFormula>LEFT(TableOUMPEDUSC[[#This Row],[Structure Line]], FIND(" ", TableOUMPEDUSC[[#This Row],[Structure Line]])-1)</calculatedColumnFormula>
    </tableColumn>
    <tableColumn id="12" xr3:uid="{00000000-0010-0000-2C00-00000C000000}" name="Unit Title" dataDxfId="112">
      <calculatedColumnFormula>MID(TableOUMPEDUSC[[#This Row],[Structure Line]],FIND(" ",TableOUMPEDUSC[[#This Row],[Structure Line]])+1,LEN(TableOUMPEDUSC[[#This Row],[Structure Line]]))</calculatedColumnFormula>
    </tableColumn>
    <tableColumn id="13" xr3:uid="{00000000-0010-0000-2C00-00000D000000}" name="CPs" dataDxfId="111">
      <calculatedColumnFormula>TableOUMPEDUSC[[#This Row],[Credit Points]]</calculatedColumnFormula>
    </tableColumn>
    <tableColumn id="1" xr3:uid="{00000000-0010-0000-2C00-000001000000}" name="No."/>
    <tableColumn id="2" xr3:uid="{00000000-0010-0000-2C00-000002000000}" name="Component Type"/>
    <tableColumn id="3" xr3:uid="{00000000-0010-0000-2C00-000003000000}" name="Year Level"/>
    <tableColumn id="4" xr3:uid="{00000000-0010-0000-2C00-000004000000}" name="Study Period"/>
    <tableColumn id="5" xr3:uid="{00000000-0010-0000-2C00-000005000000}" name="Study Package Code"/>
    <tableColumn id="6" xr3:uid="{00000000-0010-0000-2C00-000006000000}" name="Ver"/>
    <tableColumn id="7" xr3:uid="{00000000-0010-0000-2C00-000007000000}" name="Structure Line"/>
    <tableColumn id="8" xr3:uid="{00000000-0010-0000-2C00-000008000000}" name="Credit Points"/>
    <tableColumn id="14" xr3:uid="{00000000-0010-0000-2C00-00000E000000}" name="Effective" dataDxfId="110"/>
    <tableColumn id="15" xr3:uid="{00000000-0010-0000-2C00-00000F000000}" name="Discont." dataDxfId="10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64446" displayName="Table53565754364446" ref="Q166:R185" totalsRowShown="0">
  <autoFilter ref="Q166:R18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Availabilities" displayName="TableAvailabilities" ref="A2:E73" totalsRowShown="0">
  <autoFilter ref="A2:E73" xr:uid="{00000000-0009-0000-0100-00000D000000}"/>
  <tableColumns count="5">
    <tableColumn id="1" xr3:uid="{00000000-0010-0000-2E00-000001000000}" name="Row Labels"/>
    <tableColumn id="2" xr3:uid="{00000000-0010-0000-2E00-000002000000}" name="OpenUnis SP 1" dataDxfId="108"/>
    <tableColumn id="3" xr3:uid="{00000000-0010-0000-2E00-000003000000}" name="OpenUnis SP 2" dataDxfId="107"/>
    <tableColumn id="6" xr3:uid="{00000000-0010-0000-2E00-000006000000}" name="OpenUnis SP 3" dataDxfId="106"/>
    <tableColumn id="7" xr3:uid="{00000000-0010-0000-2E00-000007000000}" name="OpenUnis SP 4" dataDxfId="10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5.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 Id="rId3"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62.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26" t="s">
        <v>12</v>
      </c>
      <c r="G5" s="11" t="str">
        <f>IFERROR(CONCATENATE(VLOOKUP(D5,TableCourses[],2,FALSE)," ",VLOOKUP(D5,TableCourses[],3,FALSE)),"")</f>
        <v>OM-TEACH1 v.2</v>
      </c>
      <c r="H5" s="11"/>
      <c r="I5" s="11"/>
      <c r="J5" s="11"/>
      <c r="K5" s="11"/>
      <c r="L5" s="239"/>
    </row>
    <row r="6" spans="1:23" ht="20.100000000000001" customHeight="1" x14ac:dyDescent="0.25">
      <c r="B6" s="10"/>
      <c r="C6" s="126" t="s">
        <v>13</v>
      </c>
      <c r="D6" s="116" t="s">
        <v>14</v>
      </c>
      <c r="E6" s="11"/>
      <c r="F6" s="126" t="s">
        <v>15</v>
      </c>
      <c r="G6" s="11" t="str">
        <f>IFERROR(CONCATENATE(VLOOKUP(D6,TableMajorsMTeach[],2,FALSE)," ",VLOOKUP(D6,TableMajorsMTeach[],3,FALSE)),"")</f>
        <v>OUMP-TCHEC v.2</v>
      </c>
      <c r="H6" s="11"/>
      <c r="I6" s="11"/>
      <c r="J6" s="11"/>
      <c r="K6" s="11"/>
      <c r="L6" s="217"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240"/>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64">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64">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28"/>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64">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64">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28"/>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64">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64">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28"/>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64">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64">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64" t="str">
        <f>H$9</f>
        <v>SP1</v>
      </c>
      <c r="I21" s="265" t="str">
        <f t="shared" ref="I21:L21" si="0">I$9</f>
        <v>SP2</v>
      </c>
      <c r="J21" s="265" t="str">
        <f t="shared" si="0"/>
        <v>SP3</v>
      </c>
      <c r="K21" s="265" t="str">
        <f t="shared" si="0"/>
        <v>SP4</v>
      </c>
      <c r="L21" s="113" t="str">
        <f t="shared" si="0"/>
        <v>Notes / Progress</v>
      </c>
      <c r="M21" s="17"/>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6" t="str">
        <f>IFERROR(VLOOKUP($A22,TableHandbook[],H$2,FALSE),"")</f>
        <v/>
      </c>
      <c r="I22" s="267" t="str">
        <f>IFERROR(VLOOKUP($A22,TableHandbook[],I$2,FALSE),"")</f>
        <v/>
      </c>
      <c r="J22" s="267" t="str">
        <f>IFERROR(VLOOKUP($A22,TableHandbook[],J$2,FALSE),"")</f>
        <v/>
      </c>
      <c r="K22" s="267" t="str">
        <f>IFERROR(VLOOKUP($A22,TableHandbook[],K$2,FALSE),"")</f>
        <v/>
      </c>
      <c r="L22" s="54"/>
      <c r="M22" s="64">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6" t="str">
        <f>IFERROR(VLOOKUP($A23,TableHandbook[],H$2,FALSE),"")</f>
        <v/>
      </c>
      <c r="I23" s="267" t="str">
        <f>IFERROR(VLOOKUP($A23,TableHandbook[],I$2,FALSE),"")</f>
        <v/>
      </c>
      <c r="J23" s="267" t="str">
        <f>IFERROR(VLOOKUP($A23,TableHandbook[],J$2,FALSE),"")</f>
        <v/>
      </c>
      <c r="K23" s="267" t="str">
        <f>IFERROR(VLOOKUP($A23,TableHandbook[],K$2,FALSE),"")</f>
        <v/>
      </c>
      <c r="L23" s="54"/>
      <c r="M23" s="64">
        <v>11</v>
      </c>
      <c r="N23" s="20"/>
      <c r="O23" s="20"/>
      <c r="P23" s="21"/>
      <c r="Q23" s="21"/>
      <c r="R23" s="21"/>
      <c r="S23" s="21"/>
      <c r="T23" s="21"/>
      <c r="U23" s="21"/>
      <c r="V23" s="21"/>
      <c r="W23" s="21"/>
    </row>
    <row r="24" spans="1:23" s="22" customFormat="1" ht="4.5" customHeight="1" x14ac:dyDescent="0.15">
      <c r="A24" s="198"/>
      <c r="B24" s="199"/>
      <c r="C24" s="199"/>
      <c r="D24" s="200"/>
      <c r="E24" s="199"/>
      <c r="F24" s="201"/>
      <c r="G24" s="199"/>
      <c r="H24" s="268"/>
      <c r="I24" s="269"/>
      <c r="J24" s="269"/>
      <c r="K24" s="269"/>
      <c r="L24" s="204"/>
      <c r="M24" s="28"/>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67" t="str">
        <f>IFERROR(VLOOKUP($A25,TableHandbook[],K$2,FALSE),"")</f>
        <v/>
      </c>
      <c r="L25" s="54"/>
      <c r="M25" s="64">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6" t="str">
        <f>IFERROR(VLOOKUP($A26,TableHandbook[],H$2,FALSE),"")</f>
        <v/>
      </c>
      <c r="I26" s="267" t="str">
        <f>IFERROR(VLOOKUP($A26,TableHandbook[],I$2,FALSE),"")</f>
        <v/>
      </c>
      <c r="J26" s="267" t="str">
        <f>IFERROR(VLOOKUP($A26,TableHandbook[],J$2,FALSE),"")</f>
        <v/>
      </c>
      <c r="K26" s="267" t="str">
        <f>IFERROR(VLOOKUP($A26,TableHandbook[],K$2,FALSE),"")</f>
        <v/>
      </c>
      <c r="L26" s="54"/>
      <c r="M26" s="64">
        <v>13</v>
      </c>
      <c r="N26" s="20"/>
      <c r="O26" s="20"/>
      <c r="P26" s="21"/>
      <c r="Q26" s="21"/>
      <c r="R26" s="21"/>
      <c r="S26" s="21"/>
      <c r="T26" s="21"/>
      <c r="U26" s="21"/>
      <c r="V26" s="21"/>
      <c r="W26" s="21"/>
    </row>
    <row r="27" spans="1:23" s="22" customFormat="1" ht="4.5" customHeight="1" x14ac:dyDescent="0.15">
      <c r="A27" s="198"/>
      <c r="B27" s="199"/>
      <c r="C27" s="199"/>
      <c r="D27" s="200"/>
      <c r="E27" s="199"/>
      <c r="F27" s="201"/>
      <c r="G27" s="199"/>
      <c r="H27" s="268"/>
      <c r="I27" s="269"/>
      <c r="J27" s="269"/>
      <c r="K27" s="269"/>
      <c r="L27" s="204"/>
      <c r="M27" s="28"/>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71" t="str">
        <f>IFERROR(VLOOKUP($A28,TableHandbook[],H$2,FALSE),"")</f>
        <v/>
      </c>
      <c r="I28" s="272" t="str">
        <f>IFERROR(VLOOKUP($A28,TableHandbook[],I$2,FALSE),"")</f>
        <v/>
      </c>
      <c r="J28" s="272" t="str">
        <f>IFERROR(VLOOKUP($A28,TableHandbook[],J$2,FALSE),"")</f>
        <v/>
      </c>
      <c r="K28" s="272" t="str">
        <f>IFERROR(VLOOKUP($A28,TableHandbook[],K$2,FALSE),"")</f>
        <v/>
      </c>
      <c r="L28" s="54"/>
      <c r="M28" s="64">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71" t="str">
        <f>IFERROR(VLOOKUP($A29,TableHandbook[],H$2,FALSE),"")</f>
        <v/>
      </c>
      <c r="I29" s="272" t="str">
        <f>IFERROR(VLOOKUP($A29,TableHandbook[],I$2,FALSE),"")</f>
        <v/>
      </c>
      <c r="J29" s="272" t="str">
        <f>IFERROR(VLOOKUP($A29,TableHandbook[],J$2,FALSE),"")</f>
        <v/>
      </c>
      <c r="K29" s="272" t="str">
        <f>IFERROR(VLOOKUP($A29,TableHandbook[],K$2,FALSE),"")</f>
        <v/>
      </c>
      <c r="L29" s="54"/>
      <c r="M29" s="64">
        <v>15</v>
      </c>
      <c r="N29" s="20"/>
      <c r="O29" s="20"/>
      <c r="P29" s="21"/>
      <c r="Q29" s="21"/>
      <c r="R29" s="21"/>
      <c r="S29" s="21"/>
      <c r="T29" s="21"/>
      <c r="U29" s="21"/>
      <c r="V29" s="21"/>
      <c r="W29" s="21"/>
    </row>
    <row r="30" spans="1:23" s="31" customFormat="1" ht="4.5" customHeight="1" x14ac:dyDescent="0.15">
      <c r="A30" s="198"/>
      <c r="B30" s="199"/>
      <c r="C30" s="199"/>
      <c r="D30" s="200"/>
      <c r="E30" s="199"/>
      <c r="F30" s="201"/>
      <c r="G30" s="199"/>
      <c r="H30" s="268"/>
      <c r="I30" s="269"/>
      <c r="J30" s="269"/>
      <c r="K30" s="269"/>
      <c r="L30" s="204"/>
      <c r="M30" s="64"/>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2" t="str">
        <f>IFERROR(VLOOKUP($A31,TableHandbook[],K$2,FALSE),"")</f>
        <v/>
      </c>
      <c r="L31" s="54"/>
      <c r="M31" s="64">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0" t="str">
        <f>IF(OR(A32="",A32="---"),"",E31)</f>
        <v/>
      </c>
      <c r="F32" s="49" t="str">
        <f>IFERROR(IF(VLOOKUP($A32,TableHandbook[],6,FALSE)=0,"",VLOOKUP($A32,TableHandbook[],6,FALSE)),"")</f>
        <v/>
      </c>
      <c r="G32" s="50" t="str">
        <f>IFERROR(IF(VLOOKUP($A32,TableHandbook[],5,FALSE)=0,"",VLOOKUP($A32,TableHandbook[],5,FALSE)),"")</f>
        <v/>
      </c>
      <c r="H32" s="271" t="str">
        <f>IFERROR(VLOOKUP($A32,TableHandbook[],H$2,FALSE),"")</f>
        <v/>
      </c>
      <c r="I32" s="272" t="str">
        <f>IFERROR(VLOOKUP($A32,TableHandbook[],I$2,FALSE),"")</f>
        <v/>
      </c>
      <c r="J32" s="272" t="str">
        <f>IFERROR(VLOOKUP($A32,TableHandbook[],J$2,FALSE),"")</f>
        <v/>
      </c>
      <c r="K32" s="272" t="str">
        <f>IFERROR(VLOOKUP($A32,TableHandbook[],K$2,FALSE),"")</f>
        <v/>
      </c>
      <c r="L32" s="54"/>
      <c r="M32" s="64">
        <v>17</v>
      </c>
      <c r="N32" s="29"/>
      <c r="O32" s="29"/>
      <c r="P32" s="30"/>
      <c r="Q32" s="30"/>
      <c r="R32" s="30"/>
      <c r="S32" s="30"/>
      <c r="T32" s="30"/>
      <c r="U32" s="30"/>
      <c r="V32" s="30"/>
      <c r="W32" s="30"/>
    </row>
    <row r="33" spans="1:23" s="19" customFormat="1" ht="21" x14ac:dyDescent="0.25">
      <c r="A33" s="107" t="s">
        <v>31</v>
      </c>
      <c r="B33" s="107"/>
      <c r="C33" s="107" t="s">
        <v>21</v>
      </c>
      <c r="D33" s="108" t="s">
        <v>3</v>
      </c>
      <c r="E33" s="125" t="s">
        <v>22</v>
      </c>
      <c r="F33" s="107" t="s">
        <v>23</v>
      </c>
      <c r="G33" s="107" t="s">
        <v>24</v>
      </c>
      <c r="H33" s="264" t="str">
        <f>H$9</f>
        <v>SP1</v>
      </c>
      <c r="I33" s="265" t="str">
        <f t="shared" ref="I33:L33" si="1">I$9</f>
        <v>SP2</v>
      </c>
      <c r="J33" s="265" t="str">
        <f t="shared" si="1"/>
        <v>SP3</v>
      </c>
      <c r="K33" s="265" t="str">
        <f t="shared" si="1"/>
        <v>SP4</v>
      </c>
      <c r="L33" s="113" t="str">
        <f t="shared" si="1"/>
        <v>Notes / Progress</v>
      </c>
      <c r="M33" s="17"/>
      <c r="N33" s="17"/>
      <c r="O33" s="17"/>
      <c r="P33" s="18"/>
      <c r="Q33" s="18"/>
      <c r="R33" s="18"/>
      <c r="S33" s="18"/>
      <c r="T33" s="18"/>
      <c r="U33" s="18"/>
      <c r="V33" s="18"/>
      <c r="W33" s="18"/>
    </row>
    <row r="34" spans="1:23" s="22" customFormat="1" ht="21" customHeight="1" x14ac:dyDescent="0.15">
      <c r="A34" s="56" t="str">
        <f>IFERROR(IF(HLOOKUP($L$6,RangeUnitsetsECEPR,M34,FALSE)=0,"",HLOOKUP($L$6,RangeUnitsetsECEPR,M34,FALSE)),"")</f>
        <v/>
      </c>
      <c r="B34" s="52" t="str">
        <f>IFERROR(IF(VLOOKUP($A34,TableHandbook[],2,FALSE)=0,"",VLOOKUP($A34,TableHandbook[],2,FALSE)),"")</f>
        <v/>
      </c>
      <c r="C34" s="52" t="str">
        <f>IFERROR(IF(VLOOKUP($A34,TableHandbook[],3,FALSE)=0,"",VLOOKUP($A34,TableHandbook[],3,FALSE)),"")</f>
        <v/>
      </c>
      <c r="D34" s="53" t="str">
        <f>IFERROR(IF(VLOOKUP($A34,TableHandbook[],4,FALSE)=0,"",VLOOKUP($A34,TableHandbook[],4,FALSE)),"")</f>
        <v/>
      </c>
      <c r="E34" s="52" t="str">
        <f>IF(OR(A34="",A34="--"),"",VLOOKUP($D$7,TableStudyPeriods[],2,FALSE))</f>
        <v/>
      </c>
      <c r="F34" s="49" t="str">
        <f>IFERROR(IF(VLOOKUP($A34,TableHandbook[],6,FALSE)=0,"",VLOOKUP($A34,TableHandbook[],6,FALSE)),"")</f>
        <v/>
      </c>
      <c r="G34" s="50" t="str">
        <f>IFERROR(IF(VLOOKUP($A34,TableHandbook[],5,FALSE)=0,"",VLOOKUP($A34,TableHandbook[],5,FALSE)),"")</f>
        <v/>
      </c>
      <c r="H34" s="266" t="str">
        <f>IFERROR(VLOOKUP($A34,TableHandbook[],H$2,FALSE),"")</f>
        <v/>
      </c>
      <c r="I34" s="267" t="str">
        <f>IFERROR(VLOOKUP($A34,TableHandbook[],I$2,FALSE),"")</f>
        <v/>
      </c>
      <c r="J34" s="267" t="str">
        <f>IFERROR(VLOOKUP($A34,TableHandbook[],J$2,FALSE),"")</f>
        <v/>
      </c>
      <c r="K34" s="267" t="str">
        <f>IFERROR(VLOOKUP($A34,TableHandbook[],K$2,FALSE),"")</f>
        <v/>
      </c>
      <c r="L34" s="54"/>
      <c r="M34" s="64">
        <v>18</v>
      </c>
      <c r="N34" s="20"/>
      <c r="O34" s="20"/>
      <c r="P34" s="21"/>
      <c r="Q34" s="21"/>
      <c r="R34" s="21"/>
      <c r="S34" s="21"/>
      <c r="T34" s="21"/>
      <c r="U34" s="21"/>
      <c r="V34" s="21"/>
      <c r="W34" s="21"/>
    </row>
    <row r="35" spans="1:23" s="22" customFormat="1" ht="15" customHeight="1" x14ac:dyDescent="0.15">
      <c r="A35" s="166"/>
      <c r="B35" s="167"/>
      <c r="C35" s="167"/>
      <c r="D35" s="168"/>
      <c r="E35" s="167"/>
      <c r="F35" s="169"/>
      <c r="G35" s="166"/>
      <c r="H35" s="166"/>
      <c r="I35" s="166"/>
      <c r="J35" s="166"/>
      <c r="K35" s="166"/>
      <c r="L35" s="170"/>
      <c r="M35" s="64"/>
      <c r="N35" s="20"/>
      <c r="O35" s="20"/>
      <c r="P35" s="21"/>
      <c r="Q35" s="21"/>
      <c r="R35" s="21"/>
      <c r="S35" s="21"/>
      <c r="T35" s="21"/>
      <c r="U35" s="21"/>
      <c r="V35" s="21"/>
      <c r="W35" s="21"/>
    </row>
    <row r="36" spans="1:23" s="16" customFormat="1" ht="21" customHeight="1" x14ac:dyDescent="0.25">
      <c r="A36" s="65" t="s">
        <v>32</v>
      </c>
      <c r="B36" s="65"/>
      <c r="C36" s="65"/>
      <c r="D36" s="65"/>
      <c r="E36" s="65"/>
      <c r="F36" s="65"/>
      <c r="G36" s="65"/>
      <c r="H36" s="65"/>
      <c r="I36" s="65"/>
      <c r="J36" s="65"/>
      <c r="K36" s="65"/>
      <c r="L36" s="65"/>
    </row>
    <row r="37" spans="1:23" s="38" customFormat="1" ht="17.25" x14ac:dyDescent="0.2">
      <c r="A37" s="32" t="s">
        <v>33</v>
      </c>
      <c r="B37" s="32"/>
      <c r="C37" s="32"/>
      <c r="D37" s="33"/>
      <c r="E37" s="33"/>
      <c r="F37" s="33"/>
      <c r="G37" s="33"/>
      <c r="H37" s="33"/>
      <c r="I37" s="33"/>
      <c r="J37" s="33"/>
      <c r="K37" s="33"/>
      <c r="L37" s="33"/>
      <c r="M37" s="36"/>
      <c r="N37" s="36"/>
      <c r="O37" s="36"/>
      <c r="P37" s="37"/>
      <c r="Q37" s="37"/>
      <c r="R37" s="37"/>
      <c r="S37" s="37"/>
      <c r="T37" s="37"/>
      <c r="U37" s="37"/>
      <c r="V37" s="37"/>
      <c r="W37" s="37"/>
    </row>
    <row r="38" spans="1:23" x14ac:dyDescent="0.25">
      <c r="A38" s="34" t="s">
        <v>34</v>
      </c>
      <c r="B38" s="34"/>
      <c r="C38" s="34"/>
      <c r="D38" s="34"/>
      <c r="E38" s="47"/>
      <c r="F38" s="35"/>
      <c r="G38" s="48"/>
      <c r="H38" s="48"/>
      <c r="I38" s="48"/>
      <c r="J38" s="48"/>
      <c r="K38" s="48"/>
      <c r="L38" s="48" t="s">
        <v>35</v>
      </c>
    </row>
  </sheetData>
  <sheetProtection formatCells="0"/>
  <mergeCells count="1">
    <mergeCell ref="A3:D3"/>
  </mergeCells>
  <conditionalFormatting sqref="D5:D7">
    <cfRule type="containsText" dxfId="104" priority="7" operator="containsText" text="Choose">
      <formula>NOT(ISERROR(SEARCH("Choose",D5)))</formula>
    </cfRule>
  </conditionalFormatting>
  <conditionalFormatting sqref="H10:K34">
    <cfRule type="expression" dxfId="103" priority="1">
      <formula>$E10=H$9</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Unitsets!$A$44:$A$48</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48.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26" t="s">
        <v>12</v>
      </c>
      <c r="G5" s="11" t="str">
        <f>IFERROR(CONCATENATE(VLOOKUP(D5,TableCourses[],2,FALSE)," ",VLOOKUP(D5,TableCourses[],3,FALSE)),"")</f>
        <v>OM-TEACH1 v.2</v>
      </c>
      <c r="H5" s="11"/>
      <c r="I5" s="11"/>
      <c r="J5" s="11"/>
      <c r="K5" s="11"/>
      <c r="L5" s="12"/>
    </row>
    <row r="6" spans="1:23" ht="20.100000000000001" customHeight="1" x14ac:dyDescent="0.25">
      <c r="B6" s="10"/>
      <c r="C6" s="126" t="s">
        <v>13</v>
      </c>
      <c r="D6" s="116" t="s">
        <v>36</v>
      </c>
      <c r="E6" s="11"/>
      <c r="F6" s="126" t="s">
        <v>15</v>
      </c>
      <c r="G6" s="11" t="str">
        <f>IFERROR(CONCATENATE(VLOOKUP(D6,TableMajorsMTeach[],2,FALSE)," ",VLOOKUP(D6,TableMajorsMTeach[],3,FALSE)),"")</f>
        <v>OUMP-TCHPE v.2</v>
      </c>
      <c r="H6" s="11"/>
      <c r="I6" s="11"/>
      <c r="J6" s="11"/>
      <c r="K6" s="11"/>
      <c r="L6" s="217"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157">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157"/>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157">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157"/>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157">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157"/>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157">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64" t="str">
        <f>H9</f>
        <v>SP1</v>
      </c>
      <c r="I21" s="265" t="str">
        <f t="shared" ref="I21:L21" si="0">I9</f>
        <v>SP2</v>
      </c>
      <c r="J21" s="265" t="str">
        <f t="shared" si="0"/>
        <v>SP3</v>
      </c>
      <c r="K21" s="265" t="str">
        <f t="shared" si="0"/>
        <v>SP4</v>
      </c>
      <c r="L21" s="113" t="str">
        <f t="shared" si="0"/>
        <v>Notes / Progress</v>
      </c>
      <c r="M21" s="158"/>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6" t="str">
        <f>IFERROR(VLOOKUP($A22,TableHandbook[],H$2,FALSE),"")</f>
        <v/>
      </c>
      <c r="I22" s="267" t="str">
        <f>IFERROR(VLOOKUP($A22,TableHandbook[],I$2,FALSE),"")</f>
        <v/>
      </c>
      <c r="J22" s="267" t="str">
        <f>IFERROR(VLOOKUP($A22,TableHandbook[],J$2,FALSE),"")</f>
        <v/>
      </c>
      <c r="K22" s="267" t="str">
        <f>IFERROR(VLOOKUP($A22,TableHandbook[],K$2,FALSE),"")</f>
        <v/>
      </c>
      <c r="L22" s="54"/>
      <c r="M22" s="157">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6" t="str">
        <f>IFERROR(VLOOKUP($A23,TableHandbook[],H$2,FALSE),"")</f>
        <v/>
      </c>
      <c r="I23" s="267" t="str">
        <f>IFERROR(VLOOKUP($A23,TableHandbook[],I$2,FALSE),"")</f>
        <v/>
      </c>
      <c r="J23" s="267" t="str">
        <f>IFERROR(VLOOKUP($A23,TableHandbook[],J$2,FALSE),"")</f>
        <v/>
      </c>
      <c r="K23" s="267" t="str">
        <f>IFERROR(VLOOKUP($A23,TableHandbook[],K$2,FALSE),"")</f>
        <v/>
      </c>
      <c r="L23" s="54"/>
      <c r="M23" s="157">
        <v>11</v>
      </c>
      <c r="N23" s="20"/>
      <c r="O23" s="20"/>
      <c r="P23" s="21"/>
      <c r="Q23" s="21"/>
      <c r="R23" s="21"/>
      <c r="S23" s="21"/>
      <c r="T23" s="21"/>
      <c r="U23" s="21"/>
      <c r="V23" s="21"/>
      <c r="W23" s="21"/>
    </row>
    <row r="24" spans="1:23" s="22" customFormat="1" ht="4.5" customHeight="1" x14ac:dyDescent="0.15">
      <c r="A24" s="198"/>
      <c r="B24" s="199"/>
      <c r="C24" s="199"/>
      <c r="D24" s="200"/>
      <c r="E24" s="199"/>
      <c r="F24" s="201"/>
      <c r="G24" s="199"/>
      <c r="H24" s="268"/>
      <c r="I24" s="269"/>
      <c r="J24" s="269"/>
      <c r="K24" s="269"/>
      <c r="L24" s="204"/>
      <c r="M24" s="157"/>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67" t="str">
        <f>IFERROR(VLOOKUP($A25,TableHandbook[],K$2,FALSE),"")</f>
        <v/>
      </c>
      <c r="L25" s="54"/>
      <c r="M25" s="157">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6" t="str">
        <f>IFERROR(VLOOKUP($A26,TableHandbook[],H$2,FALSE),"")</f>
        <v/>
      </c>
      <c r="I26" s="267" t="str">
        <f>IFERROR(VLOOKUP($A26,TableHandbook[],I$2,FALSE),"")</f>
        <v/>
      </c>
      <c r="J26" s="267" t="str">
        <f>IFERROR(VLOOKUP($A26,TableHandbook[],J$2,FALSE),"")</f>
        <v/>
      </c>
      <c r="K26" s="267" t="str">
        <f>IFERROR(VLOOKUP($A26,TableHandbook[],K$2,FALSE),"")</f>
        <v/>
      </c>
      <c r="L26" s="54"/>
      <c r="M26" s="157">
        <v>13</v>
      </c>
      <c r="N26" s="20"/>
      <c r="O26" s="20"/>
      <c r="P26" s="21"/>
      <c r="Q26" s="21"/>
      <c r="R26" s="21"/>
      <c r="S26" s="21"/>
      <c r="T26" s="21"/>
      <c r="U26" s="21"/>
      <c r="V26" s="21"/>
      <c r="W26" s="21"/>
    </row>
    <row r="27" spans="1:23" s="22" customFormat="1" ht="4.5" customHeight="1" x14ac:dyDescent="0.15">
      <c r="A27" s="198"/>
      <c r="B27" s="199"/>
      <c r="C27" s="199"/>
      <c r="D27" s="200"/>
      <c r="E27" s="199"/>
      <c r="F27" s="201"/>
      <c r="G27" s="199"/>
      <c r="H27" s="268"/>
      <c r="I27" s="269"/>
      <c r="J27" s="269"/>
      <c r="K27" s="269"/>
      <c r="L27" s="204"/>
      <c r="M27" s="157"/>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71" t="str">
        <f>IFERROR(VLOOKUP($A28,TableHandbook[],H$2,FALSE),"")</f>
        <v/>
      </c>
      <c r="I28" s="272" t="str">
        <f>IFERROR(VLOOKUP($A28,TableHandbook[],I$2,FALSE),"")</f>
        <v/>
      </c>
      <c r="J28" s="272" t="str">
        <f>IFERROR(VLOOKUP($A28,TableHandbook[],J$2,FALSE),"")</f>
        <v/>
      </c>
      <c r="K28" s="272" t="str">
        <f>IFERROR(VLOOKUP($A28,TableHandbook[],K$2,FALSE),"")</f>
        <v/>
      </c>
      <c r="L28" s="54"/>
      <c r="M28" s="157">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71" t="str">
        <f>IFERROR(VLOOKUP($A29,TableHandbook[],H$2,FALSE),"")</f>
        <v/>
      </c>
      <c r="I29" s="272" t="str">
        <f>IFERROR(VLOOKUP($A29,TableHandbook[],I$2,FALSE),"")</f>
        <v/>
      </c>
      <c r="J29" s="272" t="str">
        <f>IFERROR(VLOOKUP($A29,TableHandbook[],J$2,FALSE),"")</f>
        <v/>
      </c>
      <c r="K29" s="272" t="str">
        <f>IFERROR(VLOOKUP($A29,TableHandbook[],K$2,FALSE),"")</f>
        <v/>
      </c>
      <c r="L29" s="54"/>
      <c r="M29" s="157">
        <v>15</v>
      </c>
      <c r="N29" s="20"/>
      <c r="O29" s="20"/>
      <c r="P29" s="21"/>
      <c r="Q29" s="21"/>
      <c r="R29" s="21"/>
      <c r="S29" s="21"/>
      <c r="T29" s="21"/>
      <c r="U29" s="21"/>
      <c r="V29" s="21"/>
      <c r="W29" s="21"/>
    </row>
    <row r="30" spans="1:23" s="31" customFormat="1" ht="4.5" customHeight="1" x14ac:dyDescent="0.15">
      <c r="A30" s="198"/>
      <c r="B30" s="199"/>
      <c r="C30" s="199"/>
      <c r="D30" s="200"/>
      <c r="E30" s="199"/>
      <c r="F30" s="201"/>
      <c r="G30" s="199"/>
      <c r="H30" s="268"/>
      <c r="I30" s="269"/>
      <c r="J30" s="269"/>
      <c r="K30" s="269"/>
      <c r="L30" s="204"/>
      <c r="M30" s="157"/>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2" t="str">
        <f>IFERROR(VLOOKUP($A31,TableHandbook[],K$2,FALSE),"")</f>
        <v/>
      </c>
      <c r="L31" s="54"/>
      <c r="M31" s="157">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2" t="str">
        <f>IF(OR(A32="",A32="--"),"",VLOOKUP($D$7,TableStudyPeriods[],5,FALSE))</f>
        <v/>
      </c>
      <c r="F32" s="49" t="str">
        <f>IFERROR(IF(VLOOKUP($A32,TableHandbook[],6,FALSE)=0,"",VLOOKUP($A32,TableHandbook[],6,FALSE)),"")</f>
        <v/>
      </c>
      <c r="G32" s="50" t="str">
        <f>IFERROR(IF(VLOOKUP($A32,TableHandbook[],5,FALSE)=0,"",VLOOKUP($A32,TableHandbook[],5,FALSE)),"")</f>
        <v/>
      </c>
      <c r="H32" s="271" t="str">
        <f>IFERROR(VLOOKUP($A32,TableHandbook[],H$2,FALSE),"")</f>
        <v/>
      </c>
      <c r="I32" s="272" t="str">
        <f>IFERROR(VLOOKUP($A32,TableHandbook[],I$2,FALSE),"")</f>
        <v/>
      </c>
      <c r="J32" s="272" t="str">
        <f>IFERROR(VLOOKUP($A32,TableHandbook[],J$2,FALSE),"")</f>
        <v/>
      </c>
      <c r="K32" s="272" t="str">
        <f>IFERROR(VLOOKUP($A32,TableHandbook[],K$2,FALSE),"")</f>
        <v/>
      </c>
      <c r="L32" s="54"/>
      <c r="M32" s="157">
        <v>17</v>
      </c>
      <c r="N32" s="29"/>
      <c r="O32" s="29"/>
      <c r="P32" s="30"/>
      <c r="Q32" s="30"/>
      <c r="R32" s="30"/>
      <c r="S32" s="30"/>
      <c r="T32" s="30"/>
      <c r="U32" s="30"/>
      <c r="V32" s="30"/>
      <c r="W32" s="30"/>
    </row>
    <row r="33" spans="1:23" s="22" customFormat="1" ht="15" customHeight="1" x14ac:dyDescent="0.15">
      <c r="A33" s="166"/>
      <c r="B33" s="167"/>
      <c r="C33" s="167"/>
      <c r="D33" s="168"/>
      <c r="E33" s="167"/>
      <c r="F33" s="169"/>
      <c r="G33" s="166"/>
      <c r="H33" s="166"/>
      <c r="I33" s="166"/>
      <c r="J33" s="166"/>
      <c r="K33" s="166"/>
      <c r="L33" s="170"/>
      <c r="M33" s="64"/>
      <c r="N33" s="20"/>
      <c r="O33" s="20"/>
      <c r="P33" s="21"/>
      <c r="Q33" s="21"/>
      <c r="R33" s="21"/>
      <c r="S33" s="21"/>
      <c r="T33" s="21"/>
      <c r="U33" s="21"/>
      <c r="V33" s="21"/>
      <c r="W33" s="21"/>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D5:D7">
    <cfRule type="containsText" dxfId="102" priority="2" operator="containsText" text="Choose">
      <formula>NOT(ISERROR(SEARCH("Choose",D5)))</formula>
    </cfRule>
  </conditionalFormatting>
  <conditionalFormatting sqref="H10:K32">
    <cfRule type="expression" dxfId="101" priority="1">
      <formula>$E10=H$9</formula>
    </cfRule>
  </conditionalFormatting>
  <dataValidations count="1">
    <dataValidation type="list" allowBlank="1" showInputMessage="1" showErrorMessage="1" sqref="L27 L15 L12 L18 L24 L30"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Unitsets!$A$44:$A$48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9" customWidth="1"/>
    <col min="2" max="2" width="3.25" style="9" customWidth="1"/>
    <col min="3" max="3" width="11.875" style="9" bestFit="1" customWidth="1"/>
    <col min="4" max="4" width="52.6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37</v>
      </c>
      <c r="E5" s="11"/>
      <c r="F5" s="126" t="s">
        <v>12</v>
      </c>
      <c r="G5" s="11" t="str">
        <f>IFERROR(CONCATENATE(VLOOKUP(D5,TableCourses[],2,FALSE)," ",VLOOKUP(D5,TableCourses[],3,FALSE)),"")</f>
        <v>OM-EDUC v.2</v>
      </c>
      <c r="H5" s="11"/>
      <c r="I5" s="11"/>
      <c r="J5" s="11"/>
      <c r="K5" s="11"/>
      <c r="L5" s="12"/>
    </row>
    <row r="6" spans="1:23" ht="20.100000000000001" customHeight="1" x14ac:dyDescent="0.25">
      <c r="B6" s="10"/>
      <c r="C6" s="126" t="s">
        <v>38</v>
      </c>
      <c r="D6" s="116" t="s">
        <v>39</v>
      </c>
      <c r="E6" s="11"/>
      <c r="F6" s="126" t="s">
        <v>40</v>
      </c>
      <c r="G6" s="11" t="str">
        <f>IFERROR(CONCATENATE(VLOOKUP(D6,TableSpecialisationsOMEDUC[],2,FALSE)," ",VLOOKUP(D6,TableSpecialisationsOMEDUC[],3,FALSE)),"")</f>
        <v/>
      </c>
      <c r="H6" s="11"/>
      <c r="I6" s="11"/>
      <c r="J6" s="11"/>
      <c r="K6" s="11"/>
      <c r="L6" s="217" t="e">
        <f>CONCATENATE(VLOOKUP(D6,TableSpecialisationsOMEDUC[],2,FALSE),VLOOKUP(D7,TableStudyPeriods[],2,FALSE))</f>
        <v>#N/A</v>
      </c>
    </row>
    <row r="7" spans="1:23" ht="20.100000000000001" customHeight="1" x14ac:dyDescent="0.25">
      <c r="A7" s="13"/>
      <c r="B7" s="14"/>
      <c r="C7" s="126" t="s">
        <v>16</v>
      </c>
      <c r="D7" s="117" t="s">
        <v>17</v>
      </c>
      <c r="E7" s="15"/>
      <c r="F7" s="126"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IFERROR(IF(HLOOKUP($L$6,RangeUnitsetsOMEDUC,M10,FALSE)=0,"",HLOOKUP($L$6,RangeUnitsetsOMEDUC,M10,FALSE)),"")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IFERROR(IF(HLOOKUP($L$6,RangeUnitsetsOMEDUC,M11,FALSE)=0,"",HLOOKUP($L$6,RangeUnitsetsOMEDUC,M11,FALSE)),"")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IF(OR(A11="",A11="-"),"",E10)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157">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157"/>
      <c r="N12" s="20"/>
      <c r="O12" s="20"/>
      <c r="P12" s="20"/>
      <c r="Q12" s="21"/>
      <c r="R12" s="21"/>
      <c r="S12" s="21"/>
      <c r="T12" s="21"/>
      <c r="U12" s="21"/>
      <c r="V12" s="21"/>
      <c r="W12" s="21"/>
    </row>
    <row r="13" spans="1:23" s="22" customFormat="1" ht="21" customHeight="1" x14ac:dyDescent="0.15">
      <c r="A13" s="56" t="str">
        <f>IFERROR(IF(HLOOKUP($L$6,RangeUnitsetsOMEDUC,M13,FALSE)=0,"",HLOOKUP($L$6,RangeUnitsetsOMEDUC,M13,FALSE)),"")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IFERROR(IF(HLOOKUP($L$6,RangeUnitsetsOMEDUC,M14,FALSE)=0,"",HLOOKUP($L$6,RangeUnitsetsOMEDUC,M14,FALSE)),"")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IF(OR(A14="",A14="-"),"",E13)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157">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157"/>
      <c r="N15" s="20"/>
      <c r="O15" s="20"/>
      <c r="P15" s="20"/>
      <c r="Q15" s="21"/>
      <c r="R15" s="21"/>
      <c r="S15" s="21"/>
      <c r="T15" s="21"/>
      <c r="U15" s="21"/>
      <c r="V15" s="21"/>
      <c r="W15" s="21"/>
    </row>
    <row r="16" spans="1:23" s="22" customFormat="1" ht="21" customHeight="1" x14ac:dyDescent="0.15">
      <c r="A16" s="56" t="str">
        <f>IFERROR(IF(HLOOKUP($L$6,RangeUnitsetsOMEDUC,M16,FALSE)=0,"",HLOOKUP($L$6,RangeUnitsetsOMEDUC,M16,FALSE)),"")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IFERROR(IF(HLOOKUP($L$6,RangeUnitsetsOMEDUC,M17,FALSE)=0,"",HLOOKUP($L$6,RangeUnitsetsOMEDUC,M17,FALSE)),"")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IF(OR(A17="",A17="-"),"",E16)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157">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157"/>
      <c r="N18" s="20"/>
      <c r="O18" s="20"/>
      <c r="P18" s="20"/>
      <c r="Q18" s="21"/>
      <c r="R18" s="21"/>
      <c r="S18" s="21"/>
      <c r="T18" s="21"/>
      <c r="U18" s="21"/>
      <c r="V18" s="21"/>
      <c r="W18" s="21"/>
    </row>
    <row r="19" spans="1:23" s="31" customFormat="1" ht="21" customHeight="1" x14ac:dyDescent="0.15">
      <c r="A19" s="56" t="str">
        <f>IFERROR(IF(HLOOKUP($L$6,RangeUnitsetsOMEDUC,M19,FALSE)=0,"",HLOOKUP($L$6,RangeUnitsetsOMEDUC,M19,FALSE)),"")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8</v>
      </c>
      <c r="N19" s="29"/>
      <c r="O19" s="29"/>
      <c r="P19" s="30"/>
      <c r="Q19" s="30"/>
      <c r="R19" s="30"/>
      <c r="S19" s="30"/>
      <c r="T19" s="30"/>
      <c r="U19" s="30"/>
      <c r="V19" s="30"/>
      <c r="W19" s="30"/>
    </row>
    <row r="20" spans="1:23" s="31" customFormat="1" ht="21" customHeight="1" x14ac:dyDescent="0.15">
      <c r="A20" s="56" t="str">
        <f>IFERROR(IF(HLOOKUP($L$6,RangeUnitsetsOMEDUC,M20,FALSE)=0,"",HLOOKUP($L$6,RangeUnitsetsOMEDUC,M20,FALSE)),"")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IF(OR(A20="",A20="-"),"",E19)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157">
        <v>9</v>
      </c>
      <c r="N20" s="29"/>
      <c r="O20" s="29"/>
      <c r="P20" s="30"/>
      <c r="Q20" s="30"/>
      <c r="R20" s="30"/>
      <c r="S20" s="30"/>
      <c r="T20" s="30"/>
      <c r="U20" s="30"/>
      <c r="V20" s="30"/>
      <c r="W20" s="30"/>
    </row>
    <row r="21" spans="1:23" s="22" customFormat="1" ht="15" customHeight="1" x14ac:dyDescent="0.15">
      <c r="A21" s="166"/>
      <c r="B21" s="167"/>
      <c r="C21" s="167"/>
      <c r="D21" s="168"/>
      <c r="E21" s="167"/>
      <c r="F21" s="169"/>
      <c r="G21" s="166"/>
      <c r="H21" s="166"/>
      <c r="I21" s="166"/>
      <c r="J21" s="166"/>
      <c r="K21" s="166"/>
      <c r="L21" s="170"/>
      <c r="M21" s="157"/>
      <c r="N21" s="20"/>
      <c r="O21" s="20"/>
      <c r="P21" s="21"/>
      <c r="Q21" s="21"/>
      <c r="R21" s="21"/>
      <c r="S21" s="21"/>
      <c r="T21" s="21"/>
      <c r="U21" s="21"/>
      <c r="V21" s="21"/>
      <c r="W21" s="21"/>
    </row>
    <row r="22" spans="1:23" s="42" customFormat="1" ht="17.25" x14ac:dyDescent="0.25">
      <c r="A22" s="187" t="s">
        <v>41</v>
      </c>
      <c r="B22" s="97"/>
      <c r="C22" s="97"/>
      <c r="D22" s="98"/>
      <c r="E22" s="99"/>
      <c r="F22" s="99"/>
      <c r="G22" s="99"/>
      <c r="H22" s="100" t="str">
        <f>H8</f>
        <v>2025 Availabilities</v>
      </c>
      <c r="I22" s="101"/>
      <c r="J22" s="102"/>
      <c r="K22" s="103"/>
      <c r="L22" s="104"/>
      <c r="M22" s="181"/>
      <c r="N22" s="41"/>
      <c r="O22" s="41"/>
      <c r="P22" s="41"/>
      <c r="Q22" s="41"/>
      <c r="R22" s="41"/>
      <c r="S22" s="41"/>
      <c r="T22" s="41"/>
      <c r="U22" s="41"/>
      <c r="V22" s="41"/>
      <c r="W22" s="41"/>
    </row>
    <row r="23" spans="1:23" ht="21" customHeight="1" x14ac:dyDescent="0.25">
      <c r="A23" s="107"/>
      <c r="B23" s="107"/>
      <c r="C23" s="125" t="s">
        <v>21</v>
      </c>
      <c r="D23" s="108" t="s">
        <v>3</v>
      </c>
      <c r="E23" s="125"/>
      <c r="F23" s="107" t="s">
        <v>23</v>
      </c>
      <c r="G23" s="107" t="s">
        <v>24</v>
      </c>
      <c r="H23" s="264" t="str">
        <f>H9</f>
        <v>SP1</v>
      </c>
      <c r="I23" s="265" t="str">
        <f t="shared" ref="I23:L23" si="0">I9</f>
        <v>SP2</v>
      </c>
      <c r="J23" s="265" t="str">
        <f t="shared" si="0"/>
        <v>SP3</v>
      </c>
      <c r="K23" s="270" t="str">
        <f t="shared" si="0"/>
        <v>SP4</v>
      </c>
      <c r="L23" s="113" t="str">
        <f t="shared" si="0"/>
        <v>Notes / Progress</v>
      </c>
      <c r="M23" s="157"/>
      <c r="N23" s="16"/>
      <c r="O23" s="16"/>
      <c r="P23" s="16"/>
      <c r="Q23" s="16"/>
      <c r="R23" s="16"/>
      <c r="S23" s="16"/>
      <c r="T23" s="16"/>
      <c r="U23" s="16"/>
      <c r="V23" s="16"/>
      <c r="W23" s="16"/>
    </row>
    <row r="24" spans="1:23" x14ac:dyDescent="0.25">
      <c r="A24" s="164" t="str">
        <f t="shared" ref="A24:A32" si="1">IFERROR(IF(HLOOKUP($L$6,RangeUnitsetsOMEDUC,M24,FALSE)=0,"",HLOOKUP($L$6,RangeUnitsetsOMEDUC,M24,FALSE)),"")</f>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1" t="str">
        <f>IFERROR(VLOOKUP($A24,TableHandbook[],H$2,FALSE),"")</f>
        <v/>
      </c>
      <c r="I24" s="272" t="str">
        <f>IFERROR(VLOOKUP($A24,TableHandbook[],I$2,FALSE),"")</f>
        <v/>
      </c>
      <c r="J24" s="272" t="str">
        <f>IFERROR(VLOOKUP($A24,TableHandbook[],J$2,FALSE),"")</f>
        <v/>
      </c>
      <c r="K24" s="273" t="str">
        <f>IFERROR(VLOOKUP($A24,TableHandbook[],K$2,FALSE),"")</f>
        <v/>
      </c>
      <c r="L24" s="51"/>
      <c r="M24" s="157">
        <v>10</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66" t="str">
        <f>IFERROR(VLOOKUP($A25,TableHandbook[],H$2,FALSE),"")</f>
        <v/>
      </c>
      <c r="I25" s="267" t="str">
        <f>IFERROR(VLOOKUP($A25,TableHandbook[],I$2,FALSE),"")</f>
        <v/>
      </c>
      <c r="J25" s="267" t="str">
        <f>IFERROR(VLOOKUP($A25,TableHandbook[],J$2,FALSE),"")</f>
        <v/>
      </c>
      <c r="K25" s="274" t="str">
        <f>IFERROR(VLOOKUP($A25,TableHandbook[],K$2,FALSE),"")</f>
        <v/>
      </c>
      <c r="L25" s="51"/>
      <c r="M25" s="157">
        <v>11</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6" t="str">
        <f>IFERROR(VLOOKUP($A26,TableHandbook[],H$2,FALSE),"")</f>
        <v/>
      </c>
      <c r="I26" s="267" t="str">
        <f>IFERROR(VLOOKUP($A26,TableHandbook[],I$2,FALSE),"")</f>
        <v/>
      </c>
      <c r="J26" s="267" t="str">
        <f>IFERROR(VLOOKUP($A26,TableHandbook[],J$2,FALSE),"")</f>
        <v/>
      </c>
      <c r="K26" s="274" t="str">
        <f>IFERROR(VLOOKUP($A26,TableHandbook[],K$2,FALSE),"")</f>
        <v/>
      </c>
      <c r="L26" s="51"/>
      <c r="M26" s="157">
        <v>12</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1"/>
      <c r="M27" s="157">
        <v>13</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1" t="str">
        <f>IFERROR(VLOOKUP($A28,TableHandbook[],H$2,FALSE),"")</f>
        <v/>
      </c>
      <c r="I28" s="272" t="str">
        <f>IFERROR(VLOOKUP($A28,TableHandbook[],I$2,FALSE),"")</f>
        <v/>
      </c>
      <c r="J28" s="272" t="str">
        <f>IFERROR(VLOOKUP($A28,TableHandbook[],J$2,FALSE),"")</f>
        <v/>
      </c>
      <c r="K28" s="273" t="str">
        <f>IFERROR(VLOOKUP($A28,TableHandbook[],K$2,FALSE),"")</f>
        <v/>
      </c>
      <c r="L28" s="51"/>
      <c r="M28" s="157">
        <v>14</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1" t="str">
        <f>IFERROR(VLOOKUP($A29,TableHandbook[],H$2,FALSE),"")</f>
        <v/>
      </c>
      <c r="I29" s="272" t="str">
        <f>IFERROR(VLOOKUP($A29,TableHandbook[],I$2,FALSE),"")</f>
        <v/>
      </c>
      <c r="J29" s="272" t="str">
        <f>IFERROR(VLOOKUP($A29,TableHandbook[],J$2,FALSE),"")</f>
        <v/>
      </c>
      <c r="K29" s="273" t="str">
        <f>IFERROR(VLOOKUP($A29,TableHandbook[],K$2,FALSE),"")</f>
        <v/>
      </c>
      <c r="L29" s="51"/>
      <c r="M29" s="157">
        <v>15</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1"/>
      <c r="M30" s="157">
        <v>16</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66" t="str">
        <f>IFERROR(VLOOKUP($A31,TableHandbook[],H$2,FALSE),"")</f>
        <v/>
      </c>
      <c r="I31" s="267" t="str">
        <f>IFERROR(VLOOKUP($A31,TableHandbook[],I$2,FALSE),"")</f>
        <v/>
      </c>
      <c r="J31" s="267" t="str">
        <f>IFERROR(VLOOKUP($A31,TableHandbook[],J$2,FALSE),"")</f>
        <v/>
      </c>
      <c r="K31" s="274" t="str">
        <f>IFERROR(VLOOKUP($A31,TableHandbook[],K$2,FALSE),"")</f>
        <v/>
      </c>
      <c r="L31" s="51"/>
      <c r="M31" s="157">
        <v>17</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6" t="str">
        <f>IFERROR(VLOOKUP($A32,TableHandbook[],H$2,FALSE),"")</f>
        <v/>
      </c>
      <c r="I32" s="267" t="str">
        <f>IFERROR(VLOOKUP($A32,TableHandbook[],I$2,FALSE),"")</f>
        <v/>
      </c>
      <c r="J32" s="267" t="str">
        <f>IFERROR(VLOOKUP($A32,TableHandbook[],J$2,FALSE),"")</f>
        <v/>
      </c>
      <c r="K32" s="274" t="str">
        <f>IFERROR(VLOOKUP($A32,TableHandbook[],K$2,FALSE),"")</f>
        <v/>
      </c>
      <c r="L32" s="51"/>
      <c r="M32" s="157">
        <v>18</v>
      </c>
      <c r="N32" s="16"/>
      <c r="O32" s="16"/>
      <c r="P32" s="16"/>
      <c r="Q32" s="16"/>
      <c r="R32" s="16"/>
      <c r="S32" s="16"/>
      <c r="T32" s="16"/>
      <c r="U32" s="16"/>
      <c r="V32" s="16"/>
      <c r="W32" s="16"/>
    </row>
    <row r="33" spans="1:23" ht="15" customHeight="1" x14ac:dyDescent="0.25">
      <c r="A33" s="182"/>
      <c r="B33" s="183"/>
      <c r="C33" s="184"/>
      <c r="D33" s="184"/>
      <c r="E33" s="185"/>
      <c r="F33" s="186"/>
      <c r="G33" s="186"/>
      <c r="H33" s="166"/>
      <c r="I33" s="166"/>
      <c r="J33" s="166"/>
      <c r="K33" s="166"/>
      <c r="L33" s="167"/>
      <c r="M33" s="157"/>
      <c r="N33" s="16"/>
      <c r="O33" s="16"/>
      <c r="P33" s="16"/>
      <c r="Q33" s="16"/>
      <c r="R33" s="16"/>
      <c r="S33" s="16"/>
      <c r="T33" s="16"/>
      <c r="U33" s="16"/>
      <c r="V33" s="16"/>
      <c r="W33" s="16"/>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A24:L32">
    <cfRule type="expression" dxfId="100" priority="2">
      <formula>$A24=""</formula>
    </cfRule>
  </conditionalFormatting>
  <conditionalFormatting sqref="D5:D7">
    <cfRule type="containsText" dxfId="99" priority="3" operator="containsText" text="Choose">
      <formula>NOT(ISERROR(SEARCH("Choose",D5)))</formula>
    </cfRule>
  </conditionalFormatting>
  <conditionalFormatting sqref="H10:K20">
    <cfRule type="expression" dxfId="98" priority="1">
      <formula>$E10=H$9</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Unitsets!$A$29:$A$33</xm:f>
          </x14:formula1>
          <xm:sqref>D6</xm:sqref>
        </x14:dataValidation>
        <x14:dataValidation type="list" allowBlank="1" showInputMessage="1" showErrorMessage="1" xr:uid="{00000000-0002-0000-0200-000002000000}">
          <x14:formula1>
            <xm:f>Unitsets!$A$44:$A$48</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47"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42</v>
      </c>
      <c r="E5" s="11"/>
      <c r="F5" s="126" t="s">
        <v>12</v>
      </c>
      <c r="G5" s="11" t="str">
        <f>IFERROR(CONCATENATE(VLOOKUP(D5,TableCourses[],2,FALSE)," ",VLOOKUP(D5,TableCourses[],3,FALSE)),"")</f>
        <v>OM-APLING v.1</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200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4.5" customHeight="1" x14ac:dyDescent="0.15">
      <c r="A14" s="198"/>
      <c r="B14" s="199"/>
      <c r="C14" s="199"/>
      <c r="D14" s="200"/>
      <c r="E14" s="199"/>
      <c r="F14" s="201"/>
      <c r="G14" s="199"/>
      <c r="H14" s="268"/>
      <c r="I14" s="269"/>
      <c r="J14" s="269"/>
      <c r="K14" s="269"/>
      <c r="L14" s="204"/>
      <c r="M14" s="157"/>
      <c r="N14" s="20"/>
      <c r="O14" s="20"/>
      <c r="P14" s="20"/>
      <c r="Q14" s="21"/>
      <c r="R14" s="21"/>
      <c r="S14" s="21"/>
      <c r="T14" s="21"/>
      <c r="U14" s="21"/>
      <c r="V14" s="21"/>
      <c r="W14" s="21"/>
    </row>
    <row r="15" spans="1:23" s="22" customFormat="1" ht="21" customHeight="1" x14ac:dyDescent="0.15">
      <c r="A15" s="56" t="str">
        <f>IFERROR(IF(HLOOKUP($L$5,RangeUnitsetsTESOL,M15,FALSE)=0,"",HLOOKUP($L$5,RangeUnitsetsTESOL,M15,FALSE)),"")</f>
        <v/>
      </c>
      <c r="B15" s="52" t="str">
        <f>IFERROR(IF(VLOOKUP($A15,TableHandbook[],2,FALSE)=0,"",VLOOKUP($A15,TableHandbook[],2,FALSE)),"")</f>
        <v/>
      </c>
      <c r="C15" s="52" t="str">
        <f>IFERROR(IF(VLOOKUP($A15,TableHandbook[],3,FALSE)=0,"",VLOOKUP($A15,TableHandbook[],3,FALSE)),"")</f>
        <v/>
      </c>
      <c r="D15" s="57" t="str">
        <f>IFERROR(IF(VLOOKUP($A15,TableHandbook[],4,FALSE)=0,"",VLOOKUP($A15,TableHandbook[],4,FALSE)),"")</f>
        <v/>
      </c>
      <c r="E15" s="50" t="str">
        <f>IF(OR(A15="",A15="--"),"",VLOOKUP($D$6,TableStudyPeriods[],4,FALSE))</f>
        <v/>
      </c>
      <c r="F15" s="49" t="str">
        <f>IFERROR(IF(VLOOKUP($A15,TableHandbook[],6,FALSE)=0,"",VLOOKUP($A15,TableHandbook[],6,FALSE)),"")</f>
        <v/>
      </c>
      <c r="G15" s="52" t="str">
        <f>IFERROR(IF(VLOOKUP($A15,TableHandbook[],5,FALSE)=0,"",VLOOKUP($A15,TableHandbook[],5,FALSE)),"")</f>
        <v/>
      </c>
      <c r="H15" s="271" t="str">
        <f>IFERROR(VLOOKUP($A15,TableHandbook[],H$2,FALSE),"")</f>
        <v/>
      </c>
      <c r="I15" s="272" t="str">
        <f>IFERROR(VLOOKUP($A15,TableHandbook[],I$2,FALSE),"")</f>
        <v/>
      </c>
      <c r="J15" s="272" t="str">
        <f>IFERROR(VLOOKUP($A15,TableHandbook[],J$2,FALSE),"")</f>
        <v/>
      </c>
      <c r="K15" s="272" t="str">
        <f>IFERROR(VLOOKUP($A15,TableHandbook[],K$2,FALSE),"")</f>
        <v/>
      </c>
      <c r="L15" s="59"/>
      <c r="M15" s="157">
        <v>6</v>
      </c>
      <c r="N15" s="20"/>
      <c r="O15" s="20"/>
      <c r="P15" s="21"/>
      <c r="Q15" s="21"/>
      <c r="R15" s="21"/>
      <c r="S15" s="21"/>
      <c r="T15" s="21"/>
      <c r="U15" s="21"/>
      <c r="V15" s="21"/>
      <c r="W15" s="21"/>
    </row>
    <row r="16" spans="1:23" s="31" customFormat="1" ht="21" customHeight="1" x14ac:dyDescent="0.15">
      <c r="A16" s="56" t="str">
        <f>IFERROR(IF(HLOOKUP($L$5,RangeUnitsetsTESOL,M16,FALSE)=0,"",HLOOKUP($L$5,RangeUnitsetsTESOL,M16,FALSE)),"")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IF(OR(A16="",A16="-"),"",E15)</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7</v>
      </c>
      <c r="N16" s="29"/>
      <c r="O16" s="29"/>
      <c r="P16" s="30"/>
      <c r="Q16" s="30"/>
      <c r="R16" s="30"/>
      <c r="S16" s="30"/>
      <c r="T16" s="30"/>
      <c r="U16" s="30"/>
      <c r="V16" s="30"/>
      <c r="W16" s="30"/>
    </row>
    <row r="17" spans="1:23" s="22" customFormat="1" ht="4.5" customHeight="1" x14ac:dyDescent="0.15">
      <c r="A17" s="198"/>
      <c r="B17" s="199"/>
      <c r="C17" s="199"/>
      <c r="D17" s="200"/>
      <c r="E17" s="199"/>
      <c r="F17" s="201"/>
      <c r="G17" s="199"/>
      <c r="H17" s="268"/>
      <c r="I17" s="269"/>
      <c r="J17" s="269"/>
      <c r="K17" s="269"/>
      <c r="L17" s="204"/>
      <c r="M17" s="157"/>
      <c r="N17" s="20"/>
      <c r="O17" s="20"/>
      <c r="P17" s="20"/>
      <c r="Q17" s="21"/>
      <c r="R17" s="21"/>
      <c r="S17" s="21"/>
      <c r="T17" s="21"/>
      <c r="U17" s="21"/>
      <c r="V17" s="21"/>
      <c r="W17" s="21"/>
    </row>
    <row r="18" spans="1:23" s="31" customFormat="1" ht="21" customHeight="1" x14ac:dyDescent="0.15">
      <c r="A18" s="56" t="str">
        <f>IFERROR(IF(HLOOKUP($L$5,RangeUnitsetsTESOL,M18,FALSE)=0,"",HLOOKUP($L$5,RangeUnitsetsTESOL,M18,FALSE)),"")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IF(OR(A18="",A18="--"),"",VLOOKUP($D$6,TableStudyPeriods[],5,FALSE))</f>
        <v/>
      </c>
      <c r="F18" s="49" t="str">
        <f>IFERROR(IF(VLOOKUP($A18,TableHandbook[],6,FALSE)=0,"",VLOOKUP($A18,TableHandbook[],6,FALSE)),"")</f>
        <v/>
      </c>
      <c r="G18" s="52" t="str">
        <f>IFERROR(IF(VLOOKUP($A18,TableHandbook[],5,FALSE)=0,"",VLOOKUP($A18,TableHandbook[],5,FALSE)),"")</f>
        <v/>
      </c>
      <c r="H18" s="271" t="str">
        <f>IFERROR(VLOOKUP($A18,TableHandbook[],H$2,FALSE),"")</f>
        <v/>
      </c>
      <c r="I18" s="272" t="str">
        <f>IFERROR(VLOOKUP($A18,TableHandbook[],I$2,FALSE),"")</f>
        <v/>
      </c>
      <c r="J18" s="272" t="str">
        <f>IFERROR(VLOOKUP($A18,TableHandbook[],J$2,FALSE),"")</f>
        <v/>
      </c>
      <c r="K18" s="272" t="str">
        <f>IFERROR(VLOOKUP($A18,TableHandbook[],K$2,FALSE),"")</f>
        <v/>
      </c>
      <c r="L18" s="59"/>
      <c r="M18" s="157">
        <v>8</v>
      </c>
      <c r="N18" s="29"/>
      <c r="O18" s="29"/>
      <c r="P18" s="30"/>
      <c r="Q18" s="30"/>
      <c r="R18" s="30"/>
      <c r="S18" s="30"/>
      <c r="T18" s="30"/>
      <c r="U18" s="30"/>
      <c r="V18" s="30"/>
      <c r="W18" s="30"/>
    </row>
    <row r="19" spans="1:23" s="31" customFormat="1" ht="21" customHeight="1" x14ac:dyDescent="0.15">
      <c r="A19" s="56" t="str">
        <f>IFERROR(IF(HLOOKUP($L$5,RangeUnitsetsTESOL,M19,FALSE)=0,"",HLOOKUP($L$5,RangeUnitsetsTESOL,M19,FALSE)),"")</f>
        <v/>
      </c>
      <c r="B19" s="52" t="str">
        <f>IFERROR(IF(VLOOKUP($A19,TableHandbook[],2,FALSE)=0,"",VLOOKUP($A19,TableHandbook[],2,FALSE)),"")</f>
        <v/>
      </c>
      <c r="C19" s="52" t="str">
        <f>IFERROR(IF(VLOOKUP($A19,TableHandbook[],3,FALSE)=0,"",VLOOKUP($A19,TableHandbook[],3,FALSE)),"")</f>
        <v/>
      </c>
      <c r="D19" s="55" t="str">
        <f>IFERROR(IF(VLOOKUP($A19,TableHandbook[],4,FALSE)=0,"",VLOOKUP($A19,TableHandbook[],4,FALSE)),"")</f>
        <v/>
      </c>
      <c r="E19" s="52" t="str">
        <f>IF(OR(A19="",A19="-"),"",E18)</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9</v>
      </c>
      <c r="N19" s="29"/>
      <c r="O19" s="29"/>
      <c r="P19" s="30"/>
      <c r="Q19" s="30"/>
      <c r="R19" s="30"/>
      <c r="S19" s="30"/>
      <c r="T19" s="30"/>
      <c r="U19" s="30"/>
      <c r="V19" s="30"/>
      <c r="W19" s="30"/>
    </row>
    <row r="20" spans="1:23" ht="15" customHeight="1" x14ac:dyDescent="0.25">
      <c r="A20" s="182"/>
      <c r="B20" s="183"/>
      <c r="C20" s="184"/>
      <c r="D20" s="184"/>
      <c r="E20" s="185"/>
      <c r="F20" s="186"/>
      <c r="G20" s="186"/>
      <c r="H20" s="166"/>
      <c r="I20" s="166"/>
      <c r="J20" s="166"/>
      <c r="K20" s="166"/>
      <c r="L20" s="167"/>
      <c r="M20" s="157"/>
      <c r="N20" s="16"/>
      <c r="O20" s="16"/>
      <c r="P20" s="16"/>
      <c r="Q20" s="16"/>
      <c r="R20" s="16"/>
      <c r="S20" s="16"/>
      <c r="T20" s="16"/>
      <c r="U20" s="16"/>
      <c r="V20" s="16"/>
      <c r="W20" s="16"/>
    </row>
    <row r="21" spans="1:23" s="16" customFormat="1" ht="21" customHeight="1"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6">
    <cfRule type="containsText" dxfId="97" priority="2" operator="containsText" text="Choose">
      <formula>NOT(ISERROR(SEARCH("Choose",D5)))</formula>
    </cfRule>
  </conditionalFormatting>
  <conditionalFormatting sqref="H9:K19">
    <cfRule type="expression" dxfId="96" priority="1">
      <formula>$E9=H$8</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Unitsets!$A$44:$A$48</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P23"/>
  <sheetViews>
    <sheetView showGridLines="0" tabSelected="1" topLeftCell="A3" workbookViewId="0">
      <selection activeCell="D6" sqref="D6"/>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7"/>
      <c r="K1" s="6"/>
      <c r="L1" s="6" t="s">
        <v>7</v>
      </c>
    </row>
    <row r="2" spans="1:16" hidden="1" x14ac:dyDescent="0.25">
      <c r="A2" s="159"/>
      <c r="B2" s="159">
        <v>2</v>
      </c>
      <c r="C2" s="159">
        <v>3</v>
      </c>
      <c r="D2" s="159">
        <v>4</v>
      </c>
      <c r="E2" s="159"/>
      <c r="F2" s="159">
        <v>6</v>
      </c>
      <c r="G2" s="159">
        <v>5</v>
      </c>
      <c r="H2" s="159">
        <v>7</v>
      </c>
      <c r="I2" s="159">
        <v>8</v>
      </c>
      <c r="J2" s="159">
        <v>9</v>
      </c>
      <c r="K2" s="159">
        <v>10</v>
      </c>
      <c r="L2" s="188"/>
    </row>
    <row r="3" spans="1:16" ht="39.950000000000003" customHeight="1" x14ac:dyDescent="0.25">
      <c r="A3" s="292" t="s">
        <v>8</v>
      </c>
      <c r="B3" s="292"/>
      <c r="C3" s="292"/>
      <c r="D3" s="292"/>
      <c r="E3" s="96"/>
      <c r="F3" s="96"/>
      <c r="G3" s="96"/>
      <c r="H3" s="96"/>
      <c r="I3" s="96"/>
      <c r="J3" s="96"/>
      <c r="K3" s="96"/>
      <c r="L3" s="96"/>
    </row>
    <row r="4" spans="1:16" ht="25.5" x14ac:dyDescent="0.25">
      <c r="A4" s="234"/>
      <c r="B4" s="235"/>
      <c r="C4" s="235"/>
      <c r="D4" s="236" t="s">
        <v>9</v>
      </c>
      <c r="E4" s="237"/>
      <c r="F4" s="235"/>
      <c r="G4" s="238"/>
      <c r="H4" s="238"/>
      <c r="I4" s="238"/>
      <c r="J4" s="238"/>
      <c r="K4" s="238"/>
      <c r="L4" s="238"/>
    </row>
    <row r="5" spans="1:16" ht="20.100000000000001" customHeight="1" x14ac:dyDescent="0.25">
      <c r="B5" s="10"/>
      <c r="C5" s="126" t="s">
        <v>10</v>
      </c>
      <c r="D5" s="139" t="s">
        <v>43</v>
      </c>
      <c r="E5" s="11"/>
      <c r="F5" s="126" t="s">
        <v>12</v>
      </c>
      <c r="G5" s="11" t="str">
        <f>IFERROR(CONCATENATE(VLOOKUP(D5,TableCourses[],2,FALSE)," ",VLOOKUP(D5,TableCourses[],3,FALSE)),"")</f>
        <v>OC-TESOL v.2</v>
      </c>
      <c r="H5" s="11"/>
      <c r="I5" s="11"/>
      <c r="J5" s="11"/>
      <c r="K5" s="11"/>
      <c r="L5" s="217" t="e">
        <f>CONCATENATE(VLOOKUP(D5,TableCourses[],2,FALSE),VLOOKUP(D6,TableStudyPeriods[],2,FALSE))</f>
        <v>#N/A</v>
      </c>
    </row>
    <row r="6" spans="1:16" ht="20.100000000000001" customHeight="1" x14ac:dyDescent="0.25">
      <c r="A6" s="13"/>
      <c r="B6" s="14"/>
      <c r="C6" s="126" t="s">
        <v>16</v>
      </c>
      <c r="D6" s="291" t="s">
        <v>17</v>
      </c>
      <c r="E6" s="15"/>
      <c r="F6" s="126" t="s">
        <v>18</v>
      </c>
      <c r="G6" s="11" t="str">
        <f>IFERROR(VLOOKUP($D$5,TableCourses[],7,FALSE),"")</f>
        <v>100 credit points required</v>
      </c>
      <c r="H6" s="222"/>
      <c r="I6" s="222"/>
      <c r="J6" s="222"/>
      <c r="K6" s="222"/>
      <c r="L6" s="222"/>
    </row>
    <row r="7" spans="1:16" s="19" customFormat="1" ht="14.1" customHeight="1" x14ac:dyDescent="0.25">
      <c r="A7" s="107"/>
      <c r="B7" s="107"/>
      <c r="C7" s="107"/>
      <c r="D7" s="108"/>
      <c r="E7" s="109"/>
      <c r="F7" s="107"/>
      <c r="G7" s="107"/>
      <c r="H7" s="110" t="s">
        <v>19</v>
      </c>
      <c r="I7" s="123"/>
      <c r="J7" s="123"/>
      <c r="K7" s="118"/>
      <c r="L7" s="109"/>
      <c r="M7" s="223"/>
      <c r="N7" s="223"/>
      <c r="O7" s="223"/>
    </row>
    <row r="8" spans="1:16" s="19" customFormat="1" ht="21" x14ac:dyDescent="0.25">
      <c r="A8" s="107" t="s">
        <v>20</v>
      </c>
      <c r="B8" s="107"/>
      <c r="C8" s="107" t="s">
        <v>21</v>
      </c>
      <c r="D8" s="108" t="s">
        <v>3</v>
      </c>
      <c r="E8" s="125" t="s">
        <v>22</v>
      </c>
      <c r="F8" s="107" t="s">
        <v>23</v>
      </c>
      <c r="G8" s="107" t="s">
        <v>24</v>
      </c>
      <c r="H8" s="264" t="s">
        <v>25</v>
      </c>
      <c r="I8" s="265" t="s">
        <v>26</v>
      </c>
      <c r="J8" s="265" t="s">
        <v>27</v>
      </c>
      <c r="K8" s="265" t="s">
        <v>28</v>
      </c>
      <c r="L8" s="107" t="s">
        <v>29</v>
      </c>
      <c r="M8" s="223"/>
      <c r="N8" s="223"/>
      <c r="O8" s="223"/>
    </row>
    <row r="9" spans="1:16"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226">
        <v>2</v>
      </c>
      <c r="N9" s="227"/>
      <c r="O9" s="227"/>
    </row>
    <row r="10" spans="1:16"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226">
        <v>3</v>
      </c>
      <c r="N10" s="227"/>
      <c r="O10" s="227"/>
    </row>
    <row r="11" spans="1:16" s="22" customFormat="1" ht="4.5" customHeight="1" x14ac:dyDescent="0.15">
      <c r="A11" s="198"/>
      <c r="B11" s="199"/>
      <c r="C11" s="199"/>
      <c r="D11" s="200"/>
      <c r="E11" s="199"/>
      <c r="F11" s="201"/>
      <c r="G11" s="199"/>
      <c r="H11" s="268"/>
      <c r="I11" s="269"/>
      <c r="J11" s="269"/>
      <c r="K11" s="269"/>
      <c r="L11" s="204"/>
      <c r="M11" s="226"/>
      <c r="N11" s="227"/>
      <c r="O11" s="227"/>
      <c r="P11" s="227"/>
    </row>
    <row r="12" spans="1:16"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226">
        <v>4</v>
      </c>
      <c r="N12" s="227"/>
      <c r="O12" s="227"/>
    </row>
    <row r="13" spans="1:16"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226">
        <v>5</v>
      </c>
      <c r="N13" s="227"/>
      <c r="O13" s="227"/>
    </row>
    <row r="14" spans="1:16" s="22" customFormat="1" ht="15" customHeight="1" x14ac:dyDescent="0.15">
      <c r="A14" s="166"/>
      <c r="B14" s="167"/>
      <c r="C14" s="167"/>
      <c r="D14" s="168"/>
      <c r="E14" s="167"/>
      <c r="F14" s="169"/>
      <c r="G14" s="166"/>
      <c r="H14" s="166"/>
      <c r="I14" s="166"/>
      <c r="J14" s="166"/>
      <c r="K14" s="166"/>
      <c r="L14" s="15"/>
      <c r="M14" s="226"/>
      <c r="N14" s="227"/>
      <c r="O14" s="227"/>
    </row>
    <row r="15" spans="1:16" s="42" customFormat="1" ht="17.25" x14ac:dyDescent="0.25">
      <c r="A15" s="187" t="s">
        <v>44</v>
      </c>
      <c r="B15" s="97"/>
      <c r="C15" s="97"/>
      <c r="D15" s="98"/>
      <c r="E15" s="99"/>
      <c r="F15" s="99"/>
      <c r="G15" s="99"/>
      <c r="H15" s="100" t="str">
        <f>H7</f>
        <v>2025 Availabilities</v>
      </c>
      <c r="I15" s="101"/>
      <c r="J15" s="102"/>
      <c r="K15" s="103"/>
      <c r="L15" s="104"/>
      <c r="M15" s="290"/>
    </row>
    <row r="16" spans="1:16" ht="21" customHeight="1" x14ac:dyDescent="0.25">
      <c r="A16" s="107"/>
      <c r="B16" s="107"/>
      <c r="C16" s="125" t="s">
        <v>21</v>
      </c>
      <c r="D16" s="108" t="s">
        <v>3</v>
      </c>
      <c r="E16" s="125"/>
      <c r="F16" s="107" t="s">
        <v>23</v>
      </c>
      <c r="G16" s="107" t="s">
        <v>24</v>
      </c>
      <c r="H16" s="264" t="str">
        <f>H8</f>
        <v>SP1</v>
      </c>
      <c r="I16" s="265" t="str">
        <f t="shared" ref="I16:L16" si="0">I8</f>
        <v>SP2</v>
      </c>
      <c r="J16" s="265" t="str">
        <f t="shared" si="0"/>
        <v>SP3</v>
      </c>
      <c r="K16" s="270" t="str">
        <f t="shared" si="0"/>
        <v>SP4</v>
      </c>
      <c r="L16" s="107" t="str">
        <f t="shared" si="0"/>
        <v>Notes / Progress</v>
      </c>
      <c r="M16" s="226"/>
    </row>
    <row r="17" spans="1:15" x14ac:dyDescent="0.25">
      <c r="A17" s="164" t="str">
        <f>IFERROR(IF(HLOOKUP($L$5,RangeUnitsetsTESOL,M17,FALSE)=0,"",HLOOKUP($L$5,RangeUnitsetsTESOL,M17,FALSE)),"")</f>
        <v/>
      </c>
      <c r="B17" s="43"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1" t="str">
        <f>IFERROR(VLOOKUP($A17,TableHandbook[],H$2,FALSE),"")</f>
        <v/>
      </c>
      <c r="I17" s="272" t="str">
        <f>IFERROR(VLOOKUP($A17,TableHandbook[],I$2,FALSE),"")</f>
        <v/>
      </c>
      <c r="J17" s="272" t="str">
        <f>IFERROR(VLOOKUP($A17,TableHandbook[],J$2,FALSE),"")</f>
        <v/>
      </c>
      <c r="K17" s="273" t="str">
        <f>IFERROR(VLOOKUP($A17,TableHandbook[],K$2,FALSE),"")</f>
        <v/>
      </c>
      <c r="L17" s="59"/>
      <c r="M17" s="226">
        <v>10</v>
      </c>
    </row>
    <row r="18" spans="1:15" x14ac:dyDescent="0.25">
      <c r="A18" s="164" t="str">
        <f>IFERROR(IF(HLOOKUP($L$5,RangeUnitsetsTESOL,M18,FALSE)=0,"",HLOOKUP($L$5,RangeUnitsetsTESOL,M18,FALSE)),"")</f>
        <v/>
      </c>
      <c r="B18" s="43"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66" t="str">
        <f>IFERROR(VLOOKUP($A18,TableHandbook[],H$2,FALSE),"")</f>
        <v/>
      </c>
      <c r="I18" s="267" t="str">
        <f>IFERROR(VLOOKUP($A18,TableHandbook[],I$2,FALSE),"")</f>
        <v/>
      </c>
      <c r="J18" s="267" t="str">
        <f>IFERROR(VLOOKUP($A18,TableHandbook[],J$2,FALSE),"")</f>
        <v/>
      </c>
      <c r="K18" s="274" t="str">
        <f>IFERROR(VLOOKUP($A18,TableHandbook[],K$2,FALSE),"")</f>
        <v/>
      </c>
      <c r="L18" s="59"/>
      <c r="M18" s="226">
        <v>11</v>
      </c>
    </row>
    <row r="19" spans="1:15" x14ac:dyDescent="0.25">
      <c r="A19" s="164" t="str">
        <f>IFERROR(IF(HLOOKUP($L$5,RangeUnitsetsTESOL,M19,FALSE)=0,"",HLOOKUP($L$5,RangeUnitsetsTESOL,M19,FALSE)),"")</f>
        <v/>
      </c>
      <c r="B19" s="43"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66" t="str">
        <f>IFERROR(VLOOKUP($A19,TableHandbook[],H$2,FALSE),"")</f>
        <v/>
      </c>
      <c r="I19" s="267" t="str">
        <f>IFERROR(VLOOKUP($A19,TableHandbook[],I$2,FALSE),"")</f>
        <v/>
      </c>
      <c r="J19" s="267" t="str">
        <f>IFERROR(VLOOKUP($A19,TableHandbook[],J$2,FALSE),"")</f>
        <v/>
      </c>
      <c r="K19" s="274" t="str">
        <f>IFERROR(VLOOKUP($A19,TableHandbook[],K$2,FALSE),"")</f>
        <v/>
      </c>
      <c r="L19" s="59"/>
      <c r="M19" s="226">
        <v>12</v>
      </c>
    </row>
    <row r="20" spans="1:15" ht="15" customHeight="1" x14ac:dyDescent="0.25">
      <c r="A20" s="182"/>
      <c r="B20" s="183"/>
      <c r="C20" s="184"/>
      <c r="D20" s="184"/>
      <c r="E20" s="185"/>
      <c r="F20" s="186"/>
      <c r="G20" s="186"/>
      <c r="H20" s="166"/>
      <c r="I20" s="166"/>
      <c r="J20" s="166"/>
      <c r="K20" s="166"/>
      <c r="L20" s="167"/>
      <c r="M20" s="226"/>
    </row>
    <row r="21" spans="1:15" ht="24.75" customHeight="1" x14ac:dyDescent="0.25">
      <c r="A21" s="65" t="s">
        <v>32</v>
      </c>
      <c r="B21" s="65"/>
      <c r="C21" s="65"/>
      <c r="D21" s="65"/>
      <c r="E21" s="65"/>
      <c r="F21" s="65"/>
      <c r="G21" s="65"/>
      <c r="H21" s="65"/>
      <c r="I21" s="65"/>
      <c r="J21" s="65"/>
      <c r="K21" s="65"/>
      <c r="L21" s="65"/>
    </row>
    <row r="22" spans="1:15" s="38" customFormat="1" ht="17.25" x14ac:dyDescent="0.2">
      <c r="A22" s="32" t="s">
        <v>33</v>
      </c>
      <c r="B22" s="32"/>
      <c r="C22" s="32"/>
      <c r="D22" s="33"/>
      <c r="E22" s="33"/>
      <c r="F22" s="33"/>
      <c r="G22" s="33"/>
      <c r="H22" s="33"/>
      <c r="I22" s="33"/>
      <c r="J22" s="33"/>
      <c r="K22" s="33"/>
      <c r="L22" s="33"/>
      <c r="M22" s="232"/>
      <c r="N22" s="232"/>
      <c r="O22" s="232"/>
    </row>
    <row r="23" spans="1:15" x14ac:dyDescent="0.25">
      <c r="A23" s="34" t="s">
        <v>34</v>
      </c>
      <c r="B23" s="34"/>
      <c r="C23" s="34"/>
      <c r="D23" s="34"/>
      <c r="E23" s="47"/>
      <c r="F23" s="35"/>
      <c r="G23" s="48"/>
      <c r="H23" s="48"/>
      <c r="I23" s="48"/>
      <c r="J23" s="48"/>
      <c r="K23" s="48"/>
      <c r="L23" s="48" t="s">
        <v>35</v>
      </c>
    </row>
  </sheetData>
  <sheetProtection algorithmName="SHA-512" hashValue="lbAkosBb1qrphnTtHrIohqzXJiPUOf4Exz+DiYyoOJFeGHx1ky6GSYW10e5hjx/17JX0Vg3hdC6FyO7dKtH99w==" saltValue="ye/cWtBVDyJMSii68Pl74Q==" spinCount="100000" sheet="1" objects="1" scenarios="1" formatCells="0" formatColumns="0" formatRows="0"/>
  <mergeCells count="1">
    <mergeCell ref="A3:D3"/>
  </mergeCells>
  <conditionalFormatting sqref="A9:L13 A17:L19">
    <cfRule type="expression" dxfId="95" priority="3">
      <formula>$A9=""</formula>
    </cfRule>
  </conditionalFormatting>
  <conditionalFormatting sqref="A17:L19">
    <cfRule type="expression" dxfId="94" priority="4">
      <formula>LEFT($D17,5)="Study"</formula>
    </cfRule>
  </conditionalFormatting>
  <conditionalFormatting sqref="D5:D6">
    <cfRule type="containsText" dxfId="93" priority="2" operator="containsText" text="Choose">
      <formula>NOT(ISERROR(SEARCH("Choose",D5)))</formula>
    </cfRule>
  </conditionalFormatting>
  <conditionalFormatting sqref="H9:K13">
    <cfRule type="expression" dxfId="92" priority="1">
      <formula>$E9=H$8</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Unitsets!$A$44:$A$48</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37"/>
  <sheetViews>
    <sheetView showGridLines="0" topLeftCell="A3" workbookViewId="0">
      <selection activeCell="D6" sqref="D6"/>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45</v>
      </c>
      <c r="E5" s="11"/>
      <c r="F5" s="126" t="s">
        <v>12</v>
      </c>
      <c r="G5" s="11" t="str">
        <f>IFERROR(CONCATENATE(VLOOKUP(D5,TableCourses[],2,FALSE)," ",VLOOKUP(D5,TableCourses[],3,FALSE)),"")</f>
        <v>OC-EDUC v.1</v>
      </c>
      <c r="H5" s="11"/>
      <c r="I5" s="11"/>
      <c r="J5" s="11"/>
      <c r="K5" s="11"/>
      <c r="L5" s="284"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IFERROR(IF(HLOOKUP($L$5,RangeUnitsetsOCEDUC,M9,FALSE)=0,"",HLOOKUP($L$5,RangeUnitsetsOCEDUC,M9,FALSE)),"")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IFERROR(IF(HLOOKUP($L$5,RangeUnitsetsOCEDUC,M10,FALSE)=0,"",HLOOKUP($L$5,RangeUnitsetsOCEDUC,M10,FALSE)),"")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IFERROR(IF(HLOOKUP($L$5,RangeUnitsetsOCEDUC,M12,FALSE)=0,"",HLOOKUP($L$5,RangeUnitsetsOCEDUC,M12,FALSE)),"")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IFERROR(IF(HLOOKUP($L$5,RangeUnitsetsOCEDUC,M13,FALSE)=0,"",HLOOKUP($L$5,RangeUnitsetsOCEDUC,M13,FALSE)),"")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42" customFormat="1" ht="17.25" x14ac:dyDescent="0.25">
      <c r="A15" s="187" t="s">
        <v>46</v>
      </c>
      <c r="B15" s="97"/>
      <c r="C15" s="97"/>
      <c r="D15" s="98"/>
      <c r="E15" s="99"/>
      <c r="F15" s="99"/>
      <c r="G15" s="99"/>
      <c r="H15" s="100" t="str">
        <f>H7</f>
        <v>2025 Availabilities</v>
      </c>
      <c r="I15" s="101"/>
      <c r="J15" s="102"/>
      <c r="K15" s="103"/>
      <c r="L15" s="104"/>
      <c r="M15" s="181"/>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64" t="str">
        <f>H8</f>
        <v>SP1</v>
      </c>
      <c r="I16" s="265" t="str">
        <f t="shared" ref="I16:L16" si="0">I8</f>
        <v>SP2</v>
      </c>
      <c r="J16" s="265" t="str">
        <f t="shared" si="0"/>
        <v>SP3</v>
      </c>
      <c r="K16" s="270" t="str">
        <f t="shared" si="0"/>
        <v>SP4</v>
      </c>
      <c r="L16" s="113" t="str">
        <f t="shared" si="0"/>
        <v>Notes / Progress</v>
      </c>
      <c r="M16" s="157"/>
      <c r="N16" s="16"/>
      <c r="O16" s="16"/>
      <c r="P16" s="16"/>
      <c r="Q16" s="16"/>
      <c r="R16" s="16"/>
      <c r="S16" s="16"/>
      <c r="T16" s="16"/>
      <c r="U16" s="16"/>
      <c r="V16" s="16"/>
      <c r="W16" s="16"/>
    </row>
    <row r="17" spans="1:23" x14ac:dyDescent="0.25">
      <c r="A17" s="164" t="str">
        <f t="shared" ref="A17:A33" si="1">IFERROR(IF(HLOOKUP($L$5,RangeUnitsetsOCEDUC,M17,FALSE)=0,"",HLOOKUP($L$5,RangeUnitsetsOCEDUC,M17,FALSE)),"")</f>
        <v/>
      </c>
      <c r="B17" s="207"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1" t="str">
        <f>IFERROR(VLOOKUP($A17,TableHandbook[],H$2,FALSE),"")</f>
        <v/>
      </c>
      <c r="I17" s="272" t="str">
        <f>IFERROR(VLOOKUP($A17,TableHandbook[],I$2,FALSE),"")</f>
        <v/>
      </c>
      <c r="J17" s="272" t="str">
        <f>IFERROR(VLOOKUP($A17,TableHandbook[],J$2,FALSE),"")</f>
        <v/>
      </c>
      <c r="K17" s="273" t="str">
        <f>IFERROR(VLOOKUP($A17,TableHandbook[],K$2,FALSE),"")</f>
        <v/>
      </c>
      <c r="L17" s="51"/>
      <c r="M17" s="157">
        <v>6</v>
      </c>
      <c r="N17" s="16"/>
      <c r="O17" s="16"/>
      <c r="P17" s="16"/>
      <c r="Q17" s="16"/>
      <c r="R17" s="16"/>
      <c r="S17" s="16"/>
      <c r="T17" s="16"/>
      <c r="U17" s="16"/>
      <c r="V17" s="16"/>
      <c r="W17" s="16"/>
    </row>
    <row r="18" spans="1:23" x14ac:dyDescent="0.25">
      <c r="A18" s="164" t="str">
        <f t="shared" si="1"/>
        <v/>
      </c>
      <c r="B18" s="207"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71" t="str">
        <f>IFERROR(VLOOKUP($A18,TableHandbook[],H$2,FALSE),"")</f>
        <v/>
      </c>
      <c r="I18" s="272" t="str">
        <f>IFERROR(VLOOKUP($A18,TableHandbook[],I$2,FALSE),"")</f>
        <v/>
      </c>
      <c r="J18" s="272" t="str">
        <f>IFERROR(VLOOKUP($A18,TableHandbook[],J$2,FALSE),"")</f>
        <v/>
      </c>
      <c r="K18" s="273" t="str">
        <f>IFERROR(VLOOKUP($A18,TableHandbook[],K$2,FALSE),"")</f>
        <v/>
      </c>
      <c r="L18" s="51"/>
      <c r="M18" s="157">
        <v>7</v>
      </c>
      <c r="N18" s="16"/>
      <c r="O18" s="16"/>
      <c r="P18" s="16"/>
      <c r="Q18" s="16"/>
      <c r="R18" s="16"/>
      <c r="S18" s="16"/>
      <c r="T18" s="16"/>
      <c r="U18" s="16"/>
      <c r="V18" s="16"/>
      <c r="W18" s="16"/>
    </row>
    <row r="19" spans="1:23" x14ac:dyDescent="0.25">
      <c r="A19" s="164" t="str">
        <f t="shared" si="1"/>
        <v/>
      </c>
      <c r="B19" s="207"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71" t="str">
        <f>IFERROR(VLOOKUP($A19,TableHandbook[],H$2,FALSE),"")</f>
        <v/>
      </c>
      <c r="I19" s="272" t="str">
        <f>IFERROR(VLOOKUP($A19,TableHandbook[],I$2,FALSE),"")</f>
        <v/>
      </c>
      <c r="J19" s="272" t="str">
        <f>IFERROR(VLOOKUP($A19,TableHandbook[],J$2,FALSE),"")</f>
        <v/>
      </c>
      <c r="K19" s="273" t="str">
        <f>IFERROR(VLOOKUP($A19,TableHandbook[],K$2,FALSE),"")</f>
        <v/>
      </c>
      <c r="L19" s="51"/>
      <c r="M19" s="157">
        <v>8</v>
      </c>
      <c r="N19" s="16"/>
      <c r="O19" s="16"/>
      <c r="P19" s="16"/>
      <c r="Q19" s="16"/>
      <c r="R19" s="16"/>
      <c r="S19" s="16"/>
      <c r="T19" s="16"/>
      <c r="U19" s="16"/>
      <c r="V19" s="16"/>
      <c r="W19" s="16"/>
    </row>
    <row r="20" spans="1:23" x14ac:dyDescent="0.25">
      <c r="A20" s="164" t="str">
        <f t="shared" si="1"/>
        <v/>
      </c>
      <c r="B20" s="207" t="str">
        <f>IFERROR(IF(VLOOKUP($A20,TableHandbook[],2,FALSE)=0,"",VLOOKUP($A20,TableHandbook[],2,FALSE)),"")</f>
        <v/>
      </c>
      <c r="C20" s="207" t="str">
        <f>IFERROR(IF(VLOOKUP($A20,TableHandbook[],3,FALSE)=0,"",VLOOKUP($A20,TableHandbook[],3,FALSE)),"")</f>
        <v/>
      </c>
      <c r="D20" s="44" t="str">
        <f>IFERROR(IF(VLOOKUP($A20,TableHandbook[],4,FALSE)=0,"",VLOOKUP($A20,TableHandbook[],4,FALSE)),"")</f>
        <v/>
      </c>
      <c r="E20" s="45"/>
      <c r="F20" s="46" t="str">
        <f>IFERROR(IF(VLOOKUP($A20,TableHandbook[],6,FALSE)=0,"",VLOOKUP($A20,TableHandbook[],6,FALSE)),"")</f>
        <v/>
      </c>
      <c r="G20" s="46" t="str">
        <f>IFERROR(IF(VLOOKUP($A20,TableHandbook[],5,FALSE)=0,"",VLOOKUP($A20,TableHandbook[],5,FALSE)),"")</f>
        <v/>
      </c>
      <c r="H20" s="271" t="str">
        <f>IFERROR(VLOOKUP($A20,TableHandbook[],H$2,FALSE),"")</f>
        <v/>
      </c>
      <c r="I20" s="272" t="str">
        <f>IFERROR(VLOOKUP($A20,TableHandbook[],I$2,FALSE),"")</f>
        <v/>
      </c>
      <c r="J20" s="272" t="str">
        <f>IFERROR(VLOOKUP($A20,TableHandbook[],J$2,FALSE),"")</f>
        <v/>
      </c>
      <c r="K20" s="273" t="str">
        <f>IFERROR(VLOOKUP($A20,TableHandbook[],K$2,FALSE),"")</f>
        <v/>
      </c>
      <c r="L20" s="51"/>
      <c r="M20" s="157">
        <v>9</v>
      </c>
      <c r="N20" s="16"/>
      <c r="O20" s="16"/>
      <c r="P20" s="16"/>
      <c r="Q20" s="16"/>
      <c r="R20" s="16"/>
      <c r="S20" s="16"/>
      <c r="T20" s="16"/>
      <c r="U20" s="16"/>
      <c r="V20" s="16"/>
      <c r="W20" s="16"/>
    </row>
    <row r="21" spans="1:23" x14ac:dyDescent="0.25">
      <c r="A21" s="164" t="str">
        <f t="shared" si="1"/>
        <v/>
      </c>
      <c r="B21" s="207" t="str">
        <f>IFERROR(IF(VLOOKUP($A21,TableHandbook[],2,FALSE)=0,"",VLOOKUP($A21,TableHandbook[],2,FALSE)),"")</f>
        <v/>
      </c>
      <c r="C21" s="207" t="str">
        <f>IFERROR(IF(VLOOKUP($A21,TableHandbook[],3,FALSE)=0,"",VLOOKUP($A21,TableHandbook[],3,FALSE)),"")</f>
        <v/>
      </c>
      <c r="D21" s="44" t="str">
        <f>IFERROR(IF(VLOOKUP($A21,TableHandbook[],4,FALSE)=0,"",VLOOKUP($A21,TableHandbook[],4,FALSE)),"")</f>
        <v/>
      </c>
      <c r="E21" s="45"/>
      <c r="F21" s="46" t="str">
        <f>IFERROR(IF(VLOOKUP($A21,TableHandbook[],6,FALSE)=0,"",VLOOKUP($A21,TableHandbook[],6,FALSE)),"")</f>
        <v/>
      </c>
      <c r="G21" s="46" t="str">
        <f>IFERROR(IF(VLOOKUP($A21,TableHandbook[],5,FALSE)=0,"",VLOOKUP($A21,TableHandbook[],5,FALSE)),"")</f>
        <v/>
      </c>
      <c r="H21" s="271" t="str">
        <f>IFERROR(VLOOKUP($A21,TableHandbook[],H$2,FALSE),"")</f>
        <v/>
      </c>
      <c r="I21" s="272" t="str">
        <f>IFERROR(VLOOKUP($A21,TableHandbook[],I$2,FALSE),"")</f>
        <v/>
      </c>
      <c r="J21" s="272" t="str">
        <f>IFERROR(VLOOKUP($A21,TableHandbook[],J$2,FALSE),"")</f>
        <v/>
      </c>
      <c r="K21" s="273" t="str">
        <f>IFERROR(VLOOKUP($A21,TableHandbook[],K$2,FALSE),"")</f>
        <v/>
      </c>
      <c r="L21" s="51"/>
      <c r="M21" s="157">
        <v>10</v>
      </c>
      <c r="N21" s="16"/>
      <c r="O21" s="16"/>
      <c r="P21" s="16"/>
      <c r="Q21" s="16"/>
      <c r="R21" s="16"/>
      <c r="S21" s="16"/>
      <c r="T21" s="16"/>
      <c r="U21" s="16"/>
      <c r="V21" s="16"/>
      <c r="W21" s="16"/>
    </row>
    <row r="22" spans="1:23" x14ac:dyDescent="0.25">
      <c r="A22" s="164" t="str">
        <f t="shared" si="1"/>
        <v/>
      </c>
      <c r="B22" s="207" t="str">
        <f>IFERROR(IF(VLOOKUP($A22,TableHandbook[],2,FALSE)=0,"",VLOOKUP($A22,TableHandbook[],2,FALSE)),"")</f>
        <v/>
      </c>
      <c r="C22" s="207" t="str">
        <f>IFERROR(IF(VLOOKUP($A22,TableHandbook[],3,FALSE)=0,"",VLOOKUP($A22,TableHandbook[],3,FALSE)),"")</f>
        <v/>
      </c>
      <c r="D22" s="44" t="str">
        <f>IFERROR(IF(VLOOKUP($A22,TableHandbook[],4,FALSE)=0,"",VLOOKUP($A22,TableHandbook[],4,FALSE)),"")</f>
        <v/>
      </c>
      <c r="E22" s="45"/>
      <c r="F22" s="46" t="str">
        <f>IFERROR(IF(VLOOKUP($A22,TableHandbook[],6,FALSE)=0,"",VLOOKUP($A22,TableHandbook[],6,FALSE)),"")</f>
        <v/>
      </c>
      <c r="G22" s="46" t="str">
        <f>IFERROR(IF(VLOOKUP($A22,TableHandbook[],5,FALSE)=0,"",VLOOKUP($A22,TableHandbook[],5,FALSE)),"")</f>
        <v/>
      </c>
      <c r="H22" s="271" t="str">
        <f>IFERROR(VLOOKUP($A22,TableHandbook[],H$2,FALSE),"")</f>
        <v/>
      </c>
      <c r="I22" s="272" t="str">
        <f>IFERROR(VLOOKUP($A22,TableHandbook[],I$2,FALSE),"")</f>
        <v/>
      </c>
      <c r="J22" s="272" t="str">
        <f>IFERROR(VLOOKUP($A22,TableHandbook[],J$2,FALSE),"")</f>
        <v/>
      </c>
      <c r="K22" s="273" t="str">
        <f>IFERROR(VLOOKUP($A22,TableHandbook[],K$2,FALSE),"")</f>
        <v/>
      </c>
      <c r="L22" s="51"/>
      <c r="M22" s="157">
        <v>11</v>
      </c>
      <c r="N22" s="16"/>
      <c r="O22" s="16"/>
      <c r="P22" s="16"/>
      <c r="Q22" s="16"/>
      <c r="R22" s="16"/>
      <c r="S22" s="16"/>
      <c r="T22" s="16"/>
      <c r="U22" s="16"/>
      <c r="V22" s="16"/>
      <c r="W22" s="16"/>
    </row>
    <row r="23" spans="1:23" x14ac:dyDescent="0.25">
      <c r="A23" s="164" t="str">
        <f t="shared" si="1"/>
        <v/>
      </c>
      <c r="B23" s="207" t="str">
        <f>IFERROR(IF(VLOOKUP($A23,TableHandbook[],2,FALSE)=0,"",VLOOKUP($A23,TableHandbook[],2,FALSE)),"")</f>
        <v/>
      </c>
      <c r="C23" s="207" t="str">
        <f>IFERROR(IF(VLOOKUP($A23,TableHandbook[],3,FALSE)=0,"",VLOOKUP($A23,TableHandbook[],3,FALSE)),"")</f>
        <v/>
      </c>
      <c r="D23" s="44" t="str">
        <f>IFERROR(IF(VLOOKUP($A23,TableHandbook[],4,FALSE)=0,"",VLOOKUP($A23,TableHandbook[],4,FALSE)),"")</f>
        <v/>
      </c>
      <c r="E23" s="45"/>
      <c r="F23" s="46" t="str">
        <f>IFERROR(IF(VLOOKUP($A23,TableHandbook[],6,FALSE)=0,"",VLOOKUP($A23,TableHandbook[],6,FALSE)),"")</f>
        <v/>
      </c>
      <c r="G23" s="46" t="str">
        <f>IFERROR(IF(VLOOKUP($A23,TableHandbook[],5,FALSE)=0,"",VLOOKUP($A23,TableHandbook[],5,FALSE)),"")</f>
        <v/>
      </c>
      <c r="H23" s="271" t="str">
        <f>IFERROR(VLOOKUP($A23,TableHandbook[],H$2,FALSE),"")</f>
        <v/>
      </c>
      <c r="I23" s="272" t="str">
        <f>IFERROR(VLOOKUP($A23,TableHandbook[],I$2,FALSE),"")</f>
        <v/>
      </c>
      <c r="J23" s="272" t="str">
        <f>IFERROR(VLOOKUP($A23,TableHandbook[],J$2,FALSE),"")</f>
        <v/>
      </c>
      <c r="K23" s="273" t="str">
        <f>IFERROR(VLOOKUP($A23,TableHandbook[],K$2,FALSE),"")</f>
        <v/>
      </c>
      <c r="L23" s="51"/>
      <c r="M23" s="157">
        <v>12</v>
      </c>
      <c r="N23" s="16"/>
      <c r="O23" s="16"/>
      <c r="P23" s="16"/>
      <c r="Q23" s="16"/>
      <c r="R23" s="16"/>
      <c r="S23" s="16"/>
      <c r="T23" s="16"/>
      <c r="U23" s="16"/>
      <c r="V23" s="16"/>
      <c r="W23" s="16"/>
    </row>
    <row r="24" spans="1:23" x14ac:dyDescent="0.25">
      <c r="A24" s="164" t="str">
        <f t="shared" si="1"/>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1" t="str">
        <f>IFERROR(VLOOKUP($A24,TableHandbook[],H$2,FALSE),"")</f>
        <v/>
      </c>
      <c r="I24" s="272" t="str">
        <f>IFERROR(VLOOKUP($A24,TableHandbook[],I$2,FALSE),"")</f>
        <v/>
      </c>
      <c r="J24" s="272" t="str">
        <f>IFERROR(VLOOKUP($A24,TableHandbook[],J$2,FALSE),"")</f>
        <v/>
      </c>
      <c r="K24" s="273" t="str">
        <f>IFERROR(VLOOKUP($A24,TableHandbook[],K$2,FALSE),"")</f>
        <v/>
      </c>
      <c r="L24" s="51"/>
      <c r="M24" s="157">
        <v>13</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71" t="str">
        <f>IFERROR(VLOOKUP($A25,TableHandbook[],H$2,FALSE),"")</f>
        <v/>
      </c>
      <c r="I25" s="272" t="str">
        <f>IFERROR(VLOOKUP($A25,TableHandbook[],I$2,FALSE),"")</f>
        <v/>
      </c>
      <c r="J25" s="272" t="str">
        <f>IFERROR(VLOOKUP($A25,TableHandbook[],J$2,FALSE),"")</f>
        <v/>
      </c>
      <c r="K25" s="273" t="str">
        <f>IFERROR(VLOOKUP($A25,TableHandbook[],K$2,FALSE),"")</f>
        <v/>
      </c>
      <c r="L25" s="51"/>
      <c r="M25" s="157">
        <v>14</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71" t="str">
        <f>IFERROR(VLOOKUP($A26,TableHandbook[],H$2,FALSE),"")</f>
        <v/>
      </c>
      <c r="I26" s="272" t="str">
        <f>IFERROR(VLOOKUP($A26,TableHandbook[],I$2,FALSE),"")</f>
        <v/>
      </c>
      <c r="J26" s="272" t="str">
        <f>IFERROR(VLOOKUP($A26,TableHandbook[],J$2,FALSE),"")</f>
        <v/>
      </c>
      <c r="K26" s="273" t="str">
        <f>IFERROR(VLOOKUP($A26,TableHandbook[],K$2,FALSE),"")</f>
        <v/>
      </c>
      <c r="L26" s="51"/>
      <c r="M26" s="157">
        <v>15</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71" t="str">
        <f>IFERROR(VLOOKUP($A27,TableHandbook[],H$2,FALSE),"")</f>
        <v/>
      </c>
      <c r="I27" s="272" t="str">
        <f>IFERROR(VLOOKUP($A27,TableHandbook[],I$2,FALSE),"")</f>
        <v/>
      </c>
      <c r="J27" s="272" t="str">
        <f>IFERROR(VLOOKUP($A27,TableHandbook[],J$2,FALSE),"")</f>
        <v/>
      </c>
      <c r="K27" s="273" t="str">
        <f>IFERROR(VLOOKUP($A27,TableHandbook[],K$2,FALSE),"")</f>
        <v/>
      </c>
      <c r="L27" s="51"/>
      <c r="M27" s="157">
        <v>16</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1" t="str">
        <f>IFERROR(VLOOKUP($A28,TableHandbook[],H$2,FALSE),"")</f>
        <v/>
      </c>
      <c r="I28" s="272" t="str">
        <f>IFERROR(VLOOKUP($A28,TableHandbook[],I$2,FALSE),"")</f>
        <v/>
      </c>
      <c r="J28" s="272" t="str">
        <f>IFERROR(VLOOKUP($A28,TableHandbook[],J$2,FALSE),"")</f>
        <v/>
      </c>
      <c r="K28" s="273" t="str">
        <f>IFERROR(VLOOKUP($A28,TableHandbook[],K$2,FALSE),"")</f>
        <v/>
      </c>
      <c r="L28" s="51"/>
      <c r="M28" s="157">
        <v>17</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1" t="str">
        <f>IFERROR(VLOOKUP($A29,TableHandbook[],H$2,FALSE),"")</f>
        <v/>
      </c>
      <c r="I29" s="272" t="str">
        <f>IFERROR(VLOOKUP($A29,TableHandbook[],I$2,FALSE),"")</f>
        <v/>
      </c>
      <c r="J29" s="272" t="str">
        <f>IFERROR(VLOOKUP($A29,TableHandbook[],J$2,FALSE),"")</f>
        <v/>
      </c>
      <c r="K29" s="273" t="str">
        <f>IFERROR(VLOOKUP($A29,TableHandbook[],K$2,FALSE),"")</f>
        <v/>
      </c>
      <c r="L29" s="51"/>
      <c r="M29" s="157">
        <v>18</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1"/>
      <c r="M30" s="157">
        <v>19</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71" t="str">
        <f>IFERROR(VLOOKUP($A31,TableHandbook[],H$2,FALSE),"")</f>
        <v/>
      </c>
      <c r="I31" s="272" t="str">
        <f>IFERROR(VLOOKUP($A31,TableHandbook[],I$2,FALSE),"")</f>
        <v/>
      </c>
      <c r="J31" s="272" t="str">
        <f>IFERROR(VLOOKUP($A31,TableHandbook[],J$2,FALSE),"")</f>
        <v/>
      </c>
      <c r="K31" s="273" t="str">
        <f>IFERROR(VLOOKUP($A31,TableHandbook[],K$2,FALSE),"")</f>
        <v/>
      </c>
      <c r="L31" s="51"/>
      <c r="M31" s="157">
        <v>20</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6" t="str">
        <f>IFERROR(VLOOKUP($A32,TableHandbook[],H$2,FALSE),"")</f>
        <v/>
      </c>
      <c r="I32" s="267" t="str">
        <f>IFERROR(VLOOKUP($A32,TableHandbook[],I$2,FALSE),"")</f>
        <v/>
      </c>
      <c r="J32" s="267" t="str">
        <f>IFERROR(VLOOKUP($A32,TableHandbook[],J$2,FALSE),"")</f>
        <v/>
      </c>
      <c r="K32" s="274" t="str">
        <f>IFERROR(VLOOKUP($A32,TableHandbook[],K$2,FALSE),"")</f>
        <v/>
      </c>
      <c r="L32" s="51"/>
      <c r="M32" s="157">
        <v>21</v>
      </c>
      <c r="N32" s="16"/>
      <c r="O32" s="16"/>
      <c r="P32" s="16"/>
      <c r="Q32" s="16"/>
      <c r="R32" s="16"/>
      <c r="S32" s="16"/>
      <c r="T32" s="16"/>
      <c r="U32" s="16"/>
      <c r="V32" s="16"/>
      <c r="W32" s="16"/>
    </row>
    <row r="33" spans="1:23" x14ac:dyDescent="0.25">
      <c r="A33" s="164" t="str">
        <f t="shared" si="1"/>
        <v/>
      </c>
      <c r="B33" s="207" t="str">
        <f>IFERROR(IF(VLOOKUP($A33,TableHandbook[],2,FALSE)=0,"",VLOOKUP($A33,TableHandbook[],2,FALSE)),"")</f>
        <v/>
      </c>
      <c r="C33" s="207" t="str">
        <f>IFERROR(IF(VLOOKUP($A33,TableHandbook[],3,FALSE)=0,"",VLOOKUP($A33,TableHandbook[],3,FALSE)),"")</f>
        <v/>
      </c>
      <c r="D33" s="44" t="str">
        <f>IFERROR(IF(VLOOKUP($A33,TableHandbook[],4,FALSE)=0,"",VLOOKUP($A33,TableHandbook[],4,FALSE)),"")</f>
        <v/>
      </c>
      <c r="E33" s="45"/>
      <c r="F33" s="46" t="str">
        <f>IFERROR(IF(VLOOKUP($A33,TableHandbook[],6,FALSE)=0,"",VLOOKUP($A33,TableHandbook[],6,FALSE)),"")</f>
        <v/>
      </c>
      <c r="G33" s="46" t="str">
        <f>IFERROR(IF(VLOOKUP($A33,TableHandbook[],5,FALSE)=0,"",VLOOKUP($A33,TableHandbook[],5,FALSE)),"")</f>
        <v/>
      </c>
      <c r="H33" s="266" t="str">
        <f>IFERROR(VLOOKUP($A33,TableHandbook[],H$2,FALSE),"")</f>
        <v/>
      </c>
      <c r="I33" s="267" t="str">
        <f>IFERROR(VLOOKUP($A33,TableHandbook[],I$2,FALSE),"")</f>
        <v/>
      </c>
      <c r="J33" s="267" t="str">
        <f>IFERROR(VLOOKUP($A33,TableHandbook[],J$2,FALSE),"")</f>
        <v/>
      </c>
      <c r="K33" s="274" t="str">
        <f>IFERROR(VLOOKUP($A33,TableHandbook[],K$2,FALSE),"")</f>
        <v/>
      </c>
      <c r="L33" s="51"/>
      <c r="M33" s="157">
        <v>22</v>
      </c>
      <c r="N33" s="16"/>
      <c r="O33" s="16"/>
      <c r="P33" s="16"/>
      <c r="Q33" s="16"/>
      <c r="R33" s="16"/>
      <c r="S33" s="16"/>
      <c r="T33" s="16"/>
      <c r="U33" s="16"/>
      <c r="V33" s="16"/>
      <c r="W33" s="16"/>
    </row>
    <row r="34" spans="1:23" ht="15" customHeight="1" x14ac:dyDescent="0.25">
      <c r="A34" s="182"/>
      <c r="B34" s="183"/>
      <c r="C34" s="184"/>
      <c r="D34" s="184"/>
      <c r="E34" s="185"/>
      <c r="F34" s="186"/>
      <c r="G34" s="186"/>
      <c r="H34" s="166"/>
      <c r="I34" s="166"/>
      <c r="J34" s="166"/>
      <c r="K34" s="166"/>
      <c r="L34" s="167"/>
      <c r="M34" s="157"/>
      <c r="N34" s="16"/>
      <c r="O34" s="16"/>
      <c r="P34" s="16"/>
      <c r="Q34" s="16"/>
      <c r="R34" s="16"/>
      <c r="S34" s="16"/>
      <c r="T34" s="16"/>
      <c r="U34" s="16"/>
      <c r="V34" s="16"/>
      <c r="W34" s="16"/>
    </row>
    <row r="35" spans="1:23" s="16" customFormat="1" ht="18" x14ac:dyDescent="0.25">
      <c r="A35" s="65" t="s">
        <v>32</v>
      </c>
      <c r="B35" s="65"/>
      <c r="C35" s="65"/>
      <c r="D35" s="65"/>
      <c r="E35" s="65"/>
      <c r="F35" s="65"/>
      <c r="G35" s="65"/>
      <c r="H35" s="65"/>
      <c r="I35" s="65"/>
      <c r="J35" s="65"/>
      <c r="K35" s="65"/>
      <c r="L35" s="65"/>
    </row>
    <row r="36" spans="1:23" s="38" customFormat="1" ht="17.25" x14ac:dyDescent="0.2">
      <c r="A36" s="32" t="s">
        <v>33</v>
      </c>
      <c r="B36" s="32"/>
      <c r="C36" s="32"/>
      <c r="D36" s="33"/>
      <c r="E36" s="33"/>
      <c r="F36" s="33"/>
      <c r="G36" s="33"/>
      <c r="H36" s="33"/>
      <c r="I36" s="33"/>
      <c r="J36" s="33"/>
      <c r="K36" s="33"/>
      <c r="L36" s="33"/>
      <c r="M36" s="36"/>
      <c r="N36" s="36"/>
      <c r="O36" s="36"/>
      <c r="P36" s="37"/>
      <c r="Q36" s="37"/>
      <c r="R36" s="37"/>
      <c r="S36" s="37"/>
      <c r="T36" s="37"/>
      <c r="U36" s="37"/>
      <c r="V36" s="37"/>
      <c r="W36" s="37"/>
    </row>
    <row r="37" spans="1:23" x14ac:dyDescent="0.25">
      <c r="A37" s="34" t="s">
        <v>34</v>
      </c>
      <c r="B37" s="34"/>
      <c r="C37" s="34"/>
      <c r="D37" s="34"/>
      <c r="E37" s="47"/>
      <c r="F37" s="35"/>
      <c r="G37" s="48"/>
      <c r="H37" s="48"/>
      <c r="I37" s="48"/>
      <c r="J37" s="48"/>
      <c r="K37" s="48"/>
      <c r="L37" s="48" t="s">
        <v>35</v>
      </c>
    </row>
  </sheetData>
  <sheetProtection formatCells="0"/>
  <mergeCells count="1">
    <mergeCell ref="A3:D3"/>
  </mergeCells>
  <conditionalFormatting sqref="A9:L13 A17:L33">
    <cfRule type="expression" dxfId="91" priority="3">
      <formula>$A9=""</formula>
    </cfRule>
  </conditionalFormatting>
  <conditionalFormatting sqref="A17:L33">
    <cfRule type="expression" dxfId="90" priority="4">
      <formula>LEFT($D17,5)="Study"</formula>
    </cfRule>
  </conditionalFormatting>
  <conditionalFormatting sqref="D5:D6">
    <cfRule type="containsText" dxfId="89" priority="2" operator="containsText" text="Choose">
      <formula>NOT(ISERROR(SEARCH("Choose",D5)))</formula>
    </cfRule>
  </conditionalFormatting>
  <conditionalFormatting sqref="H9:K13">
    <cfRule type="expression" dxfId="88" priority="1">
      <formula>$E9=H$8</formula>
    </cfRule>
  </conditionalFormatting>
  <dataValidations count="1">
    <dataValidation type="list" allowBlank="1" showInputMessage="1" showErrorMessage="1" sqref="L11" xr:uid="{00000000-0002-0000-0500-000000000000}"/>
  </dataValidations>
  <hyperlinks>
    <hyperlink ref="A36:L3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Unitsets!$A$44:$A$48</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W17"/>
  <sheetViews>
    <sheetView showGridLines="0" topLeftCell="A3" workbookViewId="0">
      <selection activeCell="D6" sqref="D6"/>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16" t="s">
        <v>47</v>
      </c>
      <c r="E5" s="11"/>
      <c r="F5" s="126" t="s">
        <v>12</v>
      </c>
      <c r="G5" s="11" t="str">
        <f>IFERROR(CONCATENATE(VLOOKUP(D5,TableCourses[],2,FALSE)," ",VLOOKUP(D5,TableCourses[],3,FALSE)),"")</f>
        <v>OC-EDHE v.1</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48</v>
      </c>
      <c r="M8" s="17"/>
      <c r="N8" s="17"/>
      <c r="O8" s="17"/>
      <c r="P8" s="18"/>
      <c r="Q8" s="18"/>
      <c r="R8" s="18"/>
      <c r="S8" s="18"/>
      <c r="T8" s="18"/>
      <c r="U8" s="18"/>
      <c r="V8" s="18"/>
      <c r="W8" s="18"/>
    </row>
    <row r="9" spans="1:23" s="22" customFormat="1" ht="21" customHeight="1" x14ac:dyDescent="0.15">
      <c r="A9" s="56" t="str">
        <f>IFERROR(IF(HLOOKUP($L$5,RangeUnitsetsOCEDHE,M9,FALSE)=0,"",HLOOKUP($L$5,RangeUnitsetsOCEDHE,M9,FALSE)),"")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IFERROR(IF(HLOOKUP($L$5,RangeUnitsetsOCEDHE,M10,FALSE)=0,"",HLOOKUP($L$5,RangeUnitsetsOCEDHE,M10,FALSE)),"")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23"/>
      <c r="B11" s="24"/>
      <c r="C11" s="24"/>
      <c r="D11" s="25"/>
      <c r="E11" s="24"/>
      <c r="F11" s="26"/>
      <c r="G11" s="24"/>
      <c r="H11" s="275"/>
      <c r="I11" s="276"/>
      <c r="J11" s="276"/>
      <c r="K11" s="276"/>
      <c r="L11" s="27"/>
      <c r="M11" s="157"/>
      <c r="N11" s="20"/>
      <c r="O11" s="20"/>
      <c r="P11" s="20"/>
      <c r="Q11" s="21"/>
      <c r="R11" s="21"/>
      <c r="S11" s="21"/>
      <c r="T11" s="21"/>
      <c r="U11" s="21"/>
      <c r="V11" s="21"/>
      <c r="W11" s="21"/>
    </row>
    <row r="12" spans="1:23" s="22" customFormat="1" ht="21" customHeight="1" x14ac:dyDescent="0.15">
      <c r="A12" s="56" t="str">
        <f>IFERROR(IF(HLOOKUP($L$5,RangeUnitsetsOCEDHE,M12,FALSE)=0,"",HLOOKUP($L$5,RangeUnitsetsOCEDHE,M12,FALSE)),"")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IFERROR(IF(HLOOKUP($L$5,RangeUnitsetsOCEDHE,M13,FALSE)=0,"",HLOOKUP($L$5,RangeUnitsetsOCEDHE,M13,FALSE)),"")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16" customFormat="1" ht="18" x14ac:dyDescent="0.25">
      <c r="A15" s="65" t="s">
        <v>32</v>
      </c>
      <c r="B15" s="65"/>
      <c r="C15" s="65"/>
      <c r="D15" s="65"/>
      <c r="E15" s="65"/>
      <c r="F15" s="65"/>
      <c r="G15" s="65"/>
      <c r="H15" s="65"/>
      <c r="I15" s="65"/>
      <c r="J15" s="65"/>
      <c r="K15" s="65"/>
      <c r="L15" s="65"/>
    </row>
    <row r="16" spans="1:23" s="38" customFormat="1" ht="17.25" x14ac:dyDescent="0.2">
      <c r="A16" s="32" t="s">
        <v>33</v>
      </c>
      <c r="B16" s="32"/>
      <c r="C16" s="32"/>
      <c r="D16" s="33"/>
      <c r="E16" s="33"/>
      <c r="F16" s="33"/>
      <c r="G16" s="33"/>
      <c r="H16" s="33"/>
      <c r="I16" s="33"/>
      <c r="J16" s="33"/>
      <c r="K16" s="33"/>
      <c r="L16" s="33"/>
      <c r="M16" s="36"/>
      <c r="N16" s="36"/>
      <c r="O16" s="36"/>
      <c r="P16" s="37"/>
      <c r="Q16" s="37"/>
      <c r="R16" s="37"/>
      <c r="S16" s="37"/>
      <c r="T16" s="37"/>
      <c r="U16" s="37"/>
      <c r="V16" s="37"/>
      <c r="W16" s="37"/>
    </row>
    <row r="17" spans="1:12" x14ac:dyDescent="0.25">
      <c r="A17" s="34" t="s">
        <v>34</v>
      </c>
      <c r="B17" s="34"/>
      <c r="C17" s="34"/>
      <c r="D17" s="34"/>
      <c r="E17" s="47"/>
      <c r="F17" s="35"/>
      <c r="G17" s="48"/>
      <c r="H17" s="48"/>
      <c r="I17" s="48"/>
      <c r="J17" s="48"/>
      <c r="K17" s="48"/>
      <c r="L17" s="48" t="s">
        <v>35</v>
      </c>
    </row>
  </sheetData>
  <sheetProtection formatCells="0"/>
  <mergeCells count="1">
    <mergeCell ref="A3:D3"/>
  </mergeCells>
  <conditionalFormatting sqref="A9:L13">
    <cfRule type="expression" dxfId="87" priority="3">
      <formula>$A9=""</formula>
    </cfRule>
  </conditionalFormatting>
  <conditionalFormatting sqref="D5:D6">
    <cfRule type="containsText" dxfId="86" priority="2" operator="containsText" text="Choose">
      <formula>NOT(ISERROR(SEARCH("Choose",D5)))</formula>
    </cfRule>
  </conditionalFormatting>
  <conditionalFormatting sqref="H9:K13">
    <cfRule type="expression" dxfId="85" priority="1">
      <formula>$E9=H$8</formula>
    </cfRule>
  </conditionalFormatting>
  <dataValidations count="1">
    <dataValidation type="list" allowBlank="1" showInputMessage="1" showErrorMessage="1" sqref="L11" xr:uid="{00000000-0002-0000-0600-000000000000}"/>
  </dataValidations>
  <hyperlinks>
    <hyperlink ref="A16:L1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Unitsets!$A$44:$A$48</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249977111117893"/>
  </sheetPr>
  <dimension ref="A1:AS85"/>
  <sheetViews>
    <sheetView topLeftCell="A19" zoomScale="85" zoomScaleNormal="85" workbookViewId="0">
      <selection activeCell="D6" sqref="D6"/>
    </sheetView>
  </sheetViews>
  <sheetFormatPr defaultColWidth="9" defaultRowHeight="15.75" x14ac:dyDescent="0.25"/>
  <cols>
    <col min="1" max="1" width="75" style="71" bestFit="1" customWidth="1"/>
    <col min="2" max="2" width="11.875" style="174" bestFit="1" customWidth="1"/>
    <col min="3" max="3" width="15.125" style="174" bestFit="1" customWidth="1"/>
    <col min="4" max="4" width="19.625" style="174" customWidth="1"/>
    <col min="5" max="5" width="17.125" style="174" bestFit="1" customWidth="1"/>
    <col min="6" max="6" width="21.5" style="174" bestFit="1" customWidth="1"/>
    <col min="7" max="7" width="19.375" style="174" bestFit="1" customWidth="1"/>
    <col min="8" max="8" width="16.625" style="174" bestFit="1" customWidth="1"/>
    <col min="9" max="9" width="6.625" style="174" customWidth="1"/>
    <col min="10" max="10" width="20.875" style="68" bestFit="1" customWidth="1"/>
    <col min="11" max="11" width="3.625" style="69" customWidth="1"/>
    <col min="12" max="12" width="5.875" style="69" customWidth="1"/>
    <col min="13" max="13" width="15.25" style="69" bestFit="1" customWidth="1"/>
    <col min="14" max="14" width="5.875" style="69" bestFit="1" customWidth="1"/>
    <col min="15" max="15" width="15.625" style="69" bestFit="1" customWidth="1"/>
    <col min="16" max="16" width="5.875" style="69" bestFit="1" customWidth="1"/>
    <col min="17" max="17" width="15.625" style="69" bestFit="1" customWidth="1"/>
    <col min="18" max="18" width="5.875" style="69" bestFit="1" customWidth="1"/>
    <col min="19" max="19" width="15.625" style="69" bestFit="1" customWidth="1"/>
    <col min="20" max="20" width="7.375" style="69" bestFit="1" customWidth="1"/>
    <col min="21" max="21" width="15.25" style="69" bestFit="1" customWidth="1"/>
    <col min="22" max="22" width="5.875" style="69" bestFit="1" customWidth="1"/>
    <col min="23" max="23" width="15.625" style="69" bestFit="1" customWidth="1"/>
    <col min="24" max="24" width="5.875" style="69" bestFit="1" customWidth="1"/>
    <col min="25" max="25" width="15.5" style="69" customWidth="1"/>
    <col min="26" max="26" width="5.875" style="69" bestFit="1" customWidth="1"/>
    <col min="27" max="27" width="15.625" style="69" bestFit="1" customWidth="1"/>
    <col min="28" max="28" width="5.875" style="69" bestFit="1" customWidth="1"/>
    <col min="29" max="29" width="14.625" style="69" bestFit="1" customWidth="1"/>
    <col min="30" max="30" width="5.875" style="69" bestFit="1" customWidth="1"/>
    <col min="31" max="31" width="15" style="69" bestFit="1" customWidth="1"/>
    <col min="32" max="32" width="5.875" style="69" bestFit="1" customWidth="1"/>
    <col min="33" max="33" width="15" style="69" bestFit="1" customWidth="1"/>
    <col min="34" max="34" width="5.875" style="69" bestFit="1" customWidth="1"/>
    <col min="35" max="35" width="15" style="69" bestFit="1" customWidth="1"/>
    <col min="36" max="36" width="5.875" style="69" bestFit="1" customWidth="1"/>
    <col min="37" max="37" width="14.875" style="69" bestFit="1" customWidth="1"/>
    <col min="38" max="38" width="5.875" style="69" bestFit="1" customWidth="1"/>
    <col min="39" max="39" width="15.125" style="69" bestFit="1" customWidth="1"/>
    <col min="40" max="40" width="5.875" style="69" bestFit="1" customWidth="1"/>
    <col min="41" max="41" width="15.125" style="69" bestFit="1" customWidth="1"/>
    <col min="42" max="42" width="5.875" style="69" bestFit="1" customWidth="1"/>
    <col min="43" max="43" width="15.125" style="69" bestFit="1" customWidth="1"/>
    <col min="44" max="16384" width="9" style="69"/>
  </cols>
  <sheetData>
    <row r="1" spans="1:45" x14ac:dyDescent="0.25">
      <c r="A1" s="67" t="s">
        <v>49</v>
      </c>
      <c r="B1" s="173"/>
      <c r="C1" s="173"/>
      <c r="D1" s="173"/>
      <c r="L1" s="70"/>
      <c r="AB1"/>
      <c r="AC1"/>
      <c r="AD1"/>
      <c r="AE1"/>
      <c r="AF1"/>
      <c r="AG1"/>
      <c r="AH1"/>
      <c r="AI1"/>
      <c r="AJ1"/>
      <c r="AK1"/>
      <c r="AL1"/>
      <c r="AM1"/>
      <c r="AN1"/>
      <c r="AO1"/>
      <c r="AP1"/>
      <c r="AQ1"/>
    </row>
    <row r="2" spans="1:45" x14ac:dyDescent="0.25">
      <c r="L2" s="72"/>
      <c r="M2" s="73"/>
      <c r="N2" s="74"/>
      <c r="O2" s="73"/>
      <c r="P2" s="75"/>
      <c r="Q2" s="73"/>
      <c r="R2" s="74"/>
      <c r="S2" s="73"/>
      <c r="T2" s="73"/>
      <c r="U2" s="73"/>
      <c r="V2" s="73"/>
      <c r="W2" s="73"/>
      <c r="X2" s="73"/>
      <c r="Y2" s="73"/>
      <c r="Z2" s="73"/>
      <c r="AA2" s="73"/>
      <c r="AB2"/>
      <c r="AC2"/>
      <c r="AD2"/>
      <c r="AE2"/>
      <c r="AF2"/>
      <c r="AG2"/>
      <c r="AH2"/>
      <c r="AI2"/>
      <c r="AJ2"/>
      <c r="AK2"/>
      <c r="AL2"/>
      <c r="AM2"/>
      <c r="AN2"/>
      <c r="AO2"/>
      <c r="AP2"/>
      <c r="AQ2"/>
      <c r="AR2" s="76"/>
      <c r="AS2" s="76"/>
    </row>
    <row r="3" spans="1:45" x14ac:dyDescent="0.25">
      <c r="A3" s="171" t="s">
        <v>50</v>
      </c>
      <c r="H3"/>
      <c r="L3" s="127" t="s">
        <v>51</v>
      </c>
      <c r="M3" s="73"/>
      <c r="N3" s="74"/>
      <c r="O3" s="73"/>
      <c r="P3" s="75"/>
      <c r="Q3" s="73"/>
      <c r="R3" s="74"/>
      <c r="S3" s="73"/>
      <c r="T3" s="127" t="s">
        <v>52</v>
      </c>
      <c r="U3" s="73"/>
      <c r="V3" s="73"/>
      <c r="W3" s="73"/>
      <c r="X3" s="73"/>
      <c r="Y3" s="73"/>
      <c r="Z3" s="73"/>
      <c r="AA3" s="73"/>
      <c r="AB3"/>
      <c r="AC3"/>
      <c r="AD3"/>
      <c r="AE3"/>
      <c r="AF3"/>
      <c r="AG3"/>
      <c r="AH3"/>
      <c r="AI3"/>
      <c r="AJ3"/>
      <c r="AK3"/>
      <c r="AL3"/>
      <c r="AM3"/>
      <c r="AN3"/>
      <c r="AO3"/>
      <c r="AP3"/>
      <c r="AQ3"/>
      <c r="AR3" s="76"/>
      <c r="AS3" s="76"/>
    </row>
    <row r="4" spans="1:45" x14ac:dyDescent="0.25">
      <c r="A4" s="68" t="s">
        <v>53</v>
      </c>
      <c r="B4" s="174" t="s">
        <v>0</v>
      </c>
      <c r="C4" s="174" t="s">
        <v>54</v>
      </c>
      <c r="D4" s="174" t="s">
        <v>55</v>
      </c>
      <c r="E4" s="174" t="s">
        <v>56</v>
      </c>
      <c r="F4" s="174" t="s">
        <v>57</v>
      </c>
      <c r="G4" s="174" t="s">
        <v>58</v>
      </c>
      <c r="H4" s="68" t="s">
        <v>59</v>
      </c>
      <c r="J4" s="172" t="s">
        <v>60</v>
      </c>
      <c r="K4" s="77">
        <v>1</v>
      </c>
      <c r="L4" s="79"/>
      <c r="M4" s="78" t="s">
        <v>61</v>
      </c>
      <c r="N4" s="79"/>
      <c r="O4" s="78" t="s">
        <v>62</v>
      </c>
      <c r="P4" s="79"/>
      <c r="Q4" s="78" t="s">
        <v>63</v>
      </c>
      <c r="R4" s="79"/>
      <c r="S4" s="78" t="s">
        <v>64</v>
      </c>
      <c r="T4" s="79"/>
      <c r="U4" s="78" t="s">
        <v>65</v>
      </c>
      <c r="V4" s="79"/>
      <c r="W4" s="78" t="s">
        <v>66</v>
      </c>
      <c r="X4" s="79"/>
      <c r="Y4" s="78" t="s">
        <v>67</v>
      </c>
      <c r="Z4" s="79"/>
      <c r="AA4" s="78" t="s">
        <v>68</v>
      </c>
      <c r="AB4"/>
      <c r="AC4"/>
      <c r="AD4"/>
      <c r="AE4"/>
      <c r="AF4"/>
      <c r="AG4"/>
      <c r="AH4"/>
      <c r="AI4"/>
      <c r="AJ4"/>
      <c r="AK4"/>
      <c r="AL4"/>
      <c r="AM4"/>
      <c r="AN4"/>
      <c r="AO4"/>
      <c r="AP4"/>
      <c r="AQ4"/>
      <c r="AR4" s="76"/>
      <c r="AS4" s="76"/>
    </row>
    <row r="5" spans="1:45" x14ac:dyDescent="0.25">
      <c r="A5" s="192" t="s">
        <v>69</v>
      </c>
      <c r="B5" s="256" t="s">
        <v>70</v>
      </c>
      <c r="C5" s="256" t="s">
        <v>71</v>
      </c>
      <c r="D5" s="257">
        <v>44197</v>
      </c>
      <c r="E5" s="256">
        <v>2</v>
      </c>
      <c r="F5" s="257">
        <v>44562</v>
      </c>
      <c r="G5" s="174" t="s">
        <v>72</v>
      </c>
      <c r="H5" s="254" t="s">
        <v>73</v>
      </c>
      <c r="I5"/>
      <c r="K5" s="80">
        <v>2</v>
      </c>
      <c r="L5" s="90" t="s">
        <v>74</v>
      </c>
      <c r="M5" s="94" t="s">
        <v>75</v>
      </c>
      <c r="N5" s="90" t="s">
        <v>76</v>
      </c>
      <c r="O5" s="94" t="s">
        <v>77</v>
      </c>
      <c r="P5" s="90" t="s">
        <v>78</v>
      </c>
      <c r="Q5" s="94" t="s">
        <v>75</v>
      </c>
      <c r="R5" s="90" t="s">
        <v>79</v>
      </c>
      <c r="S5" s="94" t="s">
        <v>80</v>
      </c>
      <c r="T5" s="90" t="s">
        <v>74</v>
      </c>
      <c r="U5" s="94" t="s">
        <v>75</v>
      </c>
      <c r="V5" s="90" t="s">
        <v>76</v>
      </c>
      <c r="W5" s="94" t="s">
        <v>80</v>
      </c>
      <c r="X5" s="90" t="s">
        <v>78</v>
      </c>
      <c r="Y5" s="94" t="s">
        <v>81</v>
      </c>
      <c r="Z5" s="90" t="s">
        <v>79</v>
      </c>
      <c r="AA5" s="94" t="s">
        <v>80</v>
      </c>
      <c r="AB5"/>
      <c r="AC5"/>
      <c r="AD5"/>
      <c r="AE5"/>
      <c r="AF5"/>
      <c r="AG5"/>
      <c r="AH5"/>
      <c r="AI5"/>
      <c r="AJ5"/>
      <c r="AK5"/>
      <c r="AL5"/>
      <c r="AM5"/>
      <c r="AN5"/>
      <c r="AO5"/>
      <c r="AP5"/>
      <c r="AQ5"/>
      <c r="AR5" s="76"/>
      <c r="AS5" s="76"/>
    </row>
    <row r="6" spans="1:45" x14ac:dyDescent="0.25">
      <c r="A6" s="192" t="s">
        <v>45</v>
      </c>
      <c r="B6" s="256" t="s">
        <v>82</v>
      </c>
      <c r="C6" s="256" t="s">
        <v>71</v>
      </c>
      <c r="D6" s="257">
        <v>44197</v>
      </c>
      <c r="E6" s="256">
        <v>3</v>
      </c>
      <c r="F6" s="257">
        <v>44562</v>
      </c>
      <c r="G6" s="174" t="s">
        <v>72</v>
      </c>
      <c r="H6" s="256" t="s">
        <v>73</v>
      </c>
      <c r="I6"/>
      <c r="K6" s="80">
        <v>3</v>
      </c>
      <c r="L6" s="91" t="s">
        <v>74</v>
      </c>
      <c r="M6" s="95" t="s">
        <v>81</v>
      </c>
      <c r="N6" s="91" t="s">
        <v>76</v>
      </c>
      <c r="O6" s="95" t="s">
        <v>83</v>
      </c>
      <c r="P6" s="91" t="s">
        <v>78</v>
      </c>
      <c r="Q6" s="95" t="s">
        <v>84</v>
      </c>
      <c r="R6" s="91" t="s">
        <v>79</v>
      </c>
      <c r="S6" s="95" t="s">
        <v>85</v>
      </c>
      <c r="T6" s="91" t="s">
        <v>74</v>
      </c>
      <c r="U6" s="95" t="s">
        <v>81</v>
      </c>
      <c r="V6" s="91" t="s">
        <v>76</v>
      </c>
      <c r="W6" s="95" t="s">
        <v>86</v>
      </c>
      <c r="X6" s="91" t="s">
        <v>78</v>
      </c>
      <c r="Y6" s="95" t="s">
        <v>75</v>
      </c>
      <c r="Z6" s="91" t="s">
        <v>79</v>
      </c>
      <c r="AA6" s="95" t="s">
        <v>87</v>
      </c>
      <c r="AB6"/>
      <c r="AC6"/>
      <c r="AD6"/>
      <c r="AE6"/>
      <c r="AF6"/>
      <c r="AG6"/>
      <c r="AH6"/>
      <c r="AI6"/>
      <c r="AJ6"/>
      <c r="AK6"/>
      <c r="AL6"/>
      <c r="AM6"/>
      <c r="AN6"/>
      <c r="AO6"/>
      <c r="AP6"/>
      <c r="AQ6"/>
      <c r="AR6" s="76"/>
      <c r="AS6" s="76"/>
    </row>
    <row r="7" spans="1:45" x14ac:dyDescent="0.25">
      <c r="A7" s="71" t="s">
        <v>88</v>
      </c>
      <c r="B7" s="256" t="s">
        <v>89</v>
      </c>
      <c r="C7" s="256" t="s">
        <v>71</v>
      </c>
      <c r="D7" s="257">
        <v>44197</v>
      </c>
      <c r="E7" s="256">
        <v>1</v>
      </c>
      <c r="F7" s="257">
        <v>44197</v>
      </c>
      <c r="G7" s="174" t="s">
        <v>72</v>
      </c>
      <c r="H7" s="254" t="s">
        <v>73</v>
      </c>
      <c r="I7"/>
      <c r="K7" s="80">
        <v>4</v>
      </c>
      <c r="L7" s="91" t="s">
        <v>76</v>
      </c>
      <c r="M7" s="95" t="s">
        <v>80</v>
      </c>
      <c r="N7" s="91" t="s">
        <v>78</v>
      </c>
      <c r="O7" s="95" t="s">
        <v>84</v>
      </c>
      <c r="P7" s="91" t="s">
        <v>79</v>
      </c>
      <c r="Q7" s="95" t="s">
        <v>80</v>
      </c>
      <c r="R7" s="91" t="s">
        <v>74</v>
      </c>
      <c r="S7" s="95" t="s">
        <v>75</v>
      </c>
      <c r="T7" s="91" t="s">
        <v>76</v>
      </c>
      <c r="U7" s="95" t="s">
        <v>80</v>
      </c>
      <c r="V7" s="91" t="s">
        <v>78</v>
      </c>
      <c r="W7" s="95" t="s">
        <v>75</v>
      </c>
      <c r="X7" s="91" t="s">
        <v>79</v>
      </c>
      <c r="Y7" s="95" t="s">
        <v>87</v>
      </c>
      <c r="Z7" s="91" t="s">
        <v>74</v>
      </c>
      <c r="AA7" s="95" t="s">
        <v>81</v>
      </c>
      <c r="AB7"/>
      <c r="AC7"/>
      <c r="AD7"/>
      <c r="AE7"/>
      <c r="AF7"/>
      <c r="AG7"/>
      <c r="AH7"/>
      <c r="AI7"/>
      <c r="AJ7"/>
      <c r="AK7"/>
      <c r="AL7"/>
      <c r="AM7"/>
      <c r="AN7"/>
      <c r="AO7"/>
      <c r="AP7"/>
      <c r="AQ7"/>
      <c r="AR7" s="76"/>
      <c r="AS7" s="76"/>
    </row>
    <row r="8" spans="1:45" x14ac:dyDescent="0.25">
      <c r="A8" s="71" t="s">
        <v>47</v>
      </c>
      <c r="B8" s="256" t="s">
        <v>90</v>
      </c>
      <c r="C8" s="256" t="s">
        <v>71</v>
      </c>
      <c r="D8" s="257">
        <v>43466</v>
      </c>
      <c r="E8" s="256">
        <v>2</v>
      </c>
      <c r="F8" s="257">
        <v>44197</v>
      </c>
      <c r="G8" s="174" t="s">
        <v>72</v>
      </c>
      <c r="H8" s="256" t="s">
        <v>73</v>
      </c>
      <c r="I8"/>
      <c r="K8" s="80">
        <v>5</v>
      </c>
      <c r="L8" s="91" t="s">
        <v>76</v>
      </c>
      <c r="M8" s="95" t="s">
        <v>91</v>
      </c>
      <c r="N8" s="91" t="s">
        <v>78</v>
      </c>
      <c r="O8" s="95" t="s">
        <v>81</v>
      </c>
      <c r="P8" s="91" t="s">
        <v>79</v>
      </c>
      <c r="Q8" s="95" t="s">
        <v>85</v>
      </c>
      <c r="R8" s="91" t="s">
        <v>74</v>
      </c>
      <c r="S8" s="95" t="s">
        <v>81</v>
      </c>
      <c r="T8" s="91" t="s">
        <v>76</v>
      </c>
      <c r="U8" s="95" t="s">
        <v>92</v>
      </c>
      <c r="V8" s="91" t="s">
        <v>78</v>
      </c>
      <c r="W8" s="95" t="s">
        <v>81</v>
      </c>
      <c r="X8" s="91" t="s">
        <v>79</v>
      </c>
      <c r="Y8" s="95" t="s">
        <v>80</v>
      </c>
      <c r="Z8" s="91" t="s">
        <v>74</v>
      </c>
      <c r="AA8" s="95" t="s">
        <v>75</v>
      </c>
      <c r="AB8"/>
      <c r="AC8"/>
      <c r="AD8"/>
      <c r="AE8"/>
      <c r="AF8"/>
      <c r="AG8"/>
      <c r="AH8"/>
      <c r="AI8"/>
      <c r="AJ8"/>
      <c r="AK8"/>
      <c r="AL8"/>
      <c r="AM8"/>
      <c r="AN8"/>
      <c r="AO8"/>
      <c r="AP8"/>
      <c r="AQ8"/>
      <c r="AR8" s="81"/>
    </row>
    <row r="9" spans="1:45" x14ac:dyDescent="0.25">
      <c r="A9" s="71" t="s">
        <v>93</v>
      </c>
      <c r="B9" s="256" t="s">
        <v>94</v>
      </c>
      <c r="C9" s="256" t="s">
        <v>71</v>
      </c>
      <c r="D9" s="257">
        <v>44197</v>
      </c>
      <c r="E9" s="256">
        <v>1</v>
      </c>
      <c r="F9" s="257">
        <v>44197</v>
      </c>
      <c r="G9" s="174" t="s">
        <v>72</v>
      </c>
      <c r="H9" s="256" t="s">
        <v>73</v>
      </c>
      <c r="I9"/>
      <c r="K9" s="80">
        <v>6</v>
      </c>
      <c r="L9" s="91" t="s">
        <v>78</v>
      </c>
      <c r="M9" s="95" t="s">
        <v>84</v>
      </c>
      <c r="N9" s="91" t="s">
        <v>79</v>
      </c>
      <c r="O9" s="95" t="s">
        <v>85</v>
      </c>
      <c r="P9" s="91" t="s">
        <v>74</v>
      </c>
      <c r="Q9" s="95" t="s">
        <v>81</v>
      </c>
      <c r="R9" s="91" t="s">
        <v>76</v>
      </c>
      <c r="S9" s="95" t="s">
        <v>91</v>
      </c>
      <c r="T9" s="91" t="s">
        <v>78</v>
      </c>
      <c r="U9" s="95" t="s">
        <v>95</v>
      </c>
      <c r="V9" s="91" t="s">
        <v>79</v>
      </c>
      <c r="W9" s="95" t="s">
        <v>87</v>
      </c>
      <c r="X9" s="91" t="s">
        <v>74</v>
      </c>
      <c r="Y9" s="95" t="s">
        <v>96</v>
      </c>
      <c r="Z9" s="91" t="s">
        <v>76</v>
      </c>
      <c r="AA9" s="95" t="s">
        <v>86</v>
      </c>
      <c r="AB9"/>
      <c r="AC9"/>
      <c r="AD9"/>
      <c r="AE9"/>
      <c r="AF9"/>
      <c r="AG9"/>
      <c r="AH9"/>
      <c r="AI9"/>
      <c r="AJ9"/>
      <c r="AK9"/>
      <c r="AL9"/>
      <c r="AM9"/>
      <c r="AN9"/>
      <c r="AO9"/>
      <c r="AP9"/>
      <c r="AQ9"/>
      <c r="AR9" s="81"/>
    </row>
    <row r="10" spans="1:45" x14ac:dyDescent="0.25">
      <c r="A10" s="71" t="s">
        <v>43</v>
      </c>
      <c r="B10" s="256" t="s">
        <v>97</v>
      </c>
      <c r="C10" s="256" t="s">
        <v>98</v>
      </c>
      <c r="D10" s="257">
        <v>42736</v>
      </c>
      <c r="E10" s="256">
        <v>3</v>
      </c>
      <c r="F10" s="257">
        <v>43831</v>
      </c>
      <c r="G10" s="174" t="s">
        <v>72</v>
      </c>
      <c r="H10" s="256" t="s">
        <v>73</v>
      </c>
      <c r="I10"/>
      <c r="K10" s="80">
        <v>7</v>
      </c>
      <c r="L10" s="91" t="s">
        <v>78</v>
      </c>
      <c r="M10" s="95" t="s">
        <v>99</v>
      </c>
      <c r="N10" s="91" t="s">
        <v>79</v>
      </c>
      <c r="O10" s="95" t="s">
        <v>80</v>
      </c>
      <c r="P10" s="91" t="s">
        <v>74</v>
      </c>
      <c r="Q10" s="95" t="s">
        <v>77</v>
      </c>
      <c r="R10" s="91" t="s">
        <v>76</v>
      </c>
      <c r="S10" s="95" t="s">
        <v>77</v>
      </c>
      <c r="T10" s="91" t="s">
        <v>78</v>
      </c>
      <c r="U10" s="95" t="s">
        <v>100</v>
      </c>
      <c r="V10" s="91" t="s">
        <v>79</v>
      </c>
      <c r="W10" s="95" t="s">
        <v>95</v>
      </c>
      <c r="X10" s="91" t="s">
        <v>74</v>
      </c>
      <c r="Y10" s="95" t="s">
        <v>92</v>
      </c>
      <c r="Z10" s="91" t="s">
        <v>76</v>
      </c>
      <c r="AA10" s="95" t="s">
        <v>92</v>
      </c>
      <c r="AB10"/>
      <c r="AC10"/>
      <c r="AD10"/>
      <c r="AE10"/>
      <c r="AF10"/>
      <c r="AG10"/>
      <c r="AH10"/>
      <c r="AI10"/>
      <c r="AJ10"/>
      <c r="AK10"/>
      <c r="AL10"/>
      <c r="AM10"/>
      <c r="AN10"/>
      <c r="AO10"/>
      <c r="AP10"/>
      <c r="AQ10"/>
      <c r="AR10" s="81"/>
    </row>
    <row r="11" spans="1:45" x14ac:dyDescent="0.25">
      <c r="A11" s="71" t="s">
        <v>101</v>
      </c>
      <c r="B11" s="256" t="s">
        <v>102</v>
      </c>
      <c r="C11" s="256" t="s">
        <v>71</v>
      </c>
      <c r="D11" s="257">
        <v>45292</v>
      </c>
      <c r="E11" s="256">
        <v>1</v>
      </c>
      <c r="F11" s="257">
        <v>45292</v>
      </c>
      <c r="G11" s="174" t="s">
        <v>103</v>
      </c>
      <c r="H11" s="256" t="s">
        <v>104</v>
      </c>
      <c r="I11"/>
      <c r="K11" s="80">
        <v>8</v>
      </c>
      <c r="L11" s="91" t="s">
        <v>79</v>
      </c>
      <c r="M11" s="95" t="s">
        <v>95</v>
      </c>
      <c r="N11" s="91" t="s">
        <v>74</v>
      </c>
      <c r="O11" s="95" t="s">
        <v>75</v>
      </c>
      <c r="P11" s="91" t="s">
        <v>76</v>
      </c>
      <c r="Q11" s="95" t="s">
        <v>91</v>
      </c>
      <c r="R11" s="91" t="s">
        <v>78</v>
      </c>
      <c r="S11" s="95" t="s">
        <v>99</v>
      </c>
      <c r="T11" s="91" t="s">
        <v>79</v>
      </c>
      <c r="U11" s="95" t="s">
        <v>87</v>
      </c>
      <c r="V11" s="91" t="s">
        <v>74</v>
      </c>
      <c r="W11" s="95" t="s">
        <v>96</v>
      </c>
      <c r="X11" s="91" t="s">
        <v>76</v>
      </c>
      <c r="Y11" s="95" t="s">
        <v>86</v>
      </c>
      <c r="Z11" s="91" t="s">
        <v>78</v>
      </c>
      <c r="AA11" s="95" t="s">
        <v>96</v>
      </c>
      <c r="AB11"/>
      <c r="AC11"/>
      <c r="AD11"/>
      <c r="AE11"/>
      <c r="AF11"/>
      <c r="AG11"/>
      <c r="AH11"/>
      <c r="AI11"/>
      <c r="AJ11"/>
      <c r="AK11"/>
      <c r="AL11"/>
      <c r="AM11"/>
      <c r="AN11"/>
      <c r="AO11"/>
      <c r="AP11"/>
      <c r="AQ11"/>
      <c r="AR11" s="81"/>
    </row>
    <row r="12" spans="1:45" x14ac:dyDescent="0.25">
      <c r="A12" s="71" t="s">
        <v>105</v>
      </c>
      <c r="B12" s="256" t="s">
        <v>106</v>
      </c>
      <c r="C12" s="256" t="s">
        <v>71</v>
      </c>
      <c r="D12" s="257">
        <v>45292</v>
      </c>
      <c r="E12" s="256">
        <v>1</v>
      </c>
      <c r="F12" s="257">
        <v>45292</v>
      </c>
      <c r="G12" s="174" t="s">
        <v>103</v>
      </c>
      <c r="H12" s="256" t="s">
        <v>104</v>
      </c>
      <c r="I12"/>
      <c r="K12" s="80">
        <v>9</v>
      </c>
      <c r="L12" s="91" t="s">
        <v>79</v>
      </c>
      <c r="M12" s="95" t="s">
        <v>85</v>
      </c>
      <c r="N12" s="93" t="s">
        <v>74</v>
      </c>
      <c r="O12" s="95" t="s">
        <v>107</v>
      </c>
      <c r="P12" s="91" t="s">
        <v>76</v>
      </c>
      <c r="Q12" s="95" t="s">
        <v>83</v>
      </c>
      <c r="R12" s="93" t="s">
        <v>78</v>
      </c>
      <c r="S12" s="95" t="s">
        <v>84</v>
      </c>
      <c r="T12" s="91" t="s">
        <v>79</v>
      </c>
      <c r="U12" s="95" t="s">
        <v>108</v>
      </c>
      <c r="V12" s="93" t="s">
        <v>74</v>
      </c>
      <c r="W12" s="95" t="s">
        <v>92</v>
      </c>
      <c r="X12" s="91" t="s">
        <v>76</v>
      </c>
      <c r="Y12" s="95" t="s">
        <v>100</v>
      </c>
      <c r="Z12" s="93" t="s">
        <v>78</v>
      </c>
      <c r="AA12" s="95" t="s">
        <v>100</v>
      </c>
      <c r="AB12"/>
      <c r="AC12"/>
      <c r="AD12"/>
      <c r="AE12"/>
      <c r="AF12"/>
      <c r="AG12"/>
      <c r="AH12"/>
      <c r="AI12"/>
      <c r="AJ12"/>
      <c r="AK12"/>
      <c r="AL12"/>
      <c r="AM12"/>
      <c r="AN12"/>
      <c r="AO12"/>
      <c r="AP12"/>
      <c r="AQ12"/>
      <c r="AR12" s="81"/>
    </row>
    <row r="13" spans="1:45" x14ac:dyDescent="0.25">
      <c r="A13" s="71" t="s">
        <v>42</v>
      </c>
      <c r="B13" s="256" t="s">
        <v>109</v>
      </c>
      <c r="C13" s="256" t="s">
        <v>71</v>
      </c>
      <c r="D13" s="257">
        <v>43647</v>
      </c>
      <c r="E13" s="256">
        <v>1</v>
      </c>
      <c r="F13" s="257">
        <v>43647</v>
      </c>
      <c r="G13" s="174" t="s">
        <v>103</v>
      </c>
      <c r="H13" s="256" t="s">
        <v>73</v>
      </c>
      <c r="I13"/>
      <c r="K13" s="80">
        <v>10</v>
      </c>
      <c r="L13" s="90" t="s">
        <v>110</v>
      </c>
      <c r="M13" s="94" t="s">
        <v>77</v>
      </c>
      <c r="N13" s="90" t="s">
        <v>111</v>
      </c>
      <c r="O13" s="94" t="s">
        <v>91</v>
      </c>
      <c r="P13" s="90" t="s">
        <v>112</v>
      </c>
      <c r="Q13" s="94" t="s">
        <v>99</v>
      </c>
      <c r="R13" s="90" t="s">
        <v>113</v>
      </c>
      <c r="S13" s="94" t="s">
        <v>114</v>
      </c>
      <c r="T13" s="90" t="s">
        <v>110</v>
      </c>
      <c r="U13" s="94" t="s">
        <v>115</v>
      </c>
      <c r="V13" s="90" t="s">
        <v>111</v>
      </c>
      <c r="W13" s="94" t="s">
        <v>116</v>
      </c>
      <c r="X13" s="90" t="s">
        <v>112</v>
      </c>
      <c r="Y13" s="94" t="s">
        <v>95</v>
      </c>
      <c r="Z13" s="90" t="s">
        <v>113</v>
      </c>
      <c r="AA13" s="94" t="s">
        <v>108</v>
      </c>
      <c r="AB13"/>
      <c r="AC13"/>
      <c r="AD13"/>
      <c r="AE13"/>
      <c r="AF13"/>
      <c r="AG13"/>
      <c r="AH13"/>
      <c r="AI13"/>
      <c r="AJ13"/>
      <c r="AK13"/>
      <c r="AL13"/>
      <c r="AM13"/>
      <c r="AN13"/>
      <c r="AO13"/>
      <c r="AP13"/>
      <c r="AQ13"/>
      <c r="AR13" s="81"/>
    </row>
    <row r="14" spans="1:45" x14ac:dyDescent="0.25">
      <c r="A14" s="71" t="s">
        <v>37</v>
      </c>
      <c r="B14" s="256" t="s">
        <v>117</v>
      </c>
      <c r="C14" s="256" t="s">
        <v>98</v>
      </c>
      <c r="D14" s="257">
        <v>44562</v>
      </c>
      <c r="E14" s="256">
        <v>2</v>
      </c>
      <c r="F14" s="257">
        <v>44562</v>
      </c>
      <c r="G14" s="174" t="s">
        <v>103</v>
      </c>
      <c r="H14" s="256" t="s">
        <v>73</v>
      </c>
      <c r="I14"/>
      <c r="K14" s="80">
        <v>11</v>
      </c>
      <c r="L14" s="91" t="s">
        <v>110</v>
      </c>
      <c r="M14" s="95" t="s">
        <v>107</v>
      </c>
      <c r="N14" s="91" t="s">
        <v>111</v>
      </c>
      <c r="O14" s="95" t="s">
        <v>118</v>
      </c>
      <c r="P14" s="91" t="s">
        <v>112</v>
      </c>
      <c r="Q14" s="95" t="s">
        <v>119</v>
      </c>
      <c r="R14" s="91" t="s">
        <v>113</v>
      </c>
      <c r="S14" s="95" t="s">
        <v>95</v>
      </c>
      <c r="T14" s="91" t="s">
        <v>110</v>
      </c>
      <c r="U14" s="95" t="s">
        <v>120</v>
      </c>
      <c r="V14" s="91" t="s">
        <v>111</v>
      </c>
      <c r="W14" s="95" t="s">
        <v>100</v>
      </c>
      <c r="X14" s="91" t="s">
        <v>112</v>
      </c>
      <c r="Y14" s="95" t="s">
        <v>121</v>
      </c>
      <c r="Z14" s="91" t="s">
        <v>113</v>
      </c>
      <c r="AA14" s="95" t="s">
        <v>122</v>
      </c>
      <c r="AB14"/>
      <c r="AC14"/>
      <c r="AD14"/>
      <c r="AE14"/>
      <c r="AF14"/>
      <c r="AG14"/>
      <c r="AH14"/>
      <c r="AI14"/>
      <c r="AJ14"/>
      <c r="AK14"/>
      <c r="AL14"/>
      <c r="AM14"/>
      <c r="AN14"/>
      <c r="AO14"/>
      <c r="AP14"/>
      <c r="AQ14"/>
      <c r="AR14" s="81"/>
    </row>
    <row r="15" spans="1:45" x14ac:dyDescent="0.25">
      <c r="A15" s="68" t="s">
        <v>11</v>
      </c>
      <c r="B15" s="256" t="s">
        <v>123</v>
      </c>
      <c r="C15" s="256" t="s">
        <v>98</v>
      </c>
      <c r="D15" s="257">
        <v>44562</v>
      </c>
      <c r="E15" s="262">
        <v>5</v>
      </c>
      <c r="F15" s="255">
        <v>45474</v>
      </c>
      <c r="G15" s="174" t="s">
        <v>124</v>
      </c>
      <c r="H15" s="256" t="s">
        <v>73</v>
      </c>
      <c r="I15"/>
      <c r="K15" s="80">
        <v>12</v>
      </c>
      <c r="L15" s="91" t="s">
        <v>111</v>
      </c>
      <c r="M15" s="95" t="s">
        <v>83</v>
      </c>
      <c r="N15" s="91" t="s">
        <v>112</v>
      </c>
      <c r="O15" s="95" t="s">
        <v>99</v>
      </c>
      <c r="P15" s="91" t="s">
        <v>113</v>
      </c>
      <c r="Q15" s="95" t="s">
        <v>114</v>
      </c>
      <c r="R15" s="91" t="s">
        <v>110</v>
      </c>
      <c r="S15" s="95" t="s">
        <v>107</v>
      </c>
      <c r="T15" s="91" t="s">
        <v>111</v>
      </c>
      <c r="U15" s="95" t="s">
        <v>116</v>
      </c>
      <c r="V15" s="91" t="s">
        <v>112</v>
      </c>
      <c r="W15" s="95" t="s">
        <v>121</v>
      </c>
      <c r="X15" s="91" t="s">
        <v>113</v>
      </c>
      <c r="Y15" s="95" t="s">
        <v>108</v>
      </c>
      <c r="Z15" s="91" t="s">
        <v>110</v>
      </c>
      <c r="AA15" s="95" t="s">
        <v>115</v>
      </c>
      <c r="AB15"/>
      <c r="AC15"/>
      <c r="AD15"/>
      <c r="AE15"/>
      <c r="AF15"/>
      <c r="AG15"/>
      <c r="AH15"/>
      <c r="AI15"/>
      <c r="AJ15"/>
      <c r="AK15"/>
      <c r="AL15"/>
      <c r="AM15"/>
      <c r="AN15"/>
      <c r="AO15"/>
      <c r="AP15"/>
      <c r="AQ15"/>
      <c r="AR15" s="81"/>
    </row>
    <row r="16" spans="1:45" x14ac:dyDescent="0.25">
      <c r="H16"/>
      <c r="I16"/>
      <c r="K16" s="80">
        <v>13</v>
      </c>
      <c r="L16" s="91" t="s">
        <v>111</v>
      </c>
      <c r="M16" s="95" t="s">
        <v>118</v>
      </c>
      <c r="N16" s="91" t="s">
        <v>112</v>
      </c>
      <c r="O16" s="95" t="s">
        <v>119</v>
      </c>
      <c r="P16" s="91" t="s">
        <v>113</v>
      </c>
      <c r="Q16" s="95" t="s">
        <v>95</v>
      </c>
      <c r="R16" s="91" t="s">
        <v>110</v>
      </c>
      <c r="S16" s="95" t="s">
        <v>120</v>
      </c>
      <c r="T16" s="91" t="s">
        <v>111</v>
      </c>
      <c r="U16" s="95" t="s">
        <v>86</v>
      </c>
      <c r="V16" s="91" t="s">
        <v>112</v>
      </c>
      <c r="W16" s="95" t="s">
        <v>120</v>
      </c>
      <c r="X16" s="91" t="s">
        <v>113</v>
      </c>
      <c r="Y16" s="95" t="s">
        <v>122</v>
      </c>
      <c r="Z16" s="91" t="s">
        <v>110</v>
      </c>
      <c r="AA16" s="95" t="s">
        <v>120</v>
      </c>
      <c r="AB16"/>
      <c r="AC16"/>
      <c r="AD16"/>
      <c r="AE16"/>
      <c r="AF16"/>
      <c r="AG16"/>
      <c r="AH16"/>
      <c r="AI16"/>
      <c r="AJ16"/>
      <c r="AK16"/>
      <c r="AL16"/>
      <c r="AM16"/>
      <c r="AN16"/>
      <c r="AO16"/>
      <c r="AP16"/>
      <c r="AQ16"/>
      <c r="AR16" s="81"/>
    </row>
    <row r="17" spans="1:45" x14ac:dyDescent="0.25">
      <c r="A17" s="171" t="s">
        <v>125</v>
      </c>
      <c r="I17"/>
      <c r="K17" s="80">
        <v>14</v>
      </c>
      <c r="L17" s="91" t="s">
        <v>112</v>
      </c>
      <c r="M17" s="95" t="s">
        <v>120</v>
      </c>
      <c r="N17" s="91" t="s">
        <v>113</v>
      </c>
      <c r="O17" s="95" t="s">
        <v>114</v>
      </c>
      <c r="P17" s="91" t="s">
        <v>110</v>
      </c>
      <c r="Q17" s="95" t="s">
        <v>120</v>
      </c>
      <c r="R17" s="91" t="s">
        <v>111</v>
      </c>
      <c r="S17" s="95" t="s">
        <v>83</v>
      </c>
      <c r="T17" s="91" t="s">
        <v>112</v>
      </c>
      <c r="U17" s="95" t="s">
        <v>96</v>
      </c>
      <c r="V17" s="91" t="s">
        <v>113</v>
      </c>
      <c r="W17" s="95" t="s">
        <v>108</v>
      </c>
      <c r="X17" s="91" t="s">
        <v>110</v>
      </c>
      <c r="Y17" s="95" t="s">
        <v>115</v>
      </c>
      <c r="Z17" s="91" t="s">
        <v>111</v>
      </c>
      <c r="AA17" s="95" t="s">
        <v>116</v>
      </c>
      <c r="AB17"/>
      <c r="AC17"/>
      <c r="AD17"/>
      <c r="AE17"/>
      <c r="AF17"/>
      <c r="AG17"/>
      <c r="AH17"/>
      <c r="AI17"/>
      <c r="AJ17"/>
      <c r="AK17"/>
      <c r="AL17"/>
      <c r="AM17"/>
      <c r="AN17"/>
      <c r="AO17"/>
      <c r="AP17"/>
      <c r="AQ17"/>
      <c r="AR17" s="81"/>
    </row>
    <row r="18" spans="1:45" x14ac:dyDescent="0.25">
      <c r="A18" s="85" t="s">
        <v>126</v>
      </c>
      <c r="B18" s="175" t="s">
        <v>0</v>
      </c>
      <c r="C18" s="174" t="s">
        <v>54</v>
      </c>
      <c r="D18" s="174" t="s">
        <v>55</v>
      </c>
      <c r="E18" s="174" t="s">
        <v>56</v>
      </c>
      <c r="F18" s="174" t="s">
        <v>57</v>
      </c>
      <c r="G18" s="174" t="s">
        <v>58</v>
      </c>
      <c r="I18"/>
      <c r="K18" s="80">
        <v>15</v>
      </c>
      <c r="L18" s="91" t="s">
        <v>112</v>
      </c>
      <c r="M18" s="95" t="s">
        <v>119</v>
      </c>
      <c r="N18" s="91" t="s">
        <v>113</v>
      </c>
      <c r="O18" s="95" t="s">
        <v>95</v>
      </c>
      <c r="P18" s="91" t="s">
        <v>110</v>
      </c>
      <c r="Q18" s="95" t="s">
        <v>107</v>
      </c>
      <c r="R18" s="91" t="s">
        <v>111</v>
      </c>
      <c r="S18" s="95" t="s">
        <v>118</v>
      </c>
      <c r="T18" s="91" t="s">
        <v>112</v>
      </c>
      <c r="U18" s="95" t="s">
        <v>121</v>
      </c>
      <c r="V18" s="91" t="s">
        <v>113</v>
      </c>
      <c r="W18" s="95" t="s">
        <v>122</v>
      </c>
      <c r="X18" s="91" t="s">
        <v>110</v>
      </c>
      <c r="Y18" s="95" t="s">
        <v>120</v>
      </c>
      <c r="Z18" s="91" t="s">
        <v>111</v>
      </c>
      <c r="AA18" s="95" t="s">
        <v>95</v>
      </c>
      <c r="AB18"/>
      <c r="AC18"/>
      <c r="AD18"/>
      <c r="AE18"/>
      <c r="AF18"/>
      <c r="AG18"/>
      <c r="AH18"/>
      <c r="AI18"/>
      <c r="AJ18"/>
      <c r="AK18"/>
      <c r="AL18"/>
      <c r="AM18"/>
      <c r="AN18"/>
      <c r="AO18"/>
      <c r="AP18"/>
      <c r="AQ18"/>
      <c r="AR18" s="81"/>
    </row>
    <row r="19" spans="1:45" x14ac:dyDescent="0.25">
      <c r="A19" s="82" t="s">
        <v>14</v>
      </c>
      <c r="B19" s="256" t="s">
        <v>127</v>
      </c>
      <c r="C19" s="256" t="s">
        <v>98</v>
      </c>
      <c r="D19" s="257">
        <v>44562</v>
      </c>
      <c r="E19" s="254">
        <v>5</v>
      </c>
      <c r="F19" s="263">
        <v>45474</v>
      </c>
      <c r="G19" s="81" t="s">
        <v>124</v>
      </c>
      <c r="I19"/>
      <c r="K19" s="80">
        <v>16</v>
      </c>
      <c r="L19" s="91" t="s">
        <v>113</v>
      </c>
      <c r="M19" s="95" t="s">
        <v>114</v>
      </c>
      <c r="N19" s="91" t="s">
        <v>110</v>
      </c>
      <c r="O19" s="95" t="s">
        <v>120</v>
      </c>
      <c r="P19" s="91" t="s">
        <v>111</v>
      </c>
      <c r="Q19" s="95" t="s">
        <v>118</v>
      </c>
      <c r="R19" s="91" t="s">
        <v>112</v>
      </c>
      <c r="S19" s="95" t="s">
        <v>119</v>
      </c>
      <c r="T19" s="91" t="s">
        <v>113</v>
      </c>
      <c r="U19" s="95" t="s">
        <v>122</v>
      </c>
      <c r="V19" s="91" t="s">
        <v>110</v>
      </c>
      <c r="W19" s="95" t="s">
        <v>115</v>
      </c>
      <c r="X19" s="91" t="s">
        <v>111</v>
      </c>
      <c r="Y19" s="95" t="s">
        <v>116</v>
      </c>
      <c r="Z19" s="91" t="s">
        <v>112</v>
      </c>
      <c r="AA19" s="95" t="s">
        <v>121</v>
      </c>
      <c r="AB19"/>
      <c r="AC19"/>
      <c r="AD19"/>
      <c r="AE19"/>
      <c r="AF19"/>
      <c r="AG19"/>
      <c r="AH19"/>
      <c r="AI19"/>
      <c r="AJ19"/>
      <c r="AK19"/>
      <c r="AL19"/>
      <c r="AM19"/>
      <c r="AN19"/>
      <c r="AO19"/>
      <c r="AP19"/>
      <c r="AQ19"/>
      <c r="AR19" s="81"/>
    </row>
    <row r="20" spans="1:45" x14ac:dyDescent="0.25">
      <c r="A20" s="82" t="s">
        <v>36</v>
      </c>
      <c r="B20" s="256" t="s">
        <v>128</v>
      </c>
      <c r="C20" s="256" t="s">
        <v>98</v>
      </c>
      <c r="D20" s="257">
        <v>44562</v>
      </c>
      <c r="E20" s="254">
        <v>6</v>
      </c>
      <c r="F20" s="263">
        <v>45474</v>
      </c>
      <c r="G20" s="81" t="s">
        <v>124</v>
      </c>
      <c r="I20"/>
      <c r="K20" s="80">
        <v>17</v>
      </c>
      <c r="L20" s="93" t="s">
        <v>113</v>
      </c>
      <c r="M20" s="92" t="s">
        <v>129</v>
      </c>
      <c r="N20" s="93" t="s">
        <v>110</v>
      </c>
      <c r="O20" s="106" t="s">
        <v>130</v>
      </c>
      <c r="P20" s="93" t="s">
        <v>111</v>
      </c>
      <c r="Q20" s="92" t="s">
        <v>129</v>
      </c>
      <c r="R20" s="93" t="s">
        <v>112</v>
      </c>
      <c r="S20" s="92" t="s">
        <v>129</v>
      </c>
      <c r="T20" s="93" t="s">
        <v>113</v>
      </c>
      <c r="U20" s="92" t="s">
        <v>129</v>
      </c>
      <c r="V20" s="93" t="s">
        <v>110</v>
      </c>
      <c r="W20" s="92" t="s">
        <v>129</v>
      </c>
      <c r="X20" s="93" t="s">
        <v>111</v>
      </c>
      <c r="Y20" s="92" t="s">
        <v>129</v>
      </c>
      <c r="Z20" s="93" t="s">
        <v>112</v>
      </c>
      <c r="AA20" s="92" t="s">
        <v>129</v>
      </c>
      <c r="AB20"/>
      <c r="AC20"/>
      <c r="AD20"/>
      <c r="AE20"/>
      <c r="AF20"/>
      <c r="AG20"/>
      <c r="AH20"/>
      <c r="AI20"/>
      <c r="AJ20"/>
      <c r="AK20"/>
      <c r="AL20"/>
      <c r="AM20"/>
      <c r="AN20"/>
      <c r="AO20"/>
      <c r="AP20"/>
      <c r="AQ20"/>
      <c r="AR20" s="81"/>
    </row>
    <row r="21" spans="1:45" x14ac:dyDescent="0.25">
      <c r="A21" s="82" t="s">
        <v>131</v>
      </c>
      <c r="B21" s="256" t="s">
        <v>132</v>
      </c>
      <c r="C21" s="256" t="s">
        <v>133</v>
      </c>
      <c r="D21" s="257">
        <v>44562</v>
      </c>
      <c r="E21" s="254">
        <v>6</v>
      </c>
      <c r="F21" s="263">
        <v>45474</v>
      </c>
      <c r="G21" s="81" t="s">
        <v>124</v>
      </c>
      <c r="K21" s="80">
        <v>18</v>
      </c>
      <c r="L21" s="91" t="s">
        <v>134</v>
      </c>
      <c r="M21" s="105" t="s">
        <v>135</v>
      </c>
      <c r="N21" s="91" t="s">
        <v>136</v>
      </c>
      <c r="O21" s="95" t="s">
        <v>129</v>
      </c>
      <c r="P21" s="91" t="s">
        <v>137</v>
      </c>
      <c r="Q21" s="105" t="s">
        <v>135</v>
      </c>
      <c r="R21" s="91" t="s">
        <v>138</v>
      </c>
      <c r="S21" s="105" t="s">
        <v>135</v>
      </c>
      <c r="T21" s="91" t="s">
        <v>134</v>
      </c>
      <c r="U21" s="95" t="s">
        <v>135</v>
      </c>
      <c r="V21" s="91" t="s">
        <v>136</v>
      </c>
      <c r="W21" s="95" t="s">
        <v>135</v>
      </c>
      <c r="X21" s="91" t="s">
        <v>137</v>
      </c>
      <c r="Y21" s="95" t="s">
        <v>135</v>
      </c>
      <c r="Z21" s="91" t="s">
        <v>138</v>
      </c>
      <c r="AA21" s="95" t="s">
        <v>135</v>
      </c>
      <c r="AB21"/>
      <c r="AC21"/>
      <c r="AD21"/>
      <c r="AE21"/>
      <c r="AF21"/>
      <c r="AG21"/>
      <c r="AH21"/>
      <c r="AI21"/>
      <c r="AJ21"/>
      <c r="AK21"/>
      <c r="AL21"/>
      <c r="AM21"/>
      <c r="AN21"/>
      <c r="AO21"/>
      <c r="AP21"/>
      <c r="AQ21"/>
      <c r="AR21" s="83"/>
    </row>
    <row r="22" spans="1:45" x14ac:dyDescent="0.25">
      <c r="A22" s="85"/>
      <c r="B22" s="175"/>
      <c r="K22" s="80">
        <v>19</v>
      </c>
      <c r="L22" s="93" t="s">
        <v>134</v>
      </c>
      <c r="M22" s="106"/>
      <c r="N22" s="93" t="s">
        <v>136</v>
      </c>
      <c r="O22" s="106"/>
      <c r="P22" s="93" t="s">
        <v>137</v>
      </c>
      <c r="Q22" s="106"/>
      <c r="R22" s="93" t="s">
        <v>138</v>
      </c>
      <c r="S22" s="106"/>
      <c r="T22" s="93" t="s">
        <v>134</v>
      </c>
      <c r="U22" s="92"/>
      <c r="V22" s="93" t="s">
        <v>136</v>
      </c>
      <c r="W22" s="92"/>
      <c r="X22" s="93" t="s">
        <v>137</v>
      </c>
      <c r="Y22" s="92"/>
      <c r="Z22" s="93" t="s">
        <v>138</v>
      </c>
      <c r="AA22" s="92"/>
      <c r="AB22"/>
      <c r="AC22"/>
      <c r="AD22"/>
      <c r="AE22"/>
      <c r="AF22"/>
      <c r="AG22"/>
      <c r="AH22"/>
      <c r="AI22"/>
      <c r="AJ22"/>
      <c r="AK22"/>
      <c r="AL22"/>
      <c r="AM22"/>
      <c r="AN22"/>
      <c r="AO22"/>
      <c r="AP22"/>
      <c r="AQ22"/>
    </row>
    <row r="23" spans="1:45" x14ac:dyDescent="0.25">
      <c r="A23" s="171" t="s">
        <v>139</v>
      </c>
      <c r="AB23" s="84"/>
      <c r="AC23" s="84"/>
      <c r="AD23" s="84"/>
      <c r="AE23" s="84"/>
      <c r="AF23" s="84"/>
      <c r="AG23"/>
      <c r="AH23"/>
      <c r="AI23"/>
      <c r="AJ23"/>
      <c r="AK23"/>
      <c r="AL23"/>
      <c r="AR23"/>
      <c r="AS23"/>
    </row>
    <row r="24" spans="1:45" x14ac:dyDescent="0.25">
      <c r="A24" s="85" t="s">
        <v>126</v>
      </c>
      <c r="B24" s="175" t="s">
        <v>0</v>
      </c>
      <c r="C24" s="174" t="s">
        <v>54</v>
      </c>
      <c r="D24" s="174" t="s">
        <v>55</v>
      </c>
      <c r="E24" s="174" t="s">
        <v>56</v>
      </c>
      <c r="F24" s="174" t="s">
        <v>57</v>
      </c>
      <c r="G24" s="251" t="s">
        <v>58</v>
      </c>
      <c r="H24" s="1"/>
      <c r="J24"/>
      <c r="K24"/>
      <c r="M24" s="80"/>
      <c r="N24" s="84"/>
      <c r="O24" s="77"/>
      <c r="P24"/>
      <c r="Q24"/>
      <c r="R24"/>
      <c r="S24"/>
      <c r="T24"/>
      <c r="U24"/>
      <c r="V24"/>
      <c r="W24"/>
      <c r="X24"/>
      <c r="Y24"/>
      <c r="Z24"/>
      <c r="AA24"/>
      <c r="AF24" s="84"/>
      <c r="AG24"/>
      <c r="AH24"/>
      <c r="AI24"/>
      <c r="AJ24"/>
      <c r="AK24"/>
      <c r="AL24"/>
    </row>
    <row r="25" spans="1:45" x14ac:dyDescent="0.25">
      <c r="A25" s="82" t="s">
        <v>140</v>
      </c>
      <c r="B25" s="256" t="s">
        <v>141</v>
      </c>
      <c r="C25" s="256" t="s">
        <v>71</v>
      </c>
      <c r="D25" s="257">
        <v>45292</v>
      </c>
      <c r="E25" s="256">
        <v>1</v>
      </c>
      <c r="F25" s="257">
        <v>45292</v>
      </c>
      <c r="G25" s="81" t="s">
        <v>103</v>
      </c>
      <c r="H25" s="1"/>
      <c r="J25" s="172" t="s">
        <v>142</v>
      </c>
      <c r="K25" s="77">
        <v>1</v>
      </c>
      <c r="L25" s="178"/>
      <c r="M25" s="179" t="s">
        <v>143</v>
      </c>
      <c r="N25" s="178"/>
      <c r="O25" s="179" t="s">
        <v>144</v>
      </c>
      <c r="P25" s="178"/>
      <c r="Q25" s="179" t="s">
        <v>145</v>
      </c>
      <c r="R25" s="178"/>
      <c r="S25" s="179" t="s">
        <v>146</v>
      </c>
      <c r="T25" s="178"/>
      <c r="U25" s="179" t="s">
        <v>147</v>
      </c>
      <c r="V25" s="178"/>
      <c r="W25" s="179" t="s">
        <v>148</v>
      </c>
      <c r="X25" s="178"/>
      <c r="Y25" s="179" t="s">
        <v>149</v>
      </c>
      <c r="Z25" s="178"/>
      <c r="AA25" s="179" t="s">
        <v>150</v>
      </c>
      <c r="AB25" s="79"/>
      <c r="AC25" s="78" t="s">
        <v>151</v>
      </c>
      <c r="AD25" s="79"/>
      <c r="AE25" s="78" t="s">
        <v>152</v>
      </c>
      <c r="AF25" s="79"/>
      <c r="AG25" s="78" t="s">
        <v>153</v>
      </c>
      <c r="AH25" s="79"/>
      <c r="AI25" s="78" t="s">
        <v>154</v>
      </c>
      <c r="AJ25" s="79"/>
      <c r="AK25" s="78" t="s">
        <v>155</v>
      </c>
      <c r="AL25" s="79"/>
      <c r="AM25" s="78" t="s">
        <v>156</v>
      </c>
      <c r="AN25" s="79"/>
      <c r="AO25" s="78" t="s">
        <v>157</v>
      </c>
      <c r="AP25" s="79"/>
      <c r="AQ25" s="78" t="s">
        <v>158</v>
      </c>
    </row>
    <row r="26" spans="1:45" x14ac:dyDescent="0.25">
      <c r="A26" s="82" t="s">
        <v>159</v>
      </c>
      <c r="B26" s="256" t="s">
        <v>160</v>
      </c>
      <c r="C26" s="256" t="s">
        <v>71</v>
      </c>
      <c r="D26" s="257">
        <v>45292</v>
      </c>
      <c r="E26" s="256">
        <v>1</v>
      </c>
      <c r="F26" s="257">
        <v>45292</v>
      </c>
      <c r="G26" s="81" t="s">
        <v>103</v>
      </c>
      <c r="H26" s="1"/>
      <c r="K26" s="80">
        <v>2</v>
      </c>
      <c r="L26" s="90" t="s">
        <v>161</v>
      </c>
      <c r="M26" s="94" t="s">
        <v>162</v>
      </c>
      <c r="N26" s="90" t="s">
        <v>163</v>
      </c>
      <c r="O26" s="94" t="s">
        <v>164</v>
      </c>
      <c r="P26" s="90" t="s">
        <v>165</v>
      </c>
      <c r="Q26" s="94" t="s">
        <v>162</v>
      </c>
      <c r="R26" s="90" t="s">
        <v>166</v>
      </c>
      <c r="S26" s="94" t="s">
        <v>164</v>
      </c>
      <c r="T26" s="90" t="s">
        <v>161</v>
      </c>
      <c r="U26" s="94" t="s">
        <v>162</v>
      </c>
      <c r="V26" s="90" t="s">
        <v>163</v>
      </c>
      <c r="W26" s="94" t="s">
        <v>164</v>
      </c>
      <c r="X26" s="90" t="s">
        <v>165</v>
      </c>
      <c r="Y26" s="94" t="s">
        <v>162</v>
      </c>
      <c r="Z26" s="90" t="s">
        <v>166</v>
      </c>
      <c r="AA26" s="94" t="s">
        <v>164</v>
      </c>
      <c r="AB26" s="90" t="s">
        <v>161</v>
      </c>
      <c r="AC26" s="94" t="s">
        <v>162</v>
      </c>
      <c r="AD26" s="90" t="s">
        <v>163</v>
      </c>
      <c r="AE26" s="94" t="s">
        <v>164</v>
      </c>
      <c r="AF26" s="90" t="s">
        <v>165</v>
      </c>
      <c r="AG26" s="94" t="s">
        <v>162</v>
      </c>
      <c r="AH26" s="90" t="s">
        <v>166</v>
      </c>
      <c r="AI26" s="94" t="s">
        <v>164</v>
      </c>
      <c r="AJ26" s="90" t="s">
        <v>161</v>
      </c>
      <c r="AK26" s="94" t="s">
        <v>162</v>
      </c>
      <c r="AL26" s="90" t="s">
        <v>163</v>
      </c>
      <c r="AM26" s="94" t="s">
        <v>164</v>
      </c>
      <c r="AN26" s="90" t="s">
        <v>165</v>
      </c>
      <c r="AO26" s="94" t="s">
        <v>162</v>
      </c>
      <c r="AP26" s="90" t="s">
        <v>166</v>
      </c>
      <c r="AQ26" s="94" t="s">
        <v>164</v>
      </c>
    </row>
    <row r="27" spans="1:45" x14ac:dyDescent="0.25">
      <c r="C27" s="1"/>
      <c r="D27" s="1"/>
      <c r="E27" s="1"/>
      <c r="F27" s="1"/>
      <c r="G27" s="1"/>
      <c r="H27" s="1"/>
      <c r="K27" s="80">
        <v>3</v>
      </c>
      <c r="L27" s="91" t="s">
        <v>161</v>
      </c>
      <c r="M27" s="95" t="s">
        <v>167</v>
      </c>
      <c r="N27" s="91" t="s">
        <v>163</v>
      </c>
      <c r="O27" s="95" t="s">
        <v>167</v>
      </c>
      <c r="P27" s="91" t="s">
        <v>165</v>
      </c>
      <c r="Q27" s="95" t="s">
        <v>167</v>
      </c>
      <c r="R27" s="91" t="s">
        <v>166</v>
      </c>
      <c r="S27" s="95" t="s">
        <v>167</v>
      </c>
      <c r="T27" s="91" t="s">
        <v>161</v>
      </c>
      <c r="U27" s="95" t="s">
        <v>168</v>
      </c>
      <c r="V27" s="91" t="s">
        <v>163</v>
      </c>
      <c r="W27" s="95" t="s">
        <v>169</v>
      </c>
      <c r="X27" s="91" t="s">
        <v>165</v>
      </c>
      <c r="Y27" s="95" t="s">
        <v>170</v>
      </c>
      <c r="Z27" s="91" t="s">
        <v>166</v>
      </c>
      <c r="AA27" s="95" t="s">
        <v>169</v>
      </c>
      <c r="AB27" s="91" t="s">
        <v>161</v>
      </c>
      <c r="AC27" s="95" t="s">
        <v>171</v>
      </c>
      <c r="AD27" s="91" t="s">
        <v>163</v>
      </c>
      <c r="AE27" s="95" t="s">
        <v>169</v>
      </c>
      <c r="AF27" s="91" t="s">
        <v>165</v>
      </c>
      <c r="AG27" s="95" t="s">
        <v>172</v>
      </c>
      <c r="AH27" s="91" t="s">
        <v>166</v>
      </c>
      <c r="AI27" s="95" t="s">
        <v>169</v>
      </c>
      <c r="AJ27" s="91" t="s">
        <v>161</v>
      </c>
      <c r="AK27" s="95" t="s">
        <v>173</v>
      </c>
      <c r="AL27" s="91" t="s">
        <v>163</v>
      </c>
      <c r="AM27" s="95" t="s">
        <v>169</v>
      </c>
      <c r="AN27" s="91" t="s">
        <v>165</v>
      </c>
      <c r="AO27" s="95" t="s">
        <v>174</v>
      </c>
      <c r="AP27" s="91" t="s">
        <v>166</v>
      </c>
      <c r="AQ27" s="95" t="s">
        <v>169</v>
      </c>
    </row>
    <row r="28" spans="1:45" x14ac:dyDescent="0.25">
      <c r="A28" s="171" t="s">
        <v>175</v>
      </c>
      <c r="B28" s="68"/>
      <c r="C28" s="68"/>
      <c r="D28" s="68"/>
      <c r="E28" s="68"/>
      <c r="G28" s="1"/>
      <c r="H28" s="1"/>
      <c r="K28" s="80">
        <v>4</v>
      </c>
      <c r="L28" s="91" t="s">
        <v>163</v>
      </c>
      <c r="M28" s="95" t="s">
        <v>164</v>
      </c>
      <c r="N28" s="91" t="s">
        <v>165</v>
      </c>
      <c r="O28" s="95" t="s">
        <v>162</v>
      </c>
      <c r="P28" s="91" t="s">
        <v>166</v>
      </c>
      <c r="Q28" s="95" t="s">
        <v>164</v>
      </c>
      <c r="R28" s="91" t="s">
        <v>161</v>
      </c>
      <c r="S28" s="95" t="s">
        <v>162</v>
      </c>
      <c r="T28" s="91" t="s">
        <v>163</v>
      </c>
      <c r="U28" s="95" t="s">
        <v>164</v>
      </c>
      <c r="V28" s="91" t="s">
        <v>165</v>
      </c>
      <c r="W28" s="95" t="s">
        <v>162</v>
      </c>
      <c r="X28" s="91" t="s">
        <v>166</v>
      </c>
      <c r="Y28" s="95" t="s">
        <v>164</v>
      </c>
      <c r="Z28" s="91" t="s">
        <v>161</v>
      </c>
      <c r="AA28" s="95" t="s">
        <v>162</v>
      </c>
      <c r="AB28" s="91" t="s">
        <v>163</v>
      </c>
      <c r="AC28" s="95" t="s">
        <v>164</v>
      </c>
      <c r="AD28" s="91" t="s">
        <v>165</v>
      </c>
      <c r="AE28" s="95" t="s">
        <v>162</v>
      </c>
      <c r="AF28" s="91" t="s">
        <v>166</v>
      </c>
      <c r="AG28" s="95" t="s">
        <v>164</v>
      </c>
      <c r="AH28" s="91" t="s">
        <v>161</v>
      </c>
      <c r="AI28" s="95" t="s">
        <v>162</v>
      </c>
      <c r="AJ28" s="91" t="s">
        <v>163</v>
      </c>
      <c r="AK28" s="95" t="s">
        <v>164</v>
      </c>
      <c r="AL28" s="91" t="s">
        <v>165</v>
      </c>
      <c r="AM28" s="95" t="s">
        <v>162</v>
      </c>
      <c r="AN28" s="91" t="s">
        <v>166</v>
      </c>
      <c r="AO28" s="95" t="s">
        <v>164</v>
      </c>
      <c r="AP28" s="91" t="s">
        <v>161</v>
      </c>
      <c r="AQ28" s="95" t="s">
        <v>162</v>
      </c>
    </row>
    <row r="29" spans="1:45" x14ac:dyDescent="0.25">
      <c r="A29" s="85" t="s">
        <v>39</v>
      </c>
      <c r="B29" s="86" t="s">
        <v>0</v>
      </c>
      <c r="C29" s="68" t="s">
        <v>54</v>
      </c>
      <c r="D29" s="68" t="s">
        <v>55</v>
      </c>
      <c r="E29" s="68" t="s">
        <v>56</v>
      </c>
      <c r="F29" s="174" t="s">
        <v>57</v>
      </c>
      <c r="G29" s="251" t="s">
        <v>58</v>
      </c>
      <c r="H29" s="1"/>
      <c r="K29" s="80">
        <v>5</v>
      </c>
      <c r="L29" s="91" t="s">
        <v>163</v>
      </c>
      <c r="M29" s="95" t="s">
        <v>167</v>
      </c>
      <c r="N29" s="91" t="s">
        <v>165</v>
      </c>
      <c r="O29" s="95" t="s">
        <v>167</v>
      </c>
      <c r="P29" s="91" t="s">
        <v>166</v>
      </c>
      <c r="Q29" s="95" t="s">
        <v>167</v>
      </c>
      <c r="R29" s="91" t="s">
        <v>161</v>
      </c>
      <c r="S29" s="95" t="s">
        <v>167</v>
      </c>
      <c r="T29" s="91" t="s">
        <v>163</v>
      </c>
      <c r="U29" s="95" t="s">
        <v>169</v>
      </c>
      <c r="V29" s="91" t="s">
        <v>165</v>
      </c>
      <c r="W29" s="95" t="s">
        <v>170</v>
      </c>
      <c r="X29" s="91" t="s">
        <v>166</v>
      </c>
      <c r="Y29" s="95" t="s">
        <v>169</v>
      </c>
      <c r="Z29" s="91" t="s">
        <v>161</v>
      </c>
      <c r="AA29" s="95" t="s">
        <v>168</v>
      </c>
      <c r="AB29" s="91" t="s">
        <v>163</v>
      </c>
      <c r="AC29" s="95" t="s">
        <v>169</v>
      </c>
      <c r="AD29" s="91" t="s">
        <v>165</v>
      </c>
      <c r="AE29" s="95" t="s">
        <v>172</v>
      </c>
      <c r="AF29" s="91" t="s">
        <v>166</v>
      </c>
      <c r="AG29" s="95" t="s">
        <v>169</v>
      </c>
      <c r="AH29" s="91" t="s">
        <v>161</v>
      </c>
      <c r="AI29" s="95" t="s">
        <v>171</v>
      </c>
      <c r="AJ29" s="91" t="s">
        <v>163</v>
      </c>
      <c r="AK29" s="95" t="s">
        <v>169</v>
      </c>
      <c r="AL29" s="91" t="s">
        <v>165</v>
      </c>
      <c r="AM29" s="95" t="s">
        <v>174</v>
      </c>
      <c r="AN29" s="91" t="s">
        <v>166</v>
      </c>
      <c r="AO29" s="95" t="s">
        <v>169</v>
      </c>
      <c r="AP29" s="91" t="s">
        <v>161</v>
      </c>
      <c r="AQ29" s="95" t="s">
        <v>173</v>
      </c>
    </row>
    <row r="30" spans="1:45" x14ac:dyDescent="0.25">
      <c r="A30" s="206" t="s">
        <v>176</v>
      </c>
      <c r="B30" s="81" t="s">
        <v>177</v>
      </c>
      <c r="C30" s="81"/>
      <c r="D30" s="195"/>
      <c r="E30" s="81"/>
      <c r="F30" s="195"/>
      <c r="G30" s="81"/>
      <c r="H30" s="1"/>
      <c r="K30" s="80">
        <v>6</v>
      </c>
      <c r="L30" s="91" t="s">
        <v>165</v>
      </c>
      <c r="M30" s="95" t="s">
        <v>167</v>
      </c>
      <c r="N30" s="91" t="s">
        <v>166</v>
      </c>
      <c r="O30" s="95" t="s">
        <v>178</v>
      </c>
      <c r="P30" s="91" t="s">
        <v>161</v>
      </c>
      <c r="Q30" s="95" t="s">
        <v>167</v>
      </c>
      <c r="R30" s="91" t="s">
        <v>163</v>
      </c>
      <c r="S30" s="95" t="s">
        <v>178</v>
      </c>
      <c r="T30" s="91" t="s">
        <v>165</v>
      </c>
      <c r="U30" s="95" t="s">
        <v>179</v>
      </c>
      <c r="V30" s="91" t="s">
        <v>166</v>
      </c>
      <c r="W30" s="95" t="s">
        <v>178</v>
      </c>
      <c r="X30" s="91" t="s">
        <v>161</v>
      </c>
      <c r="Y30" s="95" t="s">
        <v>179</v>
      </c>
      <c r="Z30" s="91" t="s">
        <v>163</v>
      </c>
      <c r="AA30" s="95" t="s">
        <v>178</v>
      </c>
      <c r="AB30" s="91" t="s">
        <v>165</v>
      </c>
      <c r="AC30" s="95" t="s">
        <v>180</v>
      </c>
      <c r="AD30" s="91" t="s">
        <v>166</v>
      </c>
      <c r="AE30" s="95" t="s">
        <v>178</v>
      </c>
      <c r="AF30" s="91" t="s">
        <v>161</v>
      </c>
      <c r="AG30" s="95" t="s">
        <v>180</v>
      </c>
      <c r="AH30" s="91" t="s">
        <v>163</v>
      </c>
      <c r="AI30" s="95" t="s">
        <v>178</v>
      </c>
      <c r="AJ30" s="91" t="s">
        <v>165</v>
      </c>
      <c r="AK30" s="95" t="s">
        <v>180</v>
      </c>
      <c r="AL30" s="91" t="s">
        <v>166</v>
      </c>
      <c r="AM30" s="95" t="s">
        <v>178</v>
      </c>
      <c r="AN30" s="91" t="s">
        <v>161</v>
      </c>
      <c r="AO30" s="95" t="s">
        <v>180</v>
      </c>
      <c r="AP30" s="91" t="s">
        <v>163</v>
      </c>
      <c r="AQ30" s="95" t="s">
        <v>178</v>
      </c>
    </row>
    <row r="31" spans="1:45" x14ac:dyDescent="0.25">
      <c r="A31" s="82" t="s">
        <v>181</v>
      </c>
      <c r="B31" s="256" t="s">
        <v>182</v>
      </c>
      <c r="C31" s="256" t="s">
        <v>71</v>
      </c>
      <c r="D31" s="257">
        <v>44562</v>
      </c>
      <c r="E31" s="256">
        <v>1</v>
      </c>
      <c r="F31" s="257">
        <v>44562</v>
      </c>
      <c r="G31" s="81" t="s">
        <v>72</v>
      </c>
      <c r="H31" s="1"/>
      <c r="K31" s="80">
        <v>7</v>
      </c>
      <c r="L31" s="91" t="s">
        <v>165</v>
      </c>
      <c r="M31" s="95" t="s">
        <v>167</v>
      </c>
      <c r="N31" s="91" t="s">
        <v>166</v>
      </c>
      <c r="O31" s="105" t="s">
        <v>183</v>
      </c>
      <c r="P31" s="91" t="s">
        <v>161</v>
      </c>
      <c r="Q31" s="95" t="s">
        <v>167</v>
      </c>
      <c r="R31" s="91" t="s">
        <v>163</v>
      </c>
      <c r="S31" s="105" t="s">
        <v>183</v>
      </c>
      <c r="T31" s="91" t="s">
        <v>165</v>
      </c>
      <c r="U31" s="95" t="s">
        <v>170</v>
      </c>
      <c r="V31" s="91" t="s">
        <v>166</v>
      </c>
      <c r="W31" s="105" t="s">
        <v>183</v>
      </c>
      <c r="X31" s="91" t="s">
        <v>161</v>
      </c>
      <c r="Y31" s="95" t="s">
        <v>168</v>
      </c>
      <c r="Z31" s="91" t="s">
        <v>163</v>
      </c>
      <c r="AA31" s="105" t="s">
        <v>183</v>
      </c>
      <c r="AB31" s="91" t="s">
        <v>165</v>
      </c>
      <c r="AC31" s="95" t="s">
        <v>172</v>
      </c>
      <c r="AD31" s="91" t="s">
        <v>166</v>
      </c>
      <c r="AE31" s="105" t="s">
        <v>183</v>
      </c>
      <c r="AF31" s="91" t="s">
        <v>161</v>
      </c>
      <c r="AG31" s="95" t="s">
        <v>171</v>
      </c>
      <c r="AH31" s="91" t="s">
        <v>163</v>
      </c>
      <c r="AI31" s="105" t="s">
        <v>183</v>
      </c>
      <c r="AJ31" s="91" t="s">
        <v>165</v>
      </c>
      <c r="AK31" s="95" t="s">
        <v>174</v>
      </c>
      <c r="AL31" s="91" t="s">
        <v>166</v>
      </c>
      <c r="AM31" s="105" t="s">
        <v>183</v>
      </c>
      <c r="AN31" s="91" t="s">
        <v>161</v>
      </c>
      <c r="AO31" s="95" t="s">
        <v>173</v>
      </c>
      <c r="AP31" s="91" t="s">
        <v>163</v>
      </c>
      <c r="AQ31" s="105" t="s">
        <v>183</v>
      </c>
    </row>
    <row r="32" spans="1:45" x14ac:dyDescent="0.25">
      <c r="A32" s="82" t="s">
        <v>184</v>
      </c>
      <c r="B32" s="256" t="s">
        <v>185</v>
      </c>
      <c r="C32" s="256" t="s">
        <v>71</v>
      </c>
      <c r="D32" s="257">
        <v>44562</v>
      </c>
      <c r="E32" s="256">
        <v>1</v>
      </c>
      <c r="F32" s="257">
        <v>44562</v>
      </c>
      <c r="G32" s="81" t="s">
        <v>72</v>
      </c>
      <c r="H32" s="1"/>
      <c r="K32" s="80">
        <v>8</v>
      </c>
      <c r="L32" s="91" t="s">
        <v>166</v>
      </c>
      <c r="M32" s="95" t="s">
        <v>178</v>
      </c>
      <c r="N32" s="91" t="s">
        <v>161</v>
      </c>
      <c r="O32" s="95" t="s">
        <v>167</v>
      </c>
      <c r="P32" s="91" t="s">
        <v>163</v>
      </c>
      <c r="Q32" s="95" t="s">
        <v>178</v>
      </c>
      <c r="R32" s="91" t="s">
        <v>165</v>
      </c>
      <c r="S32" s="95" t="s">
        <v>167</v>
      </c>
      <c r="T32" s="91" t="s">
        <v>166</v>
      </c>
      <c r="U32" s="95" t="s">
        <v>178</v>
      </c>
      <c r="V32" s="91" t="s">
        <v>161</v>
      </c>
      <c r="W32" s="95" t="s">
        <v>179</v>
      </c>
      <c r="X32" s="91" t="s">
        <v>163</v>
      </c>
      <c r="Y32" s="95" t="s">
        <v>178</v>
      </c>
      <c r="Z32" s="91" t="s">
        <v>165</v>
      </c>
      <c r="AA32" s="95" t="s">
        <v>179</v>
      </c>
      <c r="AB32" s="91" t="s">
        <v>166</v>
      </c>
      <c r="AC32" s="95" t="s">
        <v>178</v>
      </c>
      <c r="AD32" s="91" t="s">
        <v>161</v>
      </c>
      <c r="AE32" s="95" t="s">
        <v>180</v>
      </c>
      <c r="AF32" s="91" t="s">
        <v>163</v>
      </c>
      <c r="AG32" s="95" t="s">
        <v>178</v>
      </c>
      <c r="AH32" s="91" t="s">
        <v>165</v>
      </c>
      <c r="AI32" s="95" t="s">
        <v>180</v>
      </c>
      <c r="AJ32" s="91" t="s">
        <v>166</v>
      </c>
      <c r="AK32" s="95" t="s">
        <v>178</v>
      </c>
      <c r="AL32" s="91" t="s">
        <v>161</v>
      </c>
      <c r="AM32" s="95" t="s">
        <v>180</v>
      </c>
      <c r="AN32" s="91" t="s">
        <v>163</v>
      </c>
      <c r="AO32" s="95" t="s">
        <v>178</v>
      </c>
      <c r="AP32" s="91" t="s">
        <v>165</v>
      </c>
      <c r="AQ32" s="95" t="s">
        <v>180</v>
      </c>
    </row>
    <row r="33" spans="1:43" x14ac:dyDescent="0.25">
      <c r="A33" s="82" t="s">
        <v>186</v>
      </c>
      <c r="B33" s="256" t="s">
        <v>187</v>
      </c>
      <c r="C33" s="256" t="s">
        <v>71</v>
      </c>
      <c r="D33" s="257">
        <v>44562</v>
      </c>
      <c r="E33" s="256">
        <v>1</v>
      </c>
      <c r="F33" s="257">
        <v>44562</v>
      </c>
      <c r="G33" s="81" t="s">
        <v>72</v>
      </c>
      <c r="H33" s="1"/>
      <c r="K33" s="80">
        <v>9</v>
      </c>
      <c r="L33" s="93" t="s">
        <v>166</v>
      </c>
      <c r="M33" s="106" t="s">
        <v>183</v>
      </c>
      <c r="N33" s="93" t="s">
        <v>161</v>
      </c>
      <c r="O33" s="92" t="s">
        <v>167</v>
      </c>
      <c r="P33" s="93" t="s">
        <v>163</v>
      </c>
      <c r="Q33" s="106" t="s">
        <v>183</v>
      </c>
      <c r="R33" s="93" t="s">
        <v>165</v>
      </c>
      <c r="S33" s="92" t="s">
        <v>167</v>
      </c>
      <c r="T33" s="93" t="s">
        <v>166</v>
      </c>
      <c r="U33" s="106" t="s">
        <v>183</v>
      </c>
      <c r="V33" s="93" t="s">
        <v>161</v>
      </c>
      <c r="W33" s="92" t="s">
        <v>168</v>
      </c>
      <c r="X33" s="93" t="s">
        <v>163</v>
      </c>
      <c r="Y33" s="106" t="s">
        <v>183</v>
      </c>
      <c r="Z33" s="93" t="s">
        <v>165</v>
      </c>
      <c r="AA33" s="92" t="s">
        <v>170</v>
      </c>
      <c r="AB33" s="93" t="s">
        <v>166</v>
      </c>
      <c r="AC33" s="106" t="s">
        <v>183</v>
      </c>
      <c r="AD33" s="93" t="s">
        <v>161</v>
      </c>
      <c r="AE33" s="92" t="s">
        <v>171</v>
      </c>
      <c r="AF33" s="93" t="s">
        <v>163</v>
      </c>
      <c r="AG33" s="106" t="s">
        <v>183</v>
      </c>
      <c r="AH33" s="93" t="s">
        <v>165</v>
      </c>
      <c r="AI33" s="92" t="s">
        <v>172</v>
      </c>
      <c r="AJ33" s="93" t="s">
        <v>166</v>
      </c>
      <c r="AK33" s="105" t="s">
        <v>183</v>
      </c>
      <c r="AL33" s="93" t="s">
        <v>161</v>
      </c>
      <c r="AM33" s="92" t="s">
        <v>173</v>
      </c>
      <c r="AN33" s="93" t="s">
        <v>163</v>
      </c>
      <c r="AO33" s="105" t="s">
        <v>183</v>
      </c>
      <c r="AP33" s="93" t="s">
        <v>165</v>
      </c>
      <c r="AQ33" s="92" t="s">
        <v>174</v>
      </c>
    </row>
    <row r="34" spans="1:43" x14ac:dyDescent="0.25">
      <c r="A34"/>
      <c r="C34" s="1"/>
      <c r="D34" s="1"/>
      <c r="E34" s="1"/>
      <c r="F34" s="1"/>
      <c r="G34" s="1"/>
      <c r="H34" s="1"/>
      <c r="K34" s="80">
        <v>10</v>
      </c>
      <c r="L34" s="90" t="s">
        <v>188</v>
      </c>
      <c r="M34" s="94" t="s">
        <v>170</v>
      </c>
      <c r="N34" s="90" t="s">
        <v>188</v>
      </c>
      <c r="O34" s="94" t="s">
        <v>170</v>
      </c>
      <c r="P34" s="90" t="s">
        <v>188</v>
      </c>
      <c r="Q34" s="94" t="s">
        <v>170</v>
      </c>
      <c r="R34" s="90" t="s">
        <v>188</v>
      </c>
      <c r="S34" s="94" t="s">
        <v>170</v>
      </c>
      <c r="T34" s="90"/>
      <c r="U34" s="180" t="s">
        <v>135</v>
      </c>
      <c r="V34" s="90"/>
      <c r="W34" s="180" t="s">
        <v>135</v>
      </c>
      <c r="X34" s="90"/>
      <c r="Y34" s="180" t="s">
        <v>135</v>
      </c>
      <c r="Z34" s="90"/>
      <c r="AA34" s="180" t="s">
        <v>135</v>
      </c>
      <c r="AB34" s="90"/>
      <c r="AC34" s="180" t="s">
        <v>135</v>
      </c>
      <c r="AD34" s="90"/>
      <c r="AE34" s="180" t="s">
        <v>135</v>
      </c>
      <c r="AF34" s="90"/>
      <c r="AG34" s="180" t="s">
        <v>135</v>
      </c>
      <c r="AH34" s="90"/>
      <c r="AI34" s="180" t="s">
        <v>135</v>
      </c>
      <c r="AJ34" s="90"/>
      <c r="AK34" s="180" t="s">
        <v>135</v>
      </c>
      <c r="AL34" s="90"/>
      <c r="AM34" s="180" t="s">
        <v>135</v>
      </c>
      <c r="AN34" s="90"/>
      <c r="AO34" s="180" t="s">
        <v>135</v>
      </c>
      <c r="AP34" s="90"/>
      <c r="AQ34" s="180" t="s">
        <v>135</v>
      </c>
    </row>
    <row r="35" spans="1:43" x14ac:dyDescent="0.25">
      <c r="A35" s="171" t="s">
        <v>189</v>
      </c>
      <c r="B35" s="68"/>
      <c r="C35" s="68"/>
      <c r="D35" s="68"/>
      <c r="E35" s="68"/>
      <c r="G35" s="1"/>
      <c r="I35" s="1"/>
      <c r="K35" s="80">
        <v>11</v>
      </c>
      <c r="L35" s="91" t="s">
        <v>190</v>
      </c>
      <c r="M35" s="95" t="s">
        <v>174</v>
      </c>
      <c r="N35" s="91" t="s">
        <v>190</v>
      </c>
      <c r="O35" s="95" t="s">
        <v>174</v>
      </c>
      <c r="P35" s="91" t="s">
        <v>190</v>
      </c>
      <c r="Q35" s="95" t="s">
        <v>174</v>
      </c>
      <c r="R35" s="91" t="s">
        <v>190</v>
      </c>
      <c r="S35" s="95" t="s">
        <v>174</v>
      </c>
      <c r="T35" s="91"/>
      <c r="U35" s="95"/>
      <c r="V35" s="91"/>
      <c r="W35" s="95"/>
      <c r="X35" s="91"/>
      <c r="Y35" s="95"/>
      <c r="Z35" s="91"/>
      <c r="AA35" s="95"/>
      <c r="AB35" s="91"/>
      <c r="AC35" s="95"/>
      <c r="AD35" s="91"/>
      <c r="AE35" s="95"/>
      <c r="AF35" s="91"/>
      <c r="AG35" s="95"/>
      <c r="AH35" s="91"/>
      <c r="AI35" s="95"/>
      <c r="AJ35" s="91"/>
      <c r="AK35" s="95"/>
      <c r="AL35" s="91"/>
      <c r="AM35" s="95"/>
      <c r="AN35" s="91"/>
      <c r="AO35" s="95"/>
      <c r="AP35" s="91"/>
      <c r="AQ35" s="95"/>
    </row>
    <row r="36" spans="1:43" ht="15.75" customHeight="1" x14ac:dyDescent="0.25">
      <c r="A36" s="85" t="s">
        <v>191</v>
      </c>
      <c r="B36" s="86" t="s">
        <v>0</v>
      </c>
      <c r="C36" s="68" t="s">
        <v>54</v>
      </c>
      <c r="D36" s="68" t="s">
        <v>55</v>
      </c>
      <c r="E36" s="68" t="s">
        <v>56</v>
      </c>
      <c r="F36" s="174" t="s">
        <v>57</v>
      </c>
      <c r="G36" s="251" t="s">
        <v>58</v>
      </c>
      <c r="I36" s="1"/>
      <c r="K36" s="80">
        <v>12</v>
      </c>
      <c r="L36" s="91" t="s">
        <v>192</v>
      </c>
      <c r="M36" s="95" t="s">
        <v>180</v>
      </c>
      <c r="N36" s="91" t="s">
        <v>192</v>
      </c>
      <c r="O36" s="95" t="s">
        <v>180</v>
      </c>
      <c r="P36" s="91" t="s">
        <v>192</v>
      </c>
      <c r="Q36" s="95" t="s">
        <v>180</v>
      </c>
      <c r="R36" s="91" t="s">
        <v>192</v>
      </c>
      <c r="S36" s="95" t="s">
        <v>180</v>
      </c>
      <c r="T36" s="91"/>
      <c r="U36" s="95"/>
      <c r="V36" s="91"/>
      <c r="W36" s="95"/>
      <c r="X36" s="91"/>
      <c r="Y36" s="95"/>
      <c r="Z36" s="91"/>
      <c r="AA36" s="95"/>
      <c r="AB36" s="91"/>
      <c r="AC36" s="95"/>
      <c r="AD36" s="91"/>
      <c r="AE36" s="95"/>
      <c r="AF36" s="91"/>
      <c r="AG36" s="95"/>
      <c r="AH36" s="91"/>
      <c r="AI36" s="95"/>
      <c r="AJ36" s="91"/>
      <c r="AK36" s="95"/>
      <c r="AL36" s="91"/>
      <c r="AM36" s="95"/>
      <c r="AN36" s="91"/>
      <c r="AO36" s="95"/>
      <c r="AP36" s="91"/>
      <c r="AQ36" s="95"/>
    </row>
    <row r="37" spans="1:43" x14ac:dyDescent="0.25">
      <c r="A37" s="206" t="s">
        <v>193</v>
      </c>
      <c r="B37" s="285" t="s">
        <v>194</v>
      </c>
      <c r="C37" s="285"/>
      <c r="D37" s="286"/>
      <c r="E37" s="285"/>
      <c r="F37" s="286"/>
      <c r="G37" s="285"/>
      <c r="I37" s="1"/>
      <c r="K37" s="80">
        <v>13</v>
      </c>
      <c r="L37" s="91" t="s">
        <v>195</v>
      </c>
      <c r="M37" s="95" t="s">
        <v>169</v>
      </c>
      <c r="N37" s="91" t="s">
        <v>195</v>
      </c>
      <c r="O37" s="95" t="s">
        <v>169</v>
      </c>
      <c r="P37" s="91" t="s">
        <v>195</v>
      </c>
      <c r="Q37" s="95" t="s">
        <v>169</v>
      </c>
      <c r="R37" s="91" t="s">
        <v>195</v>
      </c>
      <c r="S37" s="95" t="s">
        <v>169</v>
      </c>
      <c r="T37" s="91"/>
      <c r="U37" s="95"/>
      <c r="V37" s="91"/>
      <c r="W37" s="95"/>
      <c r="X37" s="91"/>
      <c r="Y37" s="95"/>
      <c r="Z37" s="91"/>
      <c r="AA37" s="95"/>
      <c r="AB37" s="91"/>
      <c r="AC37" s="95"/>
      <c r="AD37" s="91"/>
      <c r="AE37" s="95"/>
      <c r="AF37" s="91"/>
      <c r="AG37" s="95"/>
      <c r="AH37" s="91"/>
      <c r="AI37" s="95"/>
      <c r="AJ37" s="91"/>
      <c r="AK37" s="95"/>
      <c r="AL37" s="91"/>
      <c r="AM37" s="95"/>
      <c r="AN37" s="91"/>
      <c r="AO37" s="95"/>
      <c r="AP37" s="91"/>
      <c r="AQ37" s="95"/>
    </row>
    <row r="38" spans="1:43" ht="15.75" customHeight="1" x14ac:dyDescent="0.25">
      <c r="A38" s="82" t="s">
        <v>196</v>
      </c>
      <c r="B38" s="285" t="s">
        <v>197</v>
      </c>
      <c r="C38" s="285"/>
      <c r="D38" s="286"/>
      <c r="E38" s="285"/>
      <c r="F38" s="286"/>
      <c r="G38" s="285"/>
      <c r="I38" s="1"/>
      <c r="K38" s="80">
        <v>14</v>
      </c>
      <c r="L38" s="91" t="s">
        <v>198</v>
      </c>
      <c r="M38" s="95" t="s">
        <v>171</v>
      </c>
      <c r="N38" s="91" t="s">
        <v>198</v>
      </c>
      <c r="O38" s="95" t="s">
        <v>171</v>
      </c>
      <c r="P38" s="91" t="s">
        <v>198</v>
      </c>
      <c r="Q38" s="95" t="s">
        <v>171</v>
      </c>
      <c r="R38" s="91" t="s">
        <v>198</v>
      </c>
      <c r="S38" s="95" t="s">
        <v>171</v>
      </c>
      <c r="T38" s="91"/>
      <c r="U38" s="95"/>
      <c r="V38" s="91"/>
      <c r="W38" s="95"/>
      <c r="X38" s="91"/>
      <c r="Y38" s="95"/>
      <c r="Z38" s="91"/>
      <c r="AA38" s="95"/>
      <c r="AB38" s="91"/>
      <c r="AC38" s="95"/>
      <c r="AD38" s="91"/>
      <c r="AE38" s="95"/>
      <c r="AF38" s="91"/>
      <c r="AG38" s="95"/>
      <c r="AH38" s="91"/>
      <c r="AI38" s="95"/>
      <c r="AJ38" s="91"/>
      <c r="AK38" s="95"/>
      <c r="AL38" s="91"/>
      <c r="AM38" s="95"/>
      <c r="AN38" s="91"/>
      <c r="AO38" s="95"/>
      <c r="AP38" s="91"/>
      <c r="AQ38" s="95"/>
    </row>
    <row r="39" spans="1:43" ht="15.75" customHeight="1" x14ac:dyDescent="0.25">
      <c r="A39" s="82" t="s">
        <v>199</v>
      </c>
      <c r="B39" s="285" t="s">
        <v>200</v>
      </c>
      <c r="C39" s="285"/>
      <c r="D39" s="286"/>
      <c r="E39" s="285"/>
      <c r="F39" s="286"/>
      <c r="G39" s="285"/>
      <c r="I39" s="1"/>
      <c r="K39" s="80">
        <v>15</v>
      </c>
      <c r="L39" s="91" t="s">
        <v>201</v>
      </c>
      <c r="M39" s="95" t="s">
        <v>168</v>
      </c>
      <c r="N39" s="91" t="s">
        <v>201</v>
      </c>
      <c r="O39" s="95" t="s">
        <v>168</v>
      </c>
      <c r="P39" s="91" t="s">
        <v>201</v>
      </c>
      <c r="Q39" s="95" t="s">
        <v>168</v>
      </c>
      <c r="R39" s="91" t="s">
        <v>201</v>
      </c>
      <c r="S39" s="95" t="s">
        <v>168</v>
      </c>
      <c r="T39" s="91"/>
      <c r="U39" s="95"/>
      <c r="V39" s="91"/>
      <c r="W39" s="105"/>
      <c r="X39" s="91"/>
      <c r="Y39" s="95"/>
      <c r="Z39" s="91"/>
      <c r="AA39" s="95"/>
      <c r="AB39" s="91"/>
      <c r="AC39" s="95"/>
      <c r="AD39" s="91"/>
      <c r="AE39" s="105"/>
      <c r="AF39" s="91"/>
      <c r="AG39" s="95"/>
      <c r="AH39" s="91"/>
      <c r="AI39" s="105"/>
      <c r="AJ39" s="91"/>
      <c r="AK39" s="95"/>
      <c r="AL39" s="91"/>
      <c r="AM39" s="95"/>
      <c r="AN39" s="91"/>
      <c r="AO39" s="95"/>
      <c r="AP39" s="91"/>
      <c r="AQ39" s="95"/>
    </row>
    <row r="40" spans="1:43" x14ac:dyDescent="0.25">
      <c r="A40" s="82" t="s">
        <v>202</v>
      </c>
      <c r="B40" s="285" t="s">
        <v>203</v>
      </c>
      <c r="C40" s="285"/>
      <c r="D40" s="286"/>
      <c r="E40" s="285"/>
      <c r="F40" s="286"/>
      <c r="G40" s="285"/>
      <c r="I40" s="1"/>
      <c r="K40" s="80">
        <v>16</v>
      </c>
      <c r="L40" s="91" t="s">
        <v>204</v>
      </c>
      <c r="M40" s="95" t="s">
        <v>172</v>
      </c>
      <c r="N40" s="91" t="s">
        <v>204</v>
      </c>
      <c r="O40" s="95" t="s">
        <v>172</v>
      </c>
      <c r="P40" s="91" t="s">
        <v>204</v>
      </c>
      <c r="Q40" s="95" t="s">
        <v>172</v>
      </c>
      <c r="R40" s="91" t="s">
        <v>204</v>
      </c>
      <c r="S40" s="95" t="s">
        <v>172</v>
      </c>
      <c r="T40" s="91"/>
      <c r="U40" s="95"/>
      <c r="V40" s="91"/>
      <c r="W40" s="105"/>
      <c r="X40" s="91"/>
      <c r="Y40" s="95"/>
      <c r="Z40" s="91"/>
      <c r="AA40" s="95"/>
      <c r="AB40" s="91"/>
      <c r="AC40" s="95"/>
      <c r="AD40" s="91"/>
      <c r="AE40" s="105"/>
      <c r="AF40" s="91"/>
      <c r="AG40" s="95"/>
      <c r="AH40" s="91"/>
      <c r="AI40" s="105"/>
      <c r="AJ40" s="91"/>
      <c r="AK40" s="95"/>
      <c r="AL40" s="91"/>
      <c r="AM40" s="95"/>
      <c r="AN40" s="91"/>
      <c r="AO40" s="95"/>
      <c r="AP40" s="91"/>
      <c r="AQ40" s="95"/>
    </row>
    <row r="41" spans="1:43" x14ac:dyDescent="0.25">
      <c r="E41" s="176"/>
      <c r="I41" s="1"/>
      <c r="K41" s="80">
        <v>17</v>
      </c>
      <c r="L41" s="91" t="s">
        <v>205</v>
      </c>
      <c r="M41" s="95" t="s">
        <v>173</v>
      </c>
      <c r="N41" s="91" t="s">
        <v>205</v>
      </c>
      <c r="O41" s="95" t="s">
        <v>173</v>
      </c>
      <c r="P41" s="91" t="s">
        <v>205</v>
      </c>
      <c r="Q41" s="95" t="s">
        <v>173</v>
      </c>
      <c r="R41" s="91" t="s">
        <v>205</v>
      </c>
      <c r="S41" s="95" t="s">
        <v>173</v>
      </c>
      <c r="T41" s="91"/>
      <c r="U41" s="95"/>
      <c r="V41" s="91"/>
      <c r="W41" s="95"/>
      <c r="X41" s="91"/>
      <c r="Y41" s="95"/>
      <c r="Z41" s="91"/>
      <c r="AA41" s="95"/>
      <c r="AB41" s="91"/>
      <c r="AC41" s="95"/>
      <c r="AD41" s="91"/>
      <c r="AE41" s="95"/>
      <c r="AF41" s="91"/>
      <c r="AG41" s="95"/>
      <c r="AH41" s="91"/>
      <c r="AI41" s="95"/>
      <c r="AJ41" s="91"/>
      <c r="AK41" s="95"/>
      <c r="AL41" s="91"/>
      <c r="AM41" s="95"/>
      <c r="AN41" s="91"/>
      <c r="AO41" s="95"/>
      <c r="AP41" s="91"/>
      <c r="AQ41" s="95"/>
    </row>
    <row r="42" spans="1:43" x14ac:dyDescent="0.25">
      <c r="C42"/>
      <c r="D42"/>
      <c r="E42"/>
      <c r="F42" s="1"/>
      <c r="G42" s="1"/>
      <c r="H42" s="1"/>
      <c r="I42" s="1"/>
      <c r="K42" s="80">
        <v>18</v>
      </c>
      <c r="L42" s="93" t="s">
        <v>206</v>
      </c>
      <c r="M42" s="106" t="s">
        <v>179</v>
      </c>
      <c r="N42" s="93" t="s">
        <v>206</v>
      </c>
      <c r="O42" s="106" t="s">
        <v>179</v>
      </c>
      <c r="P42" s="93" t="s">
        <v>206</v>
      </c>
      <c r="Q42" s="106" t="s">
        <v>179</v>
      </c>
      <c r="R42" s="93" t="s">
        <v>206</v>
      </c>
      <c r="S42" s="106" t="s">
        <v>179</v>
      </c>
      <c r="T42" s="93"/>
      <c r="U42" s="106"/>
      <c r="V42" s="93"/>
      <c r="W42" s="92"/>
      <c r="X42" s="93"/>
      <c r="Y42" s="106"/>
      <c r="Z42" s="93"/>
      <c r="AA42" s="92"/>
      <c r="AB42" s="93"/>
      <c r="AC42" s="106"/>
      <c r="AD42" s="93"/>
      <c r="AE42" s="92"/>
      <c r="AF42" s="93"/>
      <c r="AG42" s="106"/>
      <c r="AH42" s="93"/>
      <c r="AI42" s="92"/>
      <c r="AJ42" s="93"/>
      <c r="AK42" s="92"/>
      <c r="AL42" s="93"/>
      <c r="AM42" s="92"/>
      <c r="AN42" s="93"/>
      <c r="AO42" s="92"/>
      <c r="AP42" s="93"/>
      <c r="AQ42" s="92"/>
    </row>
    <row r="43" spans="1:43" x14ac:dyDescent="0.25">
      <c r="A43" s="171" t="s">
        <v>207</v>
      </c>
      <c r="F43" s="1"/>
      <c r="G43" s="1"/>
      <c r="H43" s="1"/>
      <c r="I43" s="1"/>
      <c r="J43"/>
      <c r="K43"/>
      <c r="M43"/>
      <c r="N43"/>
      <c r="O43"/>
      <c r="P43"/>
      <c r="Q43"/>
      <c r="R43"/>
      <c r="S43"/>
    </row>
    <row r="44" spans="1:43" x14ac:dyDescent="0.25">
      <c r="A44" s="85" t="s">
        <v>17</v>
      </c>
      <c r="B44" s="175" t="s">
        <v>208</v>
      </c>
      <c r="C44" s="174" t="s">
        <v>209</v>
      </c>
      <c r="D44" s="174" t="s">
        <v>210</v>
      </c>
      <c r="E44" s="174" t="s">
        <v>211</v>
      </c>
      <c r="F44" s="1"/>
      <c r="G44" s="1"/>
      <c r="H44" s="1"/>
      <c r="I44" s="1"/>
      <c r="J44"/>
      <c r="K44"/>
    </row>
    <row r="45" spans="1:43" x14ac:dyDescent="0.25">
      <c r="A45" s="68" t="s">
        <v>212</v>
      </c>
      <c r="B45" s="174" t="s">
        <v>25</v>
      </c>
      <c r="C45" s="174" t="s">
        <v>26</v>
      </c>
      <c r="D45" s="174" t="s">
        <v>27</v>
      </c>
      <c r="E45" s="174" t="s">
        <v>28</v>
      </c>
      <c r="F45" s="1"/>
      <c r="G45" s="1"/>
      <c r="H45" s="1"/>
      <c r="I45" s="1"/>
      <c r="J45" s="172" t="s">
        <v>213</v>
      </c>
      <c r="K45" s="77">
        <v>1</v>
      </c>
      <c r="L45" s="178"/>
      <c r="M45" s="179" t="s">
        <v>214</v>
      </c>
      <c r="N45" s="178"/>
      <c r="O45" s="179" t="s">
        <v>215</v>
      </c>
      <c r="P45" s="178"/>
      <c r="Q45" s="179" t="s">
        <v>216</v>
      </c>
      <c r="R45" s="178"/>
      <c r="S45" s="179" t="s">
        <v>217</v>
      </c>
      <c r="T45" s="178"/>
      <c r="U45" s="179" t="s">
        <v>218</v>
      </c>
      <c r="V45" s="178"/>
      <c r="W45" s="179" t="s">
        <v>219</v>
      </c>
      <c r="X45" s="178"/>
      <c r="Y45" s="179" t="s">
        <v>220</v>
      </c>
      <c r="Z45" s="178"/>
      <c r="AA45" s="179" t="s">
        <v>221</v>
      </c>
      <c r="AB45"/>
      <c r="AC45"/>
    </row>
    <row r="46" spans="1:43" x14ac:dyDescent="0.25">
      <c r="A46" s="68" t="s">
        <v>222</v>
      </c>
      <c r="B46" s="174" t="s">
        <v>26</v>
      </c>
      <c r="C46" s="174" t="s">
        <v>27</v>
      </c>
      <c r="D46" s="174" t="s">
        <v>28</v>
      </c>
      <c r="E46" s="174" t="s">
        <v>25</v>
      </c>
      <c r="F46" s="1"/>
      <c r="G46" s="1"/>
      <c r="H46" s="1"/>
      <c r="I46" s="1"/>
      <c r="K46" s="80">
        <v>2</v>
      </c>
      <c r="L46" s="90" t="s">
        <v>161</v>
      </c>
      <c r="M46" s="94" t="s">
        <v>223</v>
      </c>
      <c r="N46" s="90" t="s">
        <v>163</v>
      </c>
      <c r="O46" s="94" t="s">
        <v>224</v>
      </c>
      <c r="P46" s="90" t="s">
        <v>165</v>
      </c>
      <c r="Q46" s="191" t="str">
        <f>M46</f>
        <v>EDUC5024</v>
      </c>
      <c r="R46" s="90" t="s">
        <v>166</v>
      </c>
      <c r="S46" s="191" t="str">
        <f>O46</f>
        <v>EDUC5020</v>
      </c>
      <c r="T46" s="90" t="s">
        <v>161</v>
      </c>
      <c r="U46" s="94" t="s">
        <v>225</v>
      </c>
      <c r="V46" s="90" t="s">
        <v>163</v>
      </c>
      <c r="W46" s="94" t="s">
        <v>226</v>
      </c>
      <c r="X46" s="90" t="s">
        <v>165</v>
      </c>
      <c r="Y46" s="94" t="s">
        <v>225</v>
      </c>
      <c r="Z46" s="90" t="s">
        <v>166</v>
      </c>
      <c r="AA46" s="94" t="s">
        <v>226</v>
      </c>
      <c r="AB46"/>
      <c r="AC46"/>
    </row>
    <row r="47" spans="1:43" x14ac:dyDescent="0.25">
      <c r="A47" s="68" t="s">
        <v>227</v>
      </c>
      <c r="B47" s="174" t="s">
        <v>27</v>
      </c>
      <c r="C47" s="174" t="s">
        <v>28</v>
      </c>
      <c r="D47" s="174" t="s">
        <v>25</v>
      </c>
      <c r="E47" s="174" t="s">
        <v>26</v>
      </c>
      <c r="F47" s="1"/>
      <c r="G47" s="1"/>
      <c r="H47" s="1"/>
      <c r="I47" s="1"/>
      <c r="K47" s="80">
        <v>3</v>
      </c>
      <c r="L47" s="91" t="s">
        <v>161</v>
      </c>
      <c r="M47" s="95" t="s">
        <v>228</v>
      </c>
      <c r="N47" s="91" t="s">
        <v>163</v>
      </c>
      <c r="O47" s="95" t="s">
        <v>229</v>
      </c>
      <c r="P47" s="91" t="s">
        <v>165</v>
      </c>
      <c r="Q47" s="189" t="str">
        <f t="shared" ref="Q47:S49" si="0">M47</f>
        <v>AC-TESOL</v>
      </c>
      <c r="R47" s="91" t="s">
        <v>166</v>
      </c>
      <c r="S47" s="189" t="str">
        <f t="shared" si="0"/>
        <v>EDUC5026</v>
      </c>
      <c r="T47" s="91" t="s">
        <v>161</v>
      </c>
      <c r="U47" s="95" t="s">
        <v>230</v>
      </c>
      <c r="V47" s="91" t="s">
        <v>163</v>
      </c>
      <c r="W47" s="95" t="s">
        <v>231</v>
      </c>
      <c r="X47" s="91" t="s">
        <v>165</v>
      </c>
      <c r="Y47" s="95" t="s">
        <v>170</v>
      </c>
      <c r="Z47" s="91" t="s">
        <v>166</v>
      </c>
      <c r="AA47" s="95" t="s">
        <v>231</v>
      </c>
      <c r="AB47"/>
      <c r="AC47"/>
    </row>
    <row r="48" spans="1:43" x14ac:dyDescent="0.25">
      <c r="A48" s="68" t="s">
        <v>232</v>
      </c>
      <c r="B48" s="174" t="s">
        <v>28</v>
      </c>
      <c r="C48" s="174" t="s">
        <v>25</v>
      </c>
      <c r="D48" s="174" t="s">
        <v>26</v>
      </c>
      <c r="E48" s="174" t="s">
        <v>27</v>
      </c>
      <c r="F48" s="1"/>
      <c r="G48" s="1"/>
      <c r="H48" s="1"/>
      <c r="I48" s="1"/>
      <c r="K48" s="80">
        <v>4</v>
      </c>
      <c r="L48" s="91" t="s">
        <v>163</v>
      </c>
      <c r="M48" s="95" t="s">
        <v>224</v>
      </c>
      <c r="N48" s="91" t="s">
        <v>165</v>
      </c>
      <c r="O48" s="95" t="s">
        <v>223</v>
      </c>
      <c r="P48" s="91" t="s">
        <v>166</v>
      </c>
      <c r="Q48" s="189" t="str">
        <f t="shared" si="0"/>
        <v>EDUC5020</v>
      </c>
      <c r="R48" s="91" t="s">
        <v>161</v>
      </c>
      <c r="S48" s="189" t="str">
        <f t="shared" si="0"/>
        <v>EDUC5024</v>
      </c>
      <c r="T48" s="91" t="s">
        <v>163</v>
      </c>
      <c r="U48" s="95" t="s">
        <v>226</v>
      </c>
      <c r="V48" s="91" t="s">
        <v>165</v>
      </c>
      <c r="W48" s="95" t="s">
        <v>225</v>
      </c>
      <c r="X48" s="91" t="s">
        <v>166</v>
      </c>
      <c r="Y48" s="95" t="s">
        <v>226</v>
      </c>
      <c r="Z48" s="91" t="s">
        <v>161</v>
      </c>
      <c r="AA48" s="95" t="s">
        <v>225</v>
      </c>
      <c r="AB48"/>
      <c r="AC48"/>
    </row>
    <row r="49" spans="1:29" x14ac:dyDescent="0.25">
      <c r="C49" s="1"/>
      <c r="D49" s="1"/>
      <c r="E49" s="1"/>
      <c r="F49" s="1"/>
      <c r="G49" s="1"/>
      <c r="H49" s="1"/>
      <c r="I49" s="1"/>
      <c r="K49" s="80">
        <v>5</v>
      </c>
      <c r="L49" s="91" t="s">
        <v>163</v>
      </c>
      <c r="M49" s="95" t="s">
        <v>229</v>
      </c>
      <c r="N49" s="91" t="s">
        <v>165</v>
      </c>
      <c r="O49" s="95" t="s">
        <v>228</v>
      </c>
      <c r="P49" s="91" t="s">
        <v>166</v>
      </c>
      <c r="Q49" s="189" t="str">
        <f t="shared" si="0"/>
        <v>EDUC5026</v>
      </c>
      <c r="R49" s="91" t="s">
        <v>161</v>
      </c>
      <c r="S49" s="189" t="str">
        <f t="shared" si="0"/>
        <v>AC-TESOL</v>
      </c>
      <c r="T49" s="91" t="s">
        <v>163</v>
      </c>
      <c r="U49" s="95" t="s">
        <v>231</v>
      </c>
      <c r="V49" s="91" t="s">
        <v>165</v>
      </c>
      <c r="W49" s="95" t="s">
        <v>170</v>
      </c>
      <c r="X49" s="91" t="s">
        <v>166</v>
      </c>
      <c r="Y49" s="95" t="s">
        <v>231</v>
      </c>
      <c r="Z49" s="91" t="s">
        <v>161</v>
      </c>
      <c r="AA49" s="95" t="s">
        <v>230</v>
      </c>
      <c r="AB49"/>
      <c r="AC49"/>
    </row>
    <row r="50" spans="1:29" x14ac:dyDescent="0.25">
      <c r="C50" s="1"/>
      <c r="D50" s="1"/>
      <c r="E50" s="1"/>
      <c r="F50" s="1"/>
      <c r="G50" s="1"/>
      <c r="H50" s="1"/>
      <c r="I50" s="1"/>
      <c r="K50" s="80">
        <v>6</v>
      </c>
      <c r="L50" s="91" t="s">
        <v>165</v>
      </c>
      <c r="M50" s="95"/>
      <c r="N50" s="91" t="s">
        <v>166</v>
      </c>
      <c r="O50" s="95"/>
      <c r="P50" s="91" t="s">
        <v>161</v>
      </c>
      <c r="Q50" s="95"/>
      <c r="R50" s="91" t="s">
        <v>163</v>
      </c>
      <c r="S50" s="95"/>
      <c r="T50" s="91" t="s">
        <v>165</v>
      </c>
      <c r="U50" s="95" t="s">
        <v>179</v>
      </c>
      <c r="V50" s="91" t="s">
        <v>166</v>
      </c>
      <c r="W50" s="95" t="s">
        <v>178</v>
      </c>
      <c r="X50" s="91" t="s">
        <v>161</v>
      </c>
      <c r="Y50" s="95" t="s">
        <v>230</v>
      </c>
      <c r="Z50" s="91" t="s">
        <v>163</v>
      </c>
      <c r="AA50" s="95" t="s">
        <v>178</v>
      </c>
      <c r="AB50"/>
      <c r="AC50"/>
    </row>
    <row r="51" spans="1:29" x14ac:dyDescent="0.25">
      <c r="A51"/>
      <c r="B51" s="1"/>
      <c r="C51" s="1"/>
      <c r="D51" s="1"/>
      <c r="E51" s="1"/>
      <c r="F51" s="1"/>
      <c r="G51" s="1"/>
      <c r="H51" s="1"/>
      <c r="I51" s="1"/>
      <c r="K51" s="80">
        <v>7</v>
      </c>
      <c r="L51" s="91" t="s">
        <v>165</v>
      </c>
      <c r="M51" s="95"/>
      <c r="N51" s="91" t="s">
        <v>166</v>
      </c>
      <c r="O51" s="105"/>
      <c r="P51" s="91" t="s">
        <v>161</v>
      </c>
      <c r="Q51" s="95"/>
      <c r="R51" s="91" t="s">
        <v>163</v>
      </c>
      <c r="S51" s="105"/>
      <c r="T51" s="91" t="s">
        <v>165</v>
      </c>
      <c r="U51" s="95" t="s">
        <v>170</v>
      </c>
      <c r="V51" s="91" t="s">
        <v>166</v>
      </c>
      <c r="W51" s="105" t="s">
        <v>183</v>
      </c>
      <c r="X51" s="91" t="s">
        <v>161</v>
      </c>
      <c r="Y51" s="95" t="s">
        <v>179</v>
      </c>
      <c r="Z51" s="91" t="s">
        <v>163</v>
      </c>
      <c r="AA51" s="105" t="s">
        <v>183</v>
      </c>
      <c r="AB51"/>
      <c r="AC51"/>
    </row>
    <row r="52" spans="1:29" x14ac:dyDescent="0.25">
      <c r="A52" s="71" t="s">
        <v>233</v>
      </c>
      <c r="B52" s="208">
        <v>45552</v>
      </c>
      <c r="G52" s="1"/>
      <c r="H52" s="1"/>
      <c r="I52" s="1"/>
      <c r="K52" s="80">
        <v>8</v>
      </c>
      <c r="L52" s="91" t="s">
        <v>166</v>
      </c>
      <c r="M52" s="95"/>
      <c r="N52" s="91" t="s">
        <v>161</v>
      </c>
      <c r="O52" s="95"/>
      <c r="P52" s="91" t="s">
        <v>163</v>
      </c>
      <c r="Q52" s="95"/>
      <c r="R52" s="91" t="s">
        <v>165</v>
      </c>
      <c r="S52" s="95"/>
      <c r="T52" s="91" t="s">
        <v>166</v>
      </c>
      <c r="U52" s="95" t="s">
        <v>178</v>
      </c>
      <c r="V52" s="91" t="s">
        <v>161</v>
      </c>
      <c r="W52" s="95" t="s">
        <v>230</v>
      </c>
      <c r="X52" s="91" t="s">
        <v>163</v>
      </c>
      <c r="Y52" s="95" t="s">
        <v>178</v>
      </c>
      <c r="Z52" s="91" t="s">
        <v>165</v>
      </c>
      <c r="AA52" s="95" t="s">
        <v>170</v>
      </c>
      <c r="AB52"/>
      <c r="AC52"/>
    </row>
    <row r="53" spans="1:29" x14ac:dyDescent="0.25">
      <c r="A53" s="71" t="s">
        <v>234</v>
      </c>
      <c r="B53" s="208">
        <v>45552</v>
      </c>
      <c r="H53" s="1"/>
      <c r="I53" s="1"/>
      <c r="K53" s="80">
        <v>9</v>
      </c>
      <c r="L53" s="93" t="s">
        <v>166</v>
      </c>
      <c r="M53" s="106"/>
      <c r="N53" s="93" t="s">
        <v>161</v>
      </c>
      <c r="O53" s="92"/>
      <c r="P53" s="93" t="s">
        <v>163</v>
      </c>
      <c r="Q53" s="106"/>
      <c r="R53" s="93" t="s">
        <v>165</v>
      </c>
      <c r="S53" s="92"/>
      <c r="T53" s="93" t="s">
        <v>166</v>
      </c>
      <c r="U53" s="106" t="s">
        <v>183</v>
      </c>
      <c r="V53" s="93" t="s">
        <v>161</v>
      </c>
      <c r="W53" s="92" t="s">
        <v>179</v>
      </c>
      <c r="X53" s="93" t="s">
        <v>163</v>
      </c>
      <c r="Y53" s="106" t="s">
        <v>183</v>
      </c>
      <c r="Z53" s="93" t="s">
        <v>165</v>
      </c>
      <c r="AA53" s="92" t="s">
        <v>179</v>
      </c>
      <c r="AB53"/>
      <c r="AC53"/>
    </row>
    <row r="54" spans="1:29" x14ac:dyDescent="0.25">
      <c r="A54" s="71" t="s">
        <v>235</v>
      </c>
      <c r="B54" s="208">
        <v>45552</v>
      </c>
      <c r="H54" s="1"/>
      <c r="I54" s="1"/>
      <c r="K54" s="80">
        <v>10</v>
      </c>
      <c r="L54" s="91" t="s">
        <v>236</v>
      </c>
      <c r="M54" s="95" t="s">
        <v>228</v>
      </c>
      <c r="N54" s="91" t="s">
        <v>166</v>
      </c>
      <c r="O54" s="189" t="str">
        <f>M54</f>
        <v>AC-TESOL</v>
      </c>
      <c r="P54" s="91" t="s">
        <v>161</v>
      </c>
      <c r="Q54" s="189" t="str">
        <f>O54</f>
        <v>AC-TESOL</v>
      </c>
      <c r="R54" s="91" t="s">
        <v>163</v>
      </c>
      <c r="S54" s="189" t="str">
        <f>Q54</f>
        <v>AC-TESOL</v>
      </c>
      <c r="T54" s="91"/>
      <c r="U54" s="105"/>
      <c r="V54" s="91"/>
      <c r="W54" s="105"/>
      <c r="X54" s="91"/>
      <c r="Y54" s="105"/>
      <c r="Z54" s="91"/>
      <c r="AA54" s="105"/>
    </row>
    <row r="55" spans="1:29" x14ac:dyDescent="0.25">
      <c r="A55" s="71" t="s">
        <v>237</v>
      </c>
      <c r="B55" s="208">
        <v>45552</v>
      </c>
      <c r="H55" s="1"/>
      <c r="I55" s="1"/>
      <c r="K55" s="80">
        <v>11</v>
      </c>
      <c r="L55" s="91" t="s">
        <v>238</v>
      </c>
      <c r="M55" s="95" t="s">
        <v>239</v>
      </c>
      <c r="N55" s="91" t="s">
        <v>161</v>
      </c>
      <c r="O55" s="189" t="str">
        <f t="shared" ref="O55:S56" si="1">M55</f>
        <v>EDUC5022</v>
      </c>
      <c r="P55" s="91" t="s">
        <v>163</v>
      </c>
      <c r="Q55" s="189" t="str">
        <f t="shared" si="1"/>
        <v>EDUC5022</v>
      </c>
      <c r="R55" s="91" t="s">
        <v>165</v>
      </c>
      <c r="S55" s="189" t="str">
        <f t="shared" si="1"/>
        <v>EDUC5022</v>
      </c>
      <c r="T55" s="91"/>
      <c r="U55" s="95"/>
      <c r="V55" s="91"/>
      <c r="W55" s="95"/>
      <c r="X55" s="91"/>
      <c r="Y55" s="95"/>
      <c r="Z55" s="91"/>
      <c r="AA55" s="95"/>
    </row>
    <row r="56" spans="1:29" x14ac:dyDescent="0.25">
      <c r="A56" s="71" t="s">
        <v>240</v>
      </c>
      <c r="B56" s="208">
        <v>45622</v>
      </c>
      <c r="I56" s="1"/>
      <c r="K56" s="80">
        <v>12</v>
      </c>
      <c r="L56" s="93" t="s">
        <v>241</v>
      </c>
      <c r="M56" s="106" t="s">
        <v>242</v>
      </c>
      <c r="N56" s="93" t="s">
        <v>161</v>
      </c>
      <c r="O56" s="190" t="str">
        <f t="shared" si="1"/>
        <v>EDUC5029</v>
      </c>
      <c r="P56" s="93" t="s">
        <v>163</v>
      </c>
      <c r="Q56" s="190" t="str">
        <f t="shared" si="1"/>
        <v>EDUC5029</v>
      </c>
      <c r="R56" s="93" t="s">
        <v>165</v>
      </c>
      <c r="S56" s="190" t="str">
        <f t="shared" si="1"/>
        <v>EDUC5029</v>
      </c>
      <c r="T56" s="93"/>
      <c r="U56" s="106"/>
      <c r="V56" s="93"/>
      <c r="W56" s="92"/>
      <c r="X56" s="93"/>
      <c r="Y56" s="106"/>
      <c r="Z56" s="93"/>
      <c r="AA56" s="92"/>
    </row>
    <row r="57" spans="1:29" x14ac:dyDescent="0.25">
      <c r="A57" s="71" t="s">
        <v>243</v>
      </c>
      <c r="B57" s="208">
        <v>45572</v>
      </c>
      <c r="I57" s="1"/>
    </row>
    <row r="58" spans="1:29" x14ac:dyDescent="0.25">
      <c r="A58" s="71" t="s">
        <v>244</v>
      </c>
      <c r="B58" s="208">
        <v>45572</v>
      </c>
      <c r="I58" s="1"/>
    </row>
    <row r="59" spans="1:29" x14ac:dyDescent="0.25">
      <c r="A59" s="71" t="s">
        <v>245</v>
      </c>
      <c r="B59" s="208">
        <v>45572</v>
      </c>
      <c r="I59" s="1"/>
      <c r="J59" s="172" t="s">
        <v>246</v>
      </c>
      <c r="K59" s="77">
        <v>1</v>
      </c>
      <c r="L59" s="178"/>
      <c r="M59" s="179" t="s">
        <v>247</v>
      </c>
      <c r="N59" s="178"/>
      <c r="O59" s="179" t="s">
        <v>248</v>
      </c>
      <c r="P59" s="178"/>
      <c r="Q59" s="179" t="s">
        <v>249</v>
      </c>
      <c r="R59" s="178"/>
      <c r="S59" s="179" t="s">
        <v>250</v>
      </c>
    </row>
    <row r="60" spans="1:29" x14ac:dyDescent="0.25">
      <c r="A60" s="71" t="s">
        <v>251</v>
      </c>
      <c r="B60" s="208">
        <v>45572</v>
      </c>
      <c r="I60" s="1"/>
      <c r="K60" s="80">
        <v>2</v>
      </c>
      <c r="L60" s="90" t="s">
        <v>161</v>
      </c>
      <c r="M60" s="94" t="s">
        <v>252</v>
      </c>
      <c r="N60" s="90" t="s">
        <v>163</v>
      </c>
      <c r="O60" s="94" t="s">
        <v>253</v>
      </c>
      <c r="P60" s="90" t="s">
        <v>165</v>
      </c>
      <c r="Q60" s="191" t="str">
        <f>M60</f>
        <v>EDHE5001</v>
      </c>
      <c r="R60" s="90" t="s">
        <v>166</v>
      </c>
      <c r="S60" s="191" t="str">
        <f>O60</f>
        <v>EDHE5002</v>
      </c>
    </row>
    <row r="61" spans="1:29" x14ac:dyDescent="0.25">
      <c r="A61" s="71" t="s">
        <v>627</v>
      </c>
      <c r="B61" s="289">
        <v>45622</v>
      </c>
      <c r="I61" s="1"/>
      <c r="K61" s="80">
        <v>3</v>
      </c>
      <c r="L61" s="91" t="s">
        <v>161</v>
      </c>
      <c r="M61" s="95" t="s">
        <v>254</v>
      </c>
      <c r="N61" s="91" t="s">
        <v>163</v>
      </c>
      <c r="O61" s="95" t="s">
        <v>255</v>
      </c>
      <c r="P61" s="91" t="s">
        <v>165</v>
      </c>
      <c r="Q61" s="189" t="str">
        <f t="shared" ref="Q61:Q63" si="2">M61</f>
        <v>EDHE5004</v>
      </c>
      <c r="R61" s="91" t="s">
        <v>166</v>
      </c>
      <c r="S61" s="189" t="str">
        <f t="shared" ref="S61:S63" si="3">O61</f>
        <v>EDHE5005</v>
      </c>
    </row>
    <row r="62" spans="1:29" x14ac:dyDescent="0.25">
      <c r="K62" s="80">
        <v>4</v>
      </c>
      <c r="L62" s="91" t="s">
        <v>163</v>
      </c>
      <c r="M62" s="95" t="s">
        <v>253</v>
      </c>
      <c r="N62" s="91" t="s">
        <v>165</v>
      </c>
      <c r="O62" s="95" t="s">
        <v>252</v>
      </c>
      <c r="P62" s="91" t="s">
        <v>166</v>
      </c>
      <c r="Q62" s="189" t="str">
        <f t="shared" si="2"/>
        <v>EDHE5002</v>
      </c>
      <c r="R62" s="91" t="s">
        <v>161</v>
      </c>
      <c r="S62" s="189" t="str">
        <f t="shared" si="3"/>
        <v>EDHE5001</v>
      </c>
    </row>
    <row r="63" spans="1:29" x14ac:dyDescent="0.25">
      <c r="K63" s="80">
        <v>5</v>
      </c>
      <c r="L63" s="93" t="s">
        <v>163</v>
      </c>
      <c r="M63" s="106" t="s">
        <v>255</v>
      </c>
      <c r="N63" s="93" t="s">
        <v>165</v>
      </c>
      <c r="O63" s="106" t="s">
        <v>254</v>
      </c>
      <c r="P63" s="93" t="s">
        <v>166</v>
      </c>
      <c r="Q63" s="220" t="str">
        <f t="shared" si="2"/>
        <v>EDHE5005</v>
      </c>
      <c r="R63" s="93" t="s">
        <v>161</v>
      </c>
      <c r="S63" s="220" t="str">
        <f t="shared" si="3"/>
        <v>EDHE5004</v>
      </c>
    </row>
    <row r="66" spans="10:19" x14ac:dyDescent="0.25">
      <c r="J66" s="172" t="s">
        <v>256</v>
      </c>
      <c r="K66" s="77">
        <v>1</v>
      </c>
      <c r="L66" s="79"/>
      <c r="M66" s="78" t="s">
        <v>257</v>
      </c>
      <c r="N66" s="79"/>
      <c r="O66" s="78" t="s">
        <v>258</v>
      </c>
      <c r="P66" s="79"/>
      <c r="Q66" s="78" t="s">
        <v>259</v>
      </c>
      <c r="R66" s="79"/>
      <c r="S66" s="78" t="s">
        <v>260</v>
      </c>
    </row>
    <row r="67" spans="10:19" x14ac:dyDescent="0.25">
      <c r="K67" s="80">
        <v>2</v>
      </c>
      <c r="L67" s="90" t="s">
        <v>161</v>
      </c>
      <c r="M67" s="94" t="s">
        <v>167</v>
      </c>
      <c r="N67" s="90" t="s">
        <v>163</v>
      </c>
      <c r="O67" s="94" t="s">
        <v>167</v>
      </c>
      <c r="P67" s="90" t="s">
        <v>165</v>
      </c>
      <c r="Q67" s="94" t="s">
        <v>167</v>
      </c>
      <c r="R67" s="90" t="s">
        <v>166</v>
      </c>
      <c r="S67" s="94" t="s">
        <v>167</v>
      </c>
    </row>
    <row r="68" spans="10:19" x14ac:dyDescent="0.25">
      <c r="K68" s="80">
        <v>3</v>
      </c>
      <c r="L68" s="91" t="s">
        <v>161</v>
      </c>
      <c r="M68" s="95" t="s">
        <v>167</v>
      </c>
      <c r="N68" s="91" t="s">
        <v>163</v>
      </c>
      <c r="O68" s="95" t="s">
        <v>167</v>
      </c>
      <c r="P68" s="91" t="s">
        <v>165</v>
      </c>
      <c r="Q68" s="95" t="s">
        <v>167</v>
      </c>
      <c r="R68" s="91" t="s">
        <v>166</v>
      </c>
      <c r="S68" s="95" t="s">
        <v>167</v>
      </c>
    </row>
    <row r="69" spans="10:19" x14ac:dyDescent="0.25">
      <c r="K69" s="80">
        <v>4</v>
      </c>
      <c r="L69" s="91" t="s">
        <v>163</v>
      </c>
      <c r="M69" s="95" t="s">
        <v>167</v>
      </c>
      <c r="N69" s="91" t="s">
        <v>165</v>
      </c>
      <c r="O69" s="95" t="s">
        <v>167</v>
      </c>
      <c r="P69" s="91" t="s">
        <v>166</v>
      </c>
      <c r="Q69" s="95" t="s">
        <v>167</v>
      </c>
      <c r="R69" s="91" t="s">
        <v>161</v>
      </c>
      <c r="S69" s="95" t="s">
        <v>167</v>
      </c>
    </row>
    <row r="70" spans="10:19" x14ac:dyDescent="0.25">
      <c r="K70" s="80">
        <v>5</v>
      </c>
      <c r="L70" s="93" t="s">
        <v>163</v>
      </c>
      <c r="M70" s="92" t="s">
        <v>167</v>
      </c>
      <c r="N70" s="93" t="s">
        <v>165</v>
      </c>
      <c r="O70" s="92" t="s">
        <v>167</v>
      </c>
      <c r="P70" s="93" t="s">
        <v>166</v>
      </c>
      <c r="Q70" s="92" t="s">
        <v>167</v>
      </c>
      <c r="R70" s="93" t="s">
        <v>161</v>
      </c>
      <c r="S70" s="92" t="s">
        <v>167</v>
      </c>
    </row>
    <row r="71" spans="10:19" x14ac:dyDescent="0.25">
      <c r="K71" s="80">
        <v>6</v>
      </c>
      <c r="L71" s="90" t="s">
        <v>261</v>
      </c>
      <c r="M71" s="94" t="s">
        <v>262</v>
      </c>
      <c r="N71" s="90" t="s">
        <v>261</v>
      </c>
      <c r="O71" s="94" t="s">
        <v>262</v>
      </c>
      <c r="P71" s="90" t="s">
        <v>261</v>
      </c>
      <c r="Q71" s="94" t="s">
        <v>262</v>
      </c>
      <c r="R71" s="90" t="s">
        <v>261</v>
      </c>
      <c r="S71" s="94" t="s">
        <v>262</v>
      </c>
    </row>
    <row r="72" spans="10:19" x14ac:dyDescent="0.25">
      <c r="K72" s="80">
        <v>7</v>
      </c>
      <c r="L72" s="91"/>
      <c r="M72" s="95" t="s">
        <v>75</v>
      </c>
      <c r="N72" s="91"/>
      <c r="O72" s="95" t="s">
        <v>75</v>
      </c>
      <c r="P72" s="91"/>
      <c r="Q72" s="95" t="s">
        <v>75</v>
      </c>
      <c r="R72" s="91"/>
      <c r="S72" s="95" t="s">
        <v>75</v>
      </c>
    </row>
    <row r="73" spans="10:19" x14ac:dyDescent="0.25">
      <c r="K73" s="80">
        <v>8</v>
      </c>
      <c r="L73" s="91"/>
      <c r="M73" s="105" t="s">
        <v>80</v>
      </c>
      <c r="N73" s="91"/>
      <c r="O73" s="95" t="s">
        <v>80</v>
      </c>
      <c r="P73" s="91"/>
      <c r="Q73" s="95" t="s">
        <v>80</v>
      </c>
      <c r="R73" s="91"/>
      <c r="S73" s="95" t="s">
        <v>80</v>
      </c>
    </row>
    <row r="74" spans="10:19" x14ac:dyDescent="0.25">
      <c r="K74" s="80">
        <v>9</v>
      </c>
      <c r="L74" s="91"/>
      <c r="M74" s="95" t="s">
        <v>96</v>
      </c>
      <c r="N74" s="91"/>
      <c r="O74" s="105" t="s">
        <v>96</v>
      </c>
      <c r="P74" s="91"/>
      <c r="Q74" s="105" t="s">
        <v>96</v>
      </c>
      <c r="R74" s="91"/>
      <c r="S74" s="105" t="s">
        <v>96</v>
      </c>
    </row>
    <row r="75" spans="10:19" x14ac:dyDescent="0.25">
      <c r="K75" s="80">
        <v>10</v>
      </c>
      <c r="L75" s="91"/>
      <c r="M75" s="105" t="s">
        <v>95</v>
      </c>
      <c r="N75" s="91"/>
      <c r="O75" s="105" t="s">
        <v>95</v>
      </c>
      <c r="P75" s="91"/>
      <c r="Q75" s="105" t="s">
        <v>95</v>
      </c>
      <c r="R75" s="91"/>
      <c r="S75" s="105" t="s">
        <v>95</v>
      </c>
    </row>
    <row r="76" spans="10:19" x14ac:dyDescent="0.25">
      <c r="K76" s="80">
        <v>11</v>
      </c>
      <c r="L76" s="91"/>
      <c r="M76" s="105" t="s">
        <v>263</v>
      </c>
      <c r="N76" s="91"/>
      <c r="O76" s="105" t="s">
        <v>263</v>
      </c>
      <c r="P76" s="91"/>
      <c r="Q76" s="105" t="s">
        <v>263</v>
      </c>
      <c r="R76" s="91"/>
      <c r="S76" s="105" t="s">
        <v>263</v>
      </c>
    </row>
    <row r="77" spans="10:19" x14ac:dyDescent="0.25">
      <c r="K77" s="80">
        <v>12</v>
      </c>
      <c r="L77" s="91"/>
      <c r="M77" s="95" t="s">
        <v>264</v>
      </c>
      <c r="N77" s="91"/>
      <c r="O77" s="95" t="s">
        <v>264</v>
      </c>
      <c r="P77" s="91"/>
      <c r="Q77" s="95" t="s">
        <v>264</v>
      </c>
      <c r="R77" s="91"/>
      <c r="S77" s="95" t="s">
        <v>264</v>
      </c>
    </row>
    <row r="78" spans="10:19" x14ac:dyDescent="0.25">
      <c r="K78" s="80">
        <v>13</v>
      </c>
      <c r="L78" s="91"/>
      <c r="M78" s="95" t="s">
        <v>84</v>
      </c>
      <c r="N78" s="91"/>
      <c r="O78" s="95" t="s">
        <v>84</v>
      </c>
      <c r="P78" s="91"/>
      <c r="Q78" s="95" t="s">
        <v>84</v>
      </c>
      <c r="R78" s="91"/>
      <c r="S78" s="95" t="s">
        <v>84</v>
      </c>
    </row>
    <row r="79" spans="10:19" x14ac:dyDescent="0.25">
      <c r="K79" s="80">
        <v>14</v>
      </c>
      <c r="L79" s="91"/>
      <c r="M79" s="95" t="s">
        <v>107</v>
      </c>
      <c r="N79" s="91"/>
      <c r="O79" s="95" t="s">
        <v>107</v>
      </c>
      <c r="P79" s="91"/>
      <c r="Q79" s="95" t="s">
        <v>107</v>
      </c>
      <c r="R79" s="91"/>
      <c r="S79" s="95" t="s">
        <v>107</v>
      </c>
    </row>
    <row r="80" spans="10:19" x14ac:dyDescent="0.25">
      <c r="K80" s="80">
        <v>15</v>
      </c>
      <c r="L80" s="91"/>
      <c r="M80" s="95" t="s">
        <v>83</v>
      </c>
      <c r="N80" s="91"/>
      <c r="O80" s="95" t="s">
        <v>83</v>
      </c>
      <c r="P80" s="91"/>
      <c r="Q80" s="95" t="s">
        <v>83</v>
      </c>
      <c r="R80" s="91"/>
      <c r="S80" s="95" t="s">
        <v>83</v>
      </c>
    </row>
    <row r="81" spans="11:19" x14ac:dyDescent="0.25">
      <c r="K81" s="80">
        <v>16</v>
      </c>
      <c r="L81" s="91"/>
      <c r="M81" s="95" t="s">
        <v>264</v>
      </c>
      <c r="N81" s="91"/>
      <c r="O81" s="95" t="s">
        <v>264</v>
      </c>
      <c r="P81" s="91"/>
      <c r="Q81" s="95" t="s">
        <v>264</v>
      </c>
      <c r="R81" s="91"/>
      <c r="S81" s="95" t="s">
        <v>264</v>
      </c>
    </row>
    <row r="82" spans="11:19" x14ac:dyDescent="0.25">
      <c r="K82" s="80">
        <v>17</v>
      </c>
      <c r="L82" s="91"/>
      <c r="M82" s="95" t="s">
        <v>87</v>
      </c>
      <c r="N82" s="91"/>
      <c r="O82" s="95" t="s">
        <v>87</v>
      </c>
      <c r="P82" s="91"/>
      <c r="Q82" s="95" t="s">
        <v>87</v>
      </c>
      <c r="R82" s="91"/>
      <c r="S82" s="95" t="s">
        <v>87</v>
      </c>
    </row>
    <row r="83" spans="11:19" x14ac:dyDescent="0.25">
      <c r="K83" s="80">
        <v>18</v>
      </c>
      <c r="L83" s="91"/>
      <c r="M83" s="95" t="s">
        <v>86</v>
      </c>
      <c r="N83" s="91"/>
      <c r="O83" s="95" t="s">
        <v>86</v>
      </c>
      <c r="P83" s="91"/>
      <c r="Q83" s="95" t="s">
        <v>86</v>
      </c>
      <c r="R83" s="91"/>
      <c r="S83" s="95" t="s">
        <v>86</v>
      </c>
    </row>
    <row r="84" spans="11:19" x14ac:dyDescent="0.25">
      <c r="K84" s="80">
        <v>19</v>
      </c>
      <c r="L84" s="91"/>
      <c r="M84" s="95" t="s">
        <v>115</v>
      </c>
      <c r="N84" s="91"/>
      <c r="O84" s="95" t="s">
        <v>115</v>
      </c>
      <c r="P84" s="91"/>
      <c r="Q84" s="95" t="s">
        <v>115</v>
      </c>
      <c r="R84" s="91"/>
      <c r="S84" s="95" t="s">
        <v>115</v>
      </c>
    </row>
    <row r="85" spans="11:19" x14ac:dyDescent="0.25">
      <c r="K85" s="80">
        <v>20</v>
      </c>
      <c r="L85" s="93"/>
      <c r="M85" s="106" t="s">
        <v>108</v>
      </c>
      <c r="N85" s="93"/>
      <c r="O85" s="106" t="s">
        <v>108</v>
      </c>
      <c r="P85" s="93"/>
      <c r="Q85" s="106" t="s">
        <v>108</v>
      </c>
      <c r="R85" s="93"/>
      <c r="S85" s="106" t="s">
        <v>108</v>
      </c>
    </row>
  </sheetData>
  <sortState xmlns:xlrd2="http://schemas.microsoft.com/office/spreadsheetml/2017/richdata2" ref="M71:M76">
    <sortCondition ref="M71"/>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59999389629810485"/>
    <pageSetUpPr fitToPage="1"/>
  </sheetPr>
  <dimension ref="A1:W48"/>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10.375" style="9" customWidth="1"/>
    <col min="4" max="4" width="50.125" style="8" bestFit="1"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0" t="s">
        <v>12</v>
      </c>
      <c r="G5" s="139" t="str">
        <f>IFERROR(CONCATENATE(VLOOKUP(D5,TableCourses[],2,FALSE)," ",VLOOKUP(D5,TableCourses[],3,FALSE)),"")</f>
        <v>OM-TEACH1 v.2</v>
      </c>
      <c r="H5" s="11"/>
      <c r="I5" s="11"/>
      <c r="J5" s="11"/>
      <c r="K5" s="11"/>
      <c r="L5" s="12"/>
    </row>
    <row r="6" spans="1:23" ht="20.100000000000001" customHeight="1" x14ac:dyDescent="0.25">
      <c r="B6" s="10"/>
      <c r="C6" s="126" t="s">
        <v>13</v>
      </c>
      <c r="D6" s="116" t="s">
        <v>131</v>
      </c>
      <c r="E6" s="11"/>
      <c r="F6" s="10" t="s">
        <v>15</v>
      </c>
      <c r="G6" s="11" t="str">
        <f>IFERROR(CONCATENATE(VLOOKUP(D6,TableMajorsMTeach[],2,FALSE)," ",VLOOKUP(D6,TableMajorsMTeach[],3,FALSE)),"")</f>
        <v>OUMP-TCHSE v.3</v>
      </c>
      <c r="H6" s="11"/>
      <c r="I6" s="11"/>
      <c r="J6" s="11"/>
      <c r="K6" s="11"/>
      <c r="L6" s="218" t="e">
        <f>CONCATENATE(VLOOKUP(D6,TableMajorsMTeach[],2,FALSE),VLOOKUP(D9,TableStudyPeriods[],2,FALSE))</f>
        <v>#N/A</v>
      </c>
    </row>
    <row r="7" spans="1:23" ht="20.100000000000001" customHeight="1" x14ac:dyDescent="0.25">
      <c r="B7" s="10"/>
      <c r="C7" s="126" t="s">
        <v>265</v>
      </c>
      <c r="D7" s="221" t="s">
        <v>285</v>
      </c>
      <c r="E7" s="11"/>
      <c r="F7" s="10"/>
      <c r="G7" s="11"/>
      <c r="H7" s="11"/>
      <c r="I7" s="11"/>
      <c r="J7" s="11"/>
      <c r="K7" s="11"/>
      <c r="L7" s="218" t="e">
        <f>VLOOKUP(D7,TableFirstTeachingArea[],2,FALSE)</f>
        <v>#N/A</v>
      </c>
    </row>
    <row r="8" spans="1:23" ht="20.100000000000001" customHeight="1" x14ac:dyDescent="0.25">
      <c r="B8" s="10"/>
      <c r="C8" s="126" t="s">
        <v>267</v>
      </c>
      <c r="D8" s="252" t="s">
        <v>301</v>
      </c>
      <c r="E8" s="11"/>
      <c r="F8" s="10"/>
      <c r="G8" s="11"/>
      <c r="H8" s="11"/>
      <c r="I8" s="11"/>
      <c r="J8" s="11"/>
      <c r="K8" s="11"/>
      <c r="L8" s="218" t="e">
        <f>VLOOKUP(D8,TableSecondTeachingArea[],2,FALSE)</f>
        <v>#N/A</v>
      </c>
    </row>
    <row r="9" spans="1:23" ht="20.100000000000001" customHeight="1" x14ac:dyDescent="0.25">
      <c r="A9" s="13"/>
      <c r="B9" s="14"/>
      <c r="C9" s="126" t="s">
        <v>16</v>
      </c>
      <c r="D9" s="117" t="s">
        <v>17</v>
      </c>
      <c r="E9" s="15"/>
      <c r="F9" s="10" t="s">
        <v>18</v>
      </c>
      <c r="G9" s="11" t="str">
        <f>IFERROR(VLOOKUP($D$5,TableCourses[],7,FALSE),"")</f>
        <v>400 credit points required</v>
      </c>
      <c r="H9" s="66"/>
      <c r="I9" s="66"/>
      <c r="J9" s="66"/>
      <c r="K9" s="66"/>
      <c r="L9" s="66"/>
      <c r="M9" s="16"/>
      <c r="N9" s="16"/>
      <c r="O9" s="16"/>
      <c r="P9" s="16"/>
      <c r="Q9" s="16"/>
      <c r="R9" s="16"/>
      <c r="S9" s="16"/>
      <c r="T9" s="16"/>
      <c r="U9" s="16"/>
      <c r="V9" s="16"/>
      <c r="W9" s="16"/>
    </row>
    <row r="10" spans="1:23" s="19" customFormat="1" ht="14.1" customHeight="1" x14ac:dyDescent="0.25">
      <c r="A10" s="107"/>
      <c r="B10" s="107"/>
      <c r="C10" s="107"/>
      <c r="D10" s="108"/>
      <c r="E10" s="109"/>
      <c r="F10" s="107"/>
      <c r="G10" s="107"/>
      <c r="H10" s="110" t="s">
        <v>19</v>
      </c>
      <c r="I10" s="123"/>
      <c r="J10" s="123"/>
      <c r="K10" s="111"/>
      <c r="L10" s="112"/>
      <c r="M10" s="17"/>
      <c r="N10" s="17"/>
      <c r="O10" s="17"/>
      <c r="P10" s="18"/>
      <c r="Q10" s="18"/>
      <c r="R10" s="18"/>
      <c r="S10" s="18"/>
      <c r="T10" s="18"/>
      <c r="U10" s="18"/>
      <c r="V10" s="18"/>
      <c r="W10" s="18"/>
    </row>
    <row r="11" spans="1:23" s="19" customFormat="1" ht="21" x14ac:dyDescent="0.25">
      <c r="A11" s="107" t="s">
        <v>20</v>
      </c>
      <c r="B11" s="107"/>
      <c r="C11" s="125" t="s">
        <v>21</v>
      </c>
      <c r="D11" s="108" t="s">
        <v>3</v>
      </c>
      <c r="E11" s="125" t="s">
        <v>22</v>
      </c>
      <c r="F11" s="107" t="s">
        <v>23</v>
      </c>
      <c r="G11" s="107" t="s">
        <v>24</v>
      </c>
      <c r="H11" s="264" t="s">
        <v>25</v>
      </c>
      <c r="I11" s="265" t="s">
        <v>26</v>
      </c>
      <c r="J11" s="265" t="s">
        <v>27</v>
      </c>
      <c r="K11" s="270" t="s">
        <v>28</v>
      </c>
      <c r="L11" s="113" t="s">
        <v>29</v>
      </c>
      <c r="M11" s="17"/>
      <c r="N11" s="17"/>
      <c r="O11" s="17"/>
      <c r="P11" s="18"/>
      <c r="Q11" s="18"/>
      <c r="R11" s="18"/>
      <c r="S11" s="18"/>
      <c r="T11" s="18"/>
      <c r="U11" s="18"/>
      <c r="V11" s="18"/>
      <c r="W11" s="18"/>
    </row>
    <row r="12" spans="1:23" s="22" customFormat="1" ht="21" customHeight="1" x14ac:dyDescent="0.15">
      <c r="A12" s="56" t="str">
        <f>IFERROR(IF(HLOOKUP($L$6,RangeUnitsetsSec,M12,FALSE)=0,"",HLOOKUP($L$6,RangeUnitsetsSec,M12,FALSE)),"")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IF(OR(A12="",A12="--"),"",VLOOKUP($D$9,TableStudyPeriods[],2,FALSE))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74" t="str">
        <f>IFERROR(VLOOKUP($A12,TableHandbook[],K$2,FALSE),"")</f>
        <v/>
      </c>
      <c r="L12" s="58"/>
      <c r="M12" s="157">
        <v>2</v>
      </c>
      <c r="N12" s="20"/>
      <c r="O12" s="20"/>
      <c r="P12" s="21"/>
      <c r="Q12" s="21"/>
      <c r="R12" s="21"/>
      <c r="S12" s="21"/>
      <c r="T12" s="21"/>
      <c r="U12" s="21"/>
      <c r="V12" s="21"/>
      <c r="W12" s="21"/>
    </row>
    <row r="13" spans="1:23" s="22" customFormat="1" ht="21" customHeight="1" x14ac:dyDescent="0.15">
      <c r="A13" s="56" t="str">
        <f>IFERROR(IF(HLOOKUP($L$6,RangeUnitsetsSec,M13,FALSE)=0,"",HLOOKUP($L$6,RangeUnitsetsSec,M13,FALSE)),"")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74" t="str">
        <f>IFERROR(VLOOKUP($A13,TableHandbook[],K$2,FALSE),"")</f>
        <v/>
      </c>
      <c r="L13" s="58"/>
      <c r="M13" s="157">
        <v>3</v>
      </c>
      <c r="N13" s="20"/>
      <c r="O13" s="20"/>
      <c r="P13" s="21"/>
      <c r="Q13" s="21"/>
      <c r="R13" s="21"/>
      <c r="S13" s="21"/>
      <c r="T13" s="21"/>
      <c r="U13" s="21"/>
      <c r="V13" s="21"/>
      <c r="W13" s="21"/>
    </row>
    <row r="14" spans="1:23" s="22" customFormat="1" ht="6" customHeight="1" x14ac:dyDescent="0.15">
      <c r="A14" s="198"/>
      <c r="B14" s="199"/>
      <c r="C14" s="199"/>
      <c r="D14" s="200"/>
      <c r="E14" s="199"/>
      <c r="F14" s="201"/>
      <c r="G14" s="199"/>
      <c r="H14" s="268"/>
      <c r="I14" s="269"/>
      <c r="J14" s="269"/>
      <c r="K14" s="277"/>
      <c r="L14" s="204"/>
      <c r="M14" s="157"/>
      <c r="N14" s="20"/>
      <c r="O14" s="20"/>
      <c r="P14" s="20"/>
      <c r="Q14" s="21"/>
      <c r="R14" s="21"/>
      <c r="S14" s="21"/>
      <c r="T14" s="21"/>
      <c r="U14" s="21"/>
      <c r="V14" s="21"/>
      <c r="W14" s="21"/>
    </row>
    <row r="15" spans="1:23" s="22" customFormat="1" ht="21" customHeight="1" x14ac:dyDescent="0.15">
      <c r="A15" s="56" t="str">
        <f>IFERROR(IF(HLOOKUP($L$6,RangeUnitsetsSec,M15,FALSE)=0,"",HLOOKUP($L$6,RangeUnitsetsSec,M15,FALSE)),"")</f>
        <v/>
      </c>
      <c r="B15" s="50" t="str">
        <f>IFERROR(IF(VLOOKUP($A15,TableHandbook[],2,FALSE)=0,"",VLOOKUP($A15,TableHandbook[],2,FALSE)),"")</f>
        <v/>
      </c>
      <c r="C15" s="50" t="str">
        <f>IFERROR(IF(VLOOKUP($A15,TableHandbook[],3,FALSE)=0,"",VLOOKUP($A15,TableHandbook[],3,FALSE)),"")</f>
        <v/>
      </c>
      <c r="D15" s="57" t="str">
        <f>IFERROR(IF(VLOOKUP($A15,TableHandbook[],4,FALSE)=0,"",VLOOKUP($A15,TableHandbook[],4,FALSE)),"")</f>
        <v/>
      </c>
      <c r="E15" s="50" t="str">
        <f>IF(OR(A15="",A15="--"),"",VLOOKUP($D$9,TableStudyPeriods[],3,FALSE))</f>
        <v/>
      </c>
      <c r="F15" s="49" t="str">
        <f>IFERROR(IF(VLOOKUP($A15,TableHandbook[],6,FALSE)=0,"",VLOOKUP($A15,TableHandbook[],6,FALSE)),"")</f>
        <v/>
      </c>
      <c r="G15" s="50" t="str">
        <f>IFERROR(IF(VLOOKUP($A15,TableHandbook[],5,FALSE)=0,"",VLOOKUP($A15,TableHandbook[],5,FALSE)),"")</f>
        <v/>
      </c>
      <c r="H15" s="266" t="str">
        <f>IFERROR(VLOOKUP($A15,TableHandbook[],H$2,FALSE),"")</f>
        <v/>
      </c>
      <c r="I15" s="267" t="str">
        <f>IFERROR(VLOOKUP($A15,TableHandbook[],I$2,FALSE),"")</f>
        <v/>
      </c>
      <c r="J15" s="267" t="str">
        <f>IFERROR(VLOOKUP($A15,TableHandbook[],J$2,FALSE),"")</f>
        <v/>
      </c>
      <c r="K15" s="274" t="str">
        <f>IFERROR(VLOOKUP($A15,TableHandbook[],K$2,FALSE),"")</f>
        <v/>
      </c>
      <c r="L15" s="59"/>
      <c r="M15" s="157">
        <v>4</v>
      </c>
      <c r="N15" s="20"/>
      <c r="O15" s="20"/>
      <c r="P15" s="21"/>
      <c r="Q15" s="21"/>
      <c r="R15" s="21"/>
      <c r="S15" s="21"/>
      <c r="T15" s="21"/>
      <c r="U15" s="21"/>
      <c r="V15" s="21"/>
      <c r="W15" s="21"/>
    </row>
    <row r="16" spans="1:23" s="22" customFormat="1" ht="21" customHeight="1" x14ac:dyDescent="0.15">
      <c r="A16" s="56" t="str">
        <f>IFERROR(IF(HLOOKUP($L$6,RangeUnitsetsSec,M16,FALSE)=0,"",HLOOKUP($L$6,RangeUnitsetsSec,M16,FALSE)),"")</f>
        <v/>
      </c>
      <c r="B16" s="50" t="str">
        <f>IFERROR(IF(VLOOKUP($A16,TableHandbook[],2,FALSE)=0,"",VLOOKUP($A16,TableHandbook[],2,FALSE)),"")</f>
        <v/>
      </c>
      <c r="C16" s="50" t="str">
        <f>IFERROR(IF(VLOOKUP($A16,TableHandbook[],3,FALSE)=0,"",VLOOKUP($A16,TableHandbook[],3,FALSE)),"")</f>
        <v/>
      </c>
      <c r="D16" s="57" t="str">
        <f>IFERROR(IF(VLOOKUP($A16,TableHandbook[],4,FALSE)=0,"",VLOOKUP($A16,TableHandbook[],4,FALSE)),"")</f>
        <v/>
      </c>
      <c r="E16" s="50" t="str">
        <f>IF(A16="","",E15)</f>
        <v/>
      </c>
      <c r="F16" s="49" t="str">
        <f>IFERROR(IF(VLOOKUP($A16,TableHandbook[],6,FALSE)=0,"",VLOOKUP($A16,TableHandbook[],6,FALSE)),"")</f>
        <v/>
      </c>
      <c r="G16" s="50" t="str">
        <f>IFERROR(IF(VLOOKUP($A16,TableHandbook[],5,FALSE)=0,"",VLOOKUP($A16,TableHandbook[],5,FALSE)),"")</f>
        <v/>
      </c>
      <c r="H16" s="266" t="str">
        <f>IFERROR(VLOOKUP($A16,TableHandbook[],H$2,FALSE),"")</f>
        <v/>
      </c>
      <c r="I16" s="267" t="str">
        <f>IFERROR(VLOOKUP($A16,TableHandbook[],I$2,FALSE),"")</f>
        <v/>
      </c>
      <c r="J16" s="267" t="str">
        <f>IFERROR(VLOOKUP($A16,TableHandbook[],J$2,FALSE),"")</f>
        <v/>
      </c>
      <c r="K16" s="274" t="str">
        <f>IFERROR(VLOOKUP($A16,TableHandbook[],K$2,FALSE),"")</f>
        <v/>
      </c>
      <c r="L16" s="58"/>
      <c r="M16" s="157">
        <v>5</v>
      </c>
      <c r="N16" s="20"/>
      <c r="O16" s="20"/>
      <c r="P16" s="21"/>
      <c r="Q16" s="21"/>
      <c r="R16" s="21"/>
      <c r="S16" s="21"/>
      <c r="T16" s="21"/>
      <c r="U16" s="21"/>
      <c r="V16" s="21"/>
      <c r="W16" s="21"/>
    </row>
    <row r="17" spans="1:23" s="22" customFormat="1" ht="6" customHeight="1" x14ac:dyDescent="0.15">
      <c r="A17" s="198"/>
      <c r="B17" s="199"/>
      <c r="C17" s="199"/>
      <c r="D17" s="200"/>
      <c r="E17" s="199"/>
      <c r="F17" s="201"/>
      <c r="G17" s="199"/>
      <c r="H17" s="268"/>
      <c r="I17" s="269"/>
      <c r="J17" s="269"/>
      <c r="K17" s="277"/>
      <c r="L17" s="204"/>
      <c r="M17" s="157"/>
      <c r="N17" s="20"/>
      <c r="O17" s="20"/>
      <c r="P17" s="20"/>
      <c r="Q17" s="21"/>
      <c r="R17" s="21"/>
      <c r="S17" s="21"/>
      <c r="T17" s="21"/>
      <c r="U17" s="21"/>
      <c r="V17" s="21"/>
      <c r="W17" s="21"/>
    </row>
    <row r="18" spans="1:23" s="22" customFormat="1" ht="21" customHeight="1" x14ac:dyDescent="0.15">
      <c r="A18" s="56" t="str">
        <f>IFERROR(IF(HLOOKUP($L$6,RangeUnitsetsSec,M18,FALSE)=0,"",HLOOKUP($L$6,RangeUnitsetsSec,M18,FALSE)),"")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IF(OR(A18="",A18="--"),"",VLOOKUP($D$9,TableStudyPeriods[],4,FALSE))</f>
        <v/>
      </c>
      <c r="F18" s="49" t="str">
        <f>IFERROR(IF(VLOOKUP($A18,TableHandbook[],6,FALSE)=0,"",VLOOKUP($A18,TableHandbook[],6,FALSE)),"")</f>
        <v/>
      </c>
      <c r="G18" s="52" t="str">
        <f>IFERROR(IF(VLOOKUP($A18,TableHandbook[],5,FALSE)=0,"",VLOOKUP($A18,TableHandbook[],5,FALSE)),"")</f>
        <v/>
      </c>
      <c r="H18" s="271" t="str">
        <f>IFERROR(VLOOKUP($A18,TableHandbook[],H$2,FALSE),"")</f>
        <v/>
      </c>
      <c r="I18" s="272" t="str">
        <f>IFERROR(VLOOKUP($A18,TableHandbook[],I$2,FALSE),"")</f>
        <v/>
      </c>
      <c r="J18" s="272" t="str">
        <f>IFERROR(VLOOKUP($A18,TableHandbook[],J$2,FALSE),"")</f>
        <v/>
      </c>
      <c r="K18" s="273" t="str">
        <f>IFERROR(VLOOKUP($A18,TableHandbook[],K$2,FALSE),"")</f>
        <v/>
      </c>
      <c r="L18" s="59"/>
      <c r="M18" s="157">
        <v>6</v>
      </c>
      <c r="N18" s="20"/>
      <c r="O18" s="20"/>
      <c r="P18" s="21"/>
      <c r="Q18" s="21"/>
      <c r="R18" s="21"/>
      <c r="S18" s="21"/>
      <c r="T18" s="21"/>
      <c r="U18" s="21"/>
      <c r="V18" s="21"/>
      <c r="W18" s="21"/>
    </row>
    <row r="19" spans="1:23" s="31" customFormat="1" ht="21" customHeight="1" x14ac:dyDescent="0.15">
      <c r="A19" s="56" t="str">
        <f>IFERROR(IF(HLOOKUP($L$6,RangeUnitsetsSec,M19,FALSE)=0,"",HLOOKUP($L$6,RangeUnitsetsSec,M19,FALSE)),"")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IF(A19="","",E18)</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3" t="str">
        <f>IFERROR(VLOOKUP($A19,TableHandbook[],K$2,FALSE),"")</f>
        <v/>
      </c>
      <c r="L19" s="59"/>
      <c r="M19" s="157">
        <v>7</v>
      </c>
      <c r="N19" s="29"/>
      <c r="O19" s="29"/>
      <c r="P19" s="30"/>
      <c r="Q19" s="30"/>
      <c r="R19" s="30"/>
      <c r="S19" s="30"/>
      <c r="T19" s="30"/>
      <c r="U19" s="30"/>
      <c r="V19" s="30"/>
      <c r="W19" s="30"/>
    </row>
    <row r="20" spans="1:23" s="22" customFormat="1" ht="6" customHeight="1" x14ac:dyDescent="0.15">
      <c r="A20" s="198"/>
      <c r="B20" s="199"/>
      <c r="C20" s="199"/>
      <c r="D20" s="200"/>
      <c r="E20" s="199"/>
      <c r="F20" s="201"/>
      <c r="G20" s="199"/>
      <c r="H20" s="268"/>
      <c r="I20" s="269"/>
      <c r="J20" s="269"/>
      <c r="K20" s="277"/>
      <c r="L20" s="204"/>
      <c r="M20" s="157"/>
      <c r="N20" s="20"/>
      <c r="O20" s="20"/>
      <c r="P20" s="20"/>
      <c r="Q20" s="21"/>
      <c r="R20" s="21"/>
      <c r="S20" s="21"/>
      <c r="T20" s="21"/>
      <c r="U20" s="21"/>
      <c r="V20" s="21"/>
      <c r="W20" s="21"/>
    </row>
    <row r="21" spans="1:23" s="31" customFormat="1" ht="21" customHeight="1" x14ac:dyDescent="0.15">
      <c r="A21" s="56" t="str">
        <f>IFERROR(IF(HLOOKUP($L$6,RangeUnitsetsSec,M21,FALSE)=0,"",HLOOKUP($L$6,RangeUnitsetsSec,M21,FALSE)),"")</f>
        <v/>
      </c>
      <c r="B21" s="52" t="str">
        <f>IFERROR(IF(VLOOKUP($A21,TableHandbook[],2,FALSE)=0,"",VLOOKUP($A21,TableHandbook[],2,FALSE)),"")</f>
        <v/>
      </c>
      <c r="C21" s="52" t="str">
        <f>IFERROR(IF(VLOOKUP($A21,TableHandbook[],3,FALSE)=0,"",VLOOKUP($A21,TableHandbook[],3,FALSE)),"")</f>
        <v/>
      </c>
      <c r="D21" s="57" t="str">
        <f>IFERROR(IF(VLOOKUP($A21,TableHandbook[],4,FALSE)=0,"",VLOOKUP($A21,TableHandbook[],4,FALSE)),"")</f>
        <v/>
      </c>
      <c r="E21" s="50" t="str">
        <f>IF(OR(A21="",A21="--"),"",VLOOKUP($D$9,TableStudyPeriods[],5,FALSE))</f>
        <v/>
      </c>
      <c r="F21" s="49" t="str">
        <f>IFERROR(IF(VLOOKUP($A21,TableHandbook[],6,FALSE)=0,"",VLOOKUP($A21,TableHandbook[],6,FALSE)),"")</f>
        <v/>
      </c>
      <c r="G21" s="52" t="str">
        <f>IFERROR(IF(VLOOKUP($A21,TableHandbook[],5,FALSE)=0,"",VLOOKUP($A21,TableHandbook[],5,FALSE)),"")</f>
        <v/>
      </c>
      <c r="H21" s="271" t="str">
        <f>IFERROR(VLOOKUP($A21,TableHandbook[],H$2,FALSE),"")</f>
        <v/>
      </c>
      <c r="I21" s="272" t="str">
        <f>IFERROR(VLOOKUP($A21,TableHandbook[],I$2,FALSE),"")</f>
        <v/>
      </c>
      <c r="J21" s="272" t="str">
        <f>IFERROR(VLOOKUP($A21,TableHandbook[],J$2,FALSE),"")</f>
        <v/>
      </c>
      <c r="K21" s="273" t="str">
        <f>IFERROR(VLOOKUP($A21,TableHandbook[],K$2,FALSE),"")</f>
        <v/>
      </c>
      <c r="L21" s="59"/>
      <c r="M21" s="157">
        <v>8</v>
      </c>
      <c r="N21" s="29"/>
      <c r="O21" s="29"/>
      <c r="P21" s="30"/>
      <c r="Q21" s="30"/>
      <c r="R21" s="30"/>
      <c r="S21" s="30"/>
      <c r="T21" s="30"/>
      <c r="U21" s="30"/>
      <c r="V21" s="30"/>
      <c r="W21" s="30"/>
    </row>
    <row r="22" spans="1:23" s="31" customFormat="1" ht="21" customHeight="1" x14ac:dyDescent="0.15">
      <c r="A22" s="56" t="str">
        <f>IFERROR(IF(HLOOKUP($L$6,RangeUnitsetsSec,M22,FALSE)=0,"",HLOOKUP($L$6,RangeUnitsetsSec,M22,FALSE)),"")</f>
        <v/>
      </c>
      <c r="B22" s="52" t="str">
        <f>IFERROR(IF(VLOOKUP($A22,TableHandbook[],2,FALSE)=0,"",VLOOKUP($A22,TableHandbook[],2,FALSE)),"")</f>
        <v/>
      </c>
      <c r="C22" s="52" t="str">
        <f>IFERROR(IF(VLOOKUP($A22,TableHandbook[],3,FALSE)=0,"",VLOOKUP($A22,TableHandbook[],3,FALSE)),"")</f>
        <v/>
      </c>
      <c r="D22" s="55" t="str">
        <f>IFERROR(IF(VLOOKUP($A22,TableHandbook[],4,FALSE)=0,"",VLOOKUP($A22,TableHandbook[],4,FALSE)),"")</f>
        <v/>
      </c>
      <c r="E22" s="52" t="str">
        <f>IF(A22="","",E21)</f>
        <v/>
      </c>
      <c r="F22" s="49" t="str">
        <f>IFERROR(IF(VLOOKUP($A22,TableHandbook[],6,FALSE)=0,"",VLOOKUP($A22,TableHandbook[],6,FALSE)),"")</f>
        <v/>
      </c>
      <c r="G22" s="52" t="str">
        <f>IFERROR(IF(VLOOKUP($A22,TableHandbook[],5,FALSE)=0,"",VLOOKUP($A22,TableHandbook[],5,FALSE)),"")</f>
        <v/>
      </c>
      <c r="H22" s="271" t="str">
        <f>IFERROR(VLOOKUP($A22,TableHandbook[],H$2,FALSE),"")</f>
        <v/>
      </c>
      <c r="I22" s="272" t="str">
        <f>IFERROR(VLOOKUP($A22,TableHandbook[],I$2,FALSE),"")</f>
        <v/>
      </c>
      <c r="J22" s="272" t="str">
        <f>IFERROR(VLOOKUP($A22,TableHandbook[],J$2,FALSE),"")</f>
        <v/>
      </c>
      <c r="K22" s="273" t="str">
        <f>IFERROR(VLOOKUP($A22,TableHandbook[],K$2,FALSE),"")</f>
        <v/>
      </c>
      <c r="L22" s="59"/>
      <c r="M22" s="157">
        <v>9</v>
      </c>
      <c r="N22" s="29"/>
      <c r="O22" s="29"/>
      <c r="P22" s="30"/>
      <c r="Q22" s="30"/>
      <c r="R22" s="30"/>
      <c r="S22" s="30"/>
      <c r="T22" s="30"/>
      <c r="U22" s="30"/>
      <c r="V22" s="30"/>
      <c r="W22" s="30"/>
    </row>
    <row r="23" spans="1:23" s="19" customFormat="1" ht="21" x14ac:dyDescent="0.25">
      <c r="A23" s="107" t="s">
        <v>30</v>
      </c>
      <c r="B23" s="107"/>
      <c r="C23" s="125" t="s">
        <v>21</v>
      </c>
      <c r="D23" s="108" t="s">
        <v>3</v>
      </c>
      <c r="E23" s="125" t="s">
        <v>22</v>
      </c>
      <c r="F23" s="107" t="s">
        <v>23</v>
      </c>
      <c r="G23" s="107" t="s">
        <v>24</v>
      </c>
      <c r="H23" s="264" t="str">
        <f>H$11</f>
        <v>SP1</v>
      </c>
      <c r="I23" s="265" t="str">
        <f t="shared" ref="I23:L23" si="0">I$11</f>
        <v>SP2</v>
      </c>
      <c r="J23" s="265" t="str">
        <f t="shared" si="0"/>
        <v>SP3</v>
      </c>
      <c r="K23" s="270" t="str">
        <f t="shared" si="0"/>
        <v>SP4</v>
      </c>
      <c r="L23" s="113" t="str">
        <f t="shared" si="0"/>
        <v>Notes / Progress</v>
      </c>
      <c r="M23" s="158"/>
      <c r="N23" s="17"/>
      <c r="O23" s="17"/>
      <c r="P23" s="18"/>
      <c r="Q23" s="18"/>
      <c r="R23" s="18"/>
      <c r="S23" s="18"/>
      <c r="T23" s="18"/>
      <c r="U23" s="18"/>
      <c r="V23" s="18"/>
      <c r="W23" s="18"/>
    </row>
    <row r="24" spans="1:23" s="22" customFormat="1" ht="21" customHeight="1" x14ac:dyDescent="0.15">
      <c r="A24" s="56" t="str">
        <f>IFERROR(IF(HLOOKUP($L$6,RangeUnitsetsSec,M24,FALSE)=0,"",HLOOKUP($L$6,RangeUnitsetsSec,M24,FALSE)),"")</f>
        <v/>
      </c>
      <c r="B24" s="52" t="str">
        <f>IFERROR(IF(VLOOKUP($A24,TableHandbook[],2,FALSE)=0,"",VLOOKUP($A24,TableHandbook[],2,FALSE)),"")</f>
        <v/>
      </c>
      <c r="C24" s="52" t="str">
        <f>IFERROR(IF(VLOOKUP($A24,TableHandbook[],3,FALSE)=0,"",VLOOKUP($A24,TableHandbook[],3,FALSE)),"")</f>
        <v/>
      </c>
      <c r="D24" s="53" t="str">
        <f>IFERROR(IF(VLOOKUP($A24,TableHandbook[],4,FALSE)=0,"",VLOOKUP($A24,TableHandbook[],4,FALSE)),"")</f>
        <v/>
      </c>
      <c r="E24" s="52" t="str">
        <f>IF(OR(A24="",A24="--"),"",VLOOKUP($D$9,TableStudyPeriods[],2,FALSE))</f>
        <v/>
      </c>
      <c r="F24" s="49" t="str">
        <f>IFERROR(IF(VLOOKUP($A24,TableHandbook[],6,FALSE)=0,"",VLOOKUP($A24,TableHandbook[],6,FALSE)),"")</f>
        <v/>
      </c>
      <c r="G24" s="50" t="str">
        <f>IFERROR(IF(VLOOKUP($A24,TableHandbook[],5,FALSE)=0,"",VLOOKUP($A24,TableHandbook[],5,FALSE)),"")</f>
        <v/>
      </c>
      <c r="H24" s="266" t="str">
        <f>IFERROR(VLOOKUP($A24,TableHandbook[],H$2,FALSE),"")</f>
        <v/>
      </c>
      <c r="I24" s="267" t="str">
        <f>IFERROR(VLOOKUP($A24,TableHandbook[],I$2,FALSE),"")</f>
        <v/>
      </c>
      <c r="J24" s="267" t="str">
        <f>IFERROR(VLOOKUP($A24,TableHandbook[],J$2,FALSE),"")</f>
        <v/>
      </c>
      <c r="K24" s="274" t="str">
        <f>IFERROR(VLOOKUP($A24,TableHandbook[],K$2,FALSE),"")</f>
        <v/>
      </c>
      <c r="L24" s="54"/>
      <c r="M24" s="157">
        <v>10</v>
      </c>
      <c r="N24" s="20"/>
      <c r="O24" s="20"/>
      <c r="P24" s="21"/>
      <c r="Q24" s="21"/>
      <c r="R24" s="21"/>
      <c r="S24" s="21"/>
      <c r="T24" s="21"/>
      <c r="U24" s="21"/>
      <c r="V24" s="21"/>
      <c r="W24" s="21"/>
    </row>
    <row r="25" spans="1:23" s="22" customFormat="1" ht="21" customHeight="1" x14ac:dyDescent="0.15">
      <c r="A25" s="56" t="str">
        <f>IFERROR(IF(HLOOKUP($L$6,RangeUnitsetsSec,M25,FALSE)=0,"",HLOOKUP($L$6,RangeUnitsetsSec,M25,FALSE)),"")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IF(A25="","",E24)</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74" t="str">
        <f>IFERROR(VLOOKUP($A25,TableHandbook[],K$2,FALSE),"")</f>
        <v/>
      </c>
      <c r="L25" s="54"/>
      <c r="M25" s="157">
        <v>11</v>
      </c>
      <c r="N25" s="20"/>
      <c r="O25" s="20"/>
      <c r="P25" s="21"/>
      <c r="Q25" s="21"/>
      <c r="R25" s="21"/>
      <c r="S25" s="21"/>
      <c r="T25" s="21"/>
      <c r="U25" s="21"/>
      <c r="V25" s="21"/>
      <c r="W25" s="21"/>
    </row>
    <row r="26" spans="1:23" s="22" customFormat="1" ht="6" customHeight="1" x14ac:dyDescent="0.15">
      <c r="A26" s="198"/>
      <c r="B26" s="199"/>
      <c r="C26" s="199"/>
      <c r="D26" s="200"/>
      <c r="E26" s="199"/>
      <c r="F26" s="201"/>
      <c r="G26" s="199"/>
      <c r="H26" s="268"/>
      <c r="I26" s="269"/>
      <c r="J26" s="269"/>
      <c r="K26" s="277"/>
      <c r="L26" s="204"/>
      <c r="M26" s="157"/>
      <c r="N26" s="20"/>
      <c r="O26" s="20"/>
      <c r="P26" s="20"/>
      <c r="Q26" s="21"/>
      <c r="R26" s="21"/>
      <c r="S26" s="21"/>
      <c r="T26" s="21"/>
      <c r="U26" s="21"/>
      <c r="V26" s="21"/>
      <c r="W26" s="21"/>
    </row>
    <row r="27" spans="1:23" s="22" customFormat="1" ht="21" customHeight="1" x14ac:dyDescent="0.15">
      <c r="A27" s="56" t="str">
        <f>IFERROR(IF(HLOOKUP($L$6,RangeUnitsetsSec,M27,FALSE)=0,"",HLOOKUP($L$6,RangeUnitsetsSec,M27,FALSE)),"")</f>
        <v/>
      </c>
      <c r="B27" s="52" t="str">
        <f>IFERROR(IF(VLOOKUP($A27,TableHandbook[],2,FALSE)=0,"",VLOOKUP($A27,TableHandbook[],2,FALSE)),"")</f>
        <v/>
      </c>
      <c r="C27" s="52" t="str">
        <f>IFERROR(IF(VLOOKUP($A27,TableHandbook[],3,FALSE)=0,"",VLOOKUP($A27,TableHandbook[],3,FALSE)),"")</f>
        <v/>
      </c>
      <c r="D27" s="55" t="str">
        <f>IFERROR(IF(VLOOKUP($A27,TableHandbook[],4,FALSE)=0,"",VLOOKUP($A27,TableHandbook[],4,FALSE)),"")</f>
        <v/>
      </c>
      <c r="E27" s="52" t="str">
        <f>IF(OR(A27="",A27="--"),"",VLOOKUP($D$9,TableStudyPeriods[],3,FALSE))</f>
        <v/>
      </c>
      <c r="F27" s="49" t="str">
        <f>IFERROR(IF(VLOOKUP($A27,TableHandbook[],6,FALSE)=0,"",VLOOKUP($A27,TableHandbook[],6,FALSE)),"")</f>
        <v/>
      </c>
      <c r="G27" s="50"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4"/>
      <c r="M27" s="157">
        <v>12</v>
      </c>
      <c r="N27" s="20"/>
      <c r="O27" s="20"/>
      <c r="P27" s="21"/>
      <c r="Q27" s="21"/>
      <c r="R27" s="21"/>
      <c r="S27" s="21"/>
      <c r="T27" s="21"/>
      <c r="U27" s="21"/>
      <c r="V27" s="21"/>
      <c r="W27" s="21"/>
    </row>
    <row r="28" spans="1:23" s="22" customFormat="1" ht="21" customHeight="1" x14ac:dyDescent="0.15">
      <c r="A28" s="56" t="str">
        <f>IFERROR(IF(HLOOKUP($L$6,RangeUnitsetsSec,M28,FALSE)=0,"",HLOOKUP($L$6,RangeUnitsetsSec,M28,FALSE)),"")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IF(A28="","",E27)</f>
        <v/>
      </c>
      <c r="F28" s="49" t="str">
        <f>IFERROR(IF(VLOOKUP($A28,TableHandbook[],6,FALSE)=0,"",VLOOKUP($A28,TableHandbook[],6,FALSE)),"")</f>
        <v/>
      </c>
      <c r="G28" s="50" t="str">
        <f>IFERROR(IF(VLOOKUP($A28,TableHandbook[],5,FALSE)=0,"",VLOOKUP($A28,TableHandbook[],5,FALSE)),"")</f>
        <v/>
      </c>
      <c r="H28" s="266" t="str">
        <f>IFERROR(VLOOKUP($A28,TableHandbook[],H$2,FALSE),"")</f>
        <v/>
      </c>
      <c r="I28" s="267" t="str">
        <f>IFERROR(VLOOKUP($A28,TableHandbook[],I$2,FALSE),"")</f>
        <v/>
      </c>
      <c r="J28" s="267" t="str">
        <f>IFERROR(VLOOKUP($A28,TableHandbook[],J$2,FALSE),"")</f>
        <v/>
      </c>
      <c r="K28" s="274" t="str">
        <f>IFERROR(VLOOKUP($A28,TableHandbook[],K$2,FALSE),"")</f>
        <v/>
      </c>
      <c r="L28" s="54"/>
      <c r="M28" s="157">
        <v>13</v>
      </c>
      <c r="N28" s="20"/>
      <c r="O28" s="20"/>
      <c r="P28" s="21"/>
      <c r="Q28" s="21"/>
      <c r="R28" s="21"/>
      <c r="S28" s="21"/>
      <c r="T28" s="21"/>
      <c r="U28" s="21"/>
      <c r="V28" s="21"/>
      <c r="W28" s="21"/>
    </row>
    <row r="29" spans="1:23" s="22" customFormat="1" ht="6" customHeight="1" x14ac:dyDescent="0.15">
      <c r="A29" s="198"/>
      <c r="B29" s="199"/>
      <c r="C29" s="199"/>
      <c r="D29" s="200"/>
      <c r="E29" s="199"/>
      <c r="F29" s="201"/>
      <c r="G29" s="199"/>
      <c r="H29" s="268"/>
      <c r="I29" s="269"/>
      <c r="J29" s="269"/>
      <c r="K29" s="277"/>
      <c r="L29" s="204"/>
      <c r="M29" s="157"/>
      <c r="N29" s="20"/>
      <c r="O29" s="20"/>
      <c r="P29" s="20"/>
      <c r="Q29" s="21"/>
      <c r="R29" s="21"/>
      <c r="S29" s="21"/>
      <c r="T29" s="21"/>
      <c r="U29" s="21"/>
      <c r="V29" s="21"/>
      <c r="W29" s="21"/>
    </row>
    <row r="30" spans="1:23" s="22" customFormat="1" ht="21" customHeight="1" x14ac:dyDescent="0.15">
      <c r="A30" s="56" t="str">
        <f>IFERROR(IF(HLOOKUP($L$6,RangeUnitsetsSec,M30,FALSE)=0,"",HLOOKUP($L$6,RangeUnitsetsSec,M30,FALSE)),"")</f>
        <v/>
      </c>
      <c r="B30" s="52" t="str">
        <f>IFERROR(IF(VLOOKUP($A30,TableHandbook[],2,FALSE)=0,"",VLOOKUP($A30,TableHandbook[],2,FALSE)),"")</f>
        <v/>
      </c>
      <c r="C30" s="52" t="str">
        <f>IFERROR(IF(VLOOKUP($A30,TableHandbook[],3,FALSE)=0,"",VLOOKUP($A30,TableHandbook[],3,FALSE)),"")</f>
        <v/>
      </c>
      <c r="D30" s="55" t="str">
        <f>IFERROR(IF(VLOOKUP($A30,TableHandbook[],4,FALSE)=0,"",VLOOKUP($A30,TableHandbook[],4,FALSE)),"")</f>
        <v/>
      </c>
      <c r="E30" s="52" t="str">
        <f>IF(OR(A30="",A30="--"),"",VLOOKUP($D$9,TableStudyPeriods[],4,FALSE))</f>
        <v/>
      </c>
      <c r="F30" s="49" t="str">
        <f>IFERROR(IF(VLOOKUP($A30,TableHandbook[],6,FALSE)=0,"",VLOOKUP($A30,TableHandbook[],6,FALSE)),"")</f>
        <v/>
      </c>
      <c r="G30" s="50"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4"/>
      <c r="M30" s="157">
        <v>14</v>
      </c>
      <c r="N30" s="20"/>
      <c r="O30" s="20"/>
      <c r="P30" s="21"/>
      <c r="Q30" s="21"/>
      <c r="R30" s="21"/>
      <c r="S30" s="21"/>
      <c r="T30" s="21"/>
      <c r="U30" s="21"/>
      <c r="V30" s="21"/>
      <c r="W30" s="21"/>
    </row>
    <row r="31" spans="1:23" s="22" customFormat="1" ht="21" customHeight="1" x14ac:dyDescent="0.15">
      <c r="A31" s="56" t="str">
        <f>IFERROR(IF(HLOOKUP($L$6,RangeUnitsetsSec,M31,FALSE)=0,"",HLOOKUP($L$6,RangeUnitsetsSec,M31,FALSE)),"")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IF(A31="","",E30)</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3" t="str">
        <f>IFERROR(VLOOKUP($A31,TableHandbook[],K$2,FALSE),"")</f>
        <v/>
      </c>
      <c r="L31" s="54"/>
      <c r="M31" s="157">
        <v>15</v>
      </c>
      <c r="N31" s="20"/>
      <c r="O31" s="20"/>
      <c r="P31" s="21"/>
      <c r="Q31" s="21"/>
      <c r="R31" s="21"/>
      <c r="S31" s="21"/>
      <c r="T31" s="21"/>
      <c r="U31" s="21"/>
      <c r="V31" s="21"/>
      <c r="W31" s="21"/>
    </row>
    <row r="32" spans="1:23" s="31" customFormat="1" ht="6" customHeight="1" x14ac:dyDescent="0.15">
      <c r="A32" s="198"/>
      <c r="B32" s="199"/>
      <c r="C32" s="199"/>
      <c r="D32" s="200"/>
      <c r="E32" s="199"/>
      <c r="F32" s="201"/>
      <c r="G32" s="199"/>
      <c r="H32" s="268"/>
      <c r="I32" s="269"/>
      <c r="J32" s="269"/>
      <c r="K32" s="277"/>
      <c r="L32" s="204"/>
      <c r="M32" s="157"/>
      <c r="N32" s="29"/>
      <c r="O32" s="29"/>
      <c r="P32" s="30"/>
      <c r="Q32" s="30"/>
      <c r="R32" s="30"/>
      <c r="S32" s="30"/>
      <c r="T32" s="30"/>
      <c r="U32" s="30"/>
      <c r="V32" s="30"/>
      <c r="W32" s="30"/>
    </row>
    <row r="33" spans="1:23" s="31" customFormat="1" ht="21" customHeight="1" x14ac:dyDescent="0.15">
      <c r="A33" s="56" t="str">
        <f>IFERROR(IF(HLOOKUP($L$6,RangeUnitsetsSec,M33,FALSE)=0,"",HLOOKUP($L$6,RangeUnitsetsSec,M33,FALSE)),"")</f>
        <v/>
      </c>
      <c r="B33" s="52" t="str">
        <f>IFERROR(IF(VLOOKUP($A33,TableHandbook[],2,FALSE)=0,"",VLOOKUP($A33,TableHandbook[],2,FALSE)),"")</f>
        <v/>
      </c>
      <c r="C33" s="52" t="str">
        <f>IFERROR(IF(VLOOKUP($A33,TableHandbook[],3,FALSE)=0,"",VLOOKUP($A33,TableHandbook[],3,FALSE)),"")</f>
        <v/>
      </c>
      <c r="D33" s="55" t="str">
        <f>IFERROR(IF(VLOOKUP($A33,TableHandbook[],4,FALSE)=0,"",VLOOKUP($A33,TableHandbook[],4,FALSE)),"")</f>
        <v/>
      </c>
      <c r="E33" s="52" t="str">
        <f>IF(OR(A33="",A33="--"),"",VLOOKUP($D$9,TableStudyPeriods[],5,FALSE))</f>
        <v/>
      </c>
      <c r="F33" s="49" t="str">
        <f>IFERROR(IF(VLOOKUP($A33,TableHandbook[],6,FALSE)=0,"",VLOOKUP($A33,TableHandbook[],6,FALSE)),"")</f>
        <v/>
      </c>
      <c r="G33" s="50" t="str">
        <f>IFERROR(IF(VLOOKUP($A33,TableHandbook[],5,FALSE)=0,"",VLOOKUP($A33,TableHandbook[],5,FALSE)),"")</f>
        <v/>
      </c>
      <c r="H33" s="271" t="str">
        <f>IFERROR(VLOOKUP($A33,TableHandbook[],H$2,FALSE),"")</f>
        <v/>
      </c>
      <c r="I33" s="272" t="str">
        <f>IFERROR(VLOOKUP($A33,TableHandbook[],I$2,FALSE),"")</f>
        <v/>
      </c>
      <c r="J33" s="272" t="str">
        <f>IFERROR(VLOOKUP($A33,TableHandbook[],J$2,FALSE),"")</f>
        <v/>
      </c>
      <c r="K33" s="273" t="str">
        <f>IFERROR(VLOOKUP($A33,TableHandbook[],K$2,FALSE),"")</f>
        <v/>
      </c>
      <c r="L33" s="54"/>
      <c r="M33" s="157">
        <v>16</v>
      </c>
      <c r="N33" s="29"/>
      <c r="O33" s="29"/>
      <c r="P33" s="30"/>
      <c r="Q33" s="30"/>
      <c r="R33" s="30"/>
      <c r="S33" s="30"/>
      <c r="T33" s="30"/>
      <c r="U33" s="30"/>
      <c r="V33" s="30"/>
      <c r="W33" s="30"/>
    </row>
    <row r="34" spans="1:23" s="31" customFormat="1" ht="21" customHeight="1" x14ac:dyDescent="0.15">
      <c r="A34" s="56" t="str">
        <f>IFERROR(IF(HLOOKUP($L$6,RangeUnitsetsSec,M34,FALSE)=0,"",HLOOKUP($L$6,RangeUnitsetsSec,M34,FALSE)),"")</f>
        <v/>
      </c>
      <c r="B34" s="52" t="str">
        <f>IFERROR(IF(VLOOKUP($A34,TableHandbook[],2,FALSE)=0,"",VLOOKUP($A34,TableHandbook[],2,FALSE)),"")</f>
        <v/>
      </c>
      <c r="C34" s="52" t="str">
        <f>IFERROR(IF(VLOOKUP($A34,TableHandbook[],3,FALSE)=0,"",VLOOKUP($A34,TableHandbook[],3,FALSE)),"")</f>
        <v/>
      </c>
      <c r="D34" s="55" t="str">
        <f>IFERROR(IF(VLOOKUP($A34,TableHandbook[],4,FALSE)=0,"",VLOOKUP($A34,TableHandbook[],4,FALSE)),"")</f>
        <v/>
      </c>
      <c r="E34" s="50" t="str">
        <f>IF(A34="","",E33)</f>
        <v/>
      </c>
      <c r="F34" s="49" t="str">
        <f>IFERROR(IF(VLOOKUP($A34,TableHandbook[],6,FALSE)=0,"",VLOOKUP($A34,TableHandbook[],6,FALSE)),"")</f>
        <v/>
      </c>
      <c r="G34" s="50" t="str">
        <f>IFERROR(IF(VLOOKUP($A34,TableHandbook[],5,FALSE)=0,"",VLOOKUP($A34,TableHandbook[],5,FALSE)),"")</f>
        <v/>
      </c>
      <c r="H34" s="271" t="str">
        <f>IFERROR(VLOOKUP($A34,TableHandbook[],H$2,FALSE),"")</f>
        <v/>
      </c>
      <c r="I34" s="272" t="str">
        <f>IFERROR(VLOOKUP($A34,TableHandbook[],I$2,FALSE),"")</f>
        <v/>
      </c>
      <c r="J34" s="272" t="str">
        <f>IFERROR(VLOOKUP($A34,TableHandbook[],J$2,FALSE),"")</f>
        <v/>
      </c>
      <c r="K34" s="273" t="str">
        <f>IFERROR(VLOOKUP($A34,TableHandbook[],K$2,FALSE),"")</f>
        <v/>
      </c>
      <c r="L34" s="54"/>
      <c r="M34" s="157">
        <v>17</v>
      </c>
      <c r="N34" s="29"/>
      <c r="O34" s="29"/>
      <c r="P34" s="30"/>
      <c r="Q34" s="30"/>
      <c r="R34" s="30"/>
      <c r="S34" s="30"/>
      <c r="T34" s="30"/>
      <c r="U34" s="30"/>
      <c r="V34" s="30"/>
      <c r="W34" s="30"/>
    </row>
    <row r="35" spans="1:23" ht="16.5" customHeight="1" x14ac:dyDescent="0.25">
      <c r="A35" s="39"/>
      <c r="B35" s="39"/>
      <c r="C35" s="39"/>
      <c r="D35" s="40"/>
      <c r="E35" s="40"/>
      <c r="F35" s="35"/>
      <c r="G35" s="35"/>
      <c r="H35" s="35"/>
      <c r="I35" s="35"/>
      <c r="J35" s="35"/>
      <c r="K35" s="35"/>
      <c r="L35" s="35"/>
      <c r="M35" s="16"/>
      <c r="N35" s="16"/>
      <c r="O35" s="16"/>
      <c r="P35" s="16"/>
      <c r="Q35" s="16"/>
      <c r="R35" s="16"/>
      <c r="S35" s="16"/>
      <c r="T35" s="16"/>
      <c r="U35" s="16"/>
      <c r="V35" s="16"/>
      <c r="W35" s="16"/>
    </row>
    <row r="36" spans="1:23" s="42" customFormat="1" ht="25.5" x14ac:dyDescent="0.25">
      <c r="A36" s="156" t="s">
        <v>269</v>
      </c>
      <c r="B36" s="97"/>
      <c r="C36" s="97"/>
      <c r="D36" s="98"/>
      <c r="E36" s="99"/>
      <c r="F36" s="99"/>
      <c r="G36" s="99"/>
      <c r="H36" s="100" t="str">
        <f>H10</f>
        <v>2025 Availabilities</v>
      </c>
      <c r="I36" s="101"/>
      <c r="J36" s="102"/>
      <c r="K36" s="103"/>
      <c r="L36" s="104"/>
      <c r="M36" s="41"/>
      <c r="N36" s="41"/>
      <c r="O36" s="41"/>
      <c r="P36" s="41"/>
      <c r="Q36" s="41"/>
      <c r="R36" s="41"/>
      <c r="S36" s="41"/>
      <c r="T36" s="41"/>
      <c r="U36" s="41"/>
      <c r="V36" s="41"/>
      <c r="W36" s="41"/>
    </row>
    <row r="37" spans="1:23" ht="21" customHeight="1" x14ac:dyDescent="0.25">
      <c r="A37" s="107"/>
      <c r="B37" s="107"/>
      <c r="C37" s="125" t="s">
        <v>21</v>
      </c>
      <c r="D37" s="108" t="s">
        <v>3</v>
      </c>
      <c r="E37" s="125"/>
      <c r="F37" s="107" t="s">
        <v>23</v>
      </c>
      <c r="G37" s="107" t="s">
        <v>24</v>
      </c>
      <c r="H37" s="264" t="str">
        <f>H$11</f>
        <v>SP1</v>
      </c>
      <c r="I37" s="265" t="str">
        <f t="shared" ref="I37:L37" si="1">I$11</f>
        <v>SP2</v>
      </c>
      <c r="J37" s="265" t="str">
        <f t="shared" si="1"/>
        <v>SP3</v>
      </c>
      <c r="K37" s="270" t="str">
        <f t="shared" si="1"/>
        <v>SP4</v>
      </c>
      <c r="L37" s="113" t="str">
        <f t="shared" si="1"/>
        <v>Notes / Progress</v>
      </c>
      <c r="M37" s="64"/>
      <c r="N37" s="16"/>
      <c r="O37" s="16"/>
      <c r="P37" s="16"/>
      <c r="Q37" s="16"/>
      <c r="R37" s="16"/>
      <c r="S37" s="16"/>
      <c r="T37" s="16"/>
      <c r="U37" s="16"/>
      <c r="V37" s="16"/>
      <c r="W37" s="16"/>
    </row>
    <row r="38" spans="1:23" x14ac:dyDescent="0.25">
      <c r="A38" s="163" t="str">
        <f>IFERROR(IF(HLOOKUP($L$7,RangeTeachingAreas,M38,FALSE)=0,"",HLOOKUP($L$7,RangeTeachingAreas,M38,FALSE)),"")</f>
        <v/>
      </c>
      <c r="B38" s="141" t="str">
        <f>IFERROR(IF(VLOOKUP($A38,TableHandbook[],2,FALSE)=0,"",VLOOKUP($A38,TableHandbook[],2,FALSE)),"")</f>
        <v/>
      </c>
      <c r="C38" s="216" t="str">
        <f>IFERROR(IF(VLOOKUP($A38,TableHandbook[],3,FALSE)=0,"",VLOOKUP($A38,TableHandbook[],3,FALSE)),"")</f>
        <v/>
      </c>
      <c r="D38" s="142" t="str">
        <f>IFERROR(IF(VLOOKUP($A38,TableHandbook[],4,FALSE)=0,"",VLOOKUP($A38,TableHandbook[],4,FALSE)),"")</f>
        <v/>
      </c>
      <c r="E38" s="143"/>
      <c r="F38" s="144" t="str">
        <f>IFERROR(IF(VLOOKUP($A38,TableHandbook[],6,FALSE)=0,"",VLOOKUP($A38,TableHandbook[],6,FALSE)),"")</f>
        <v/>
      </c>
      <c r="G38" s="144" t="str">
        <f>IFERROR(IF(VLOOKUP($A38,TableHandbook[],5,FALSE)=0,"",VLOOKUP($A38,TableHandbook[],5,FALSE)),"")</f>
        <v/>
      </c>
      <c r="H38" s="278" t="str">
        <f>IFERROR(VLOOKUP($A38,TableHandbook[],H$2,FALSE),"")</f>
        <v/>
      </c>
      <c r="I38" s="279" t="str">
        <f>IFERROR(VLOOKUP($A38,TableHandbook[],I$2,FALSE),"")</f>
        <v/>
      </c>
      <c r="J38" s="279" t="str">
        <f>IFERROR(VLOOKUP($A38,TableHandbook[],J$2,FALSE),"")</f>
        <v/>
      </c>
      <c r="K38" s="280" t="str">
        <f>IFERROR(VLOOKUP($A38,TableHandbook[],K$2,FALSE),"")</f>
        <v/>
      </c>
      <c r="L38" s="148"/>
      <c r="M38" s="149">
        <v>2</v>
      </c>
      <c r="N38" s="16"/>
      <c r="O38" s="16"/>
      <c r="P38" s="16"/>
      <c r="Q38" s="16"/>
      <c r="R38" s="16"/>
      <c r="S38" s="16"/>
      <c r="T38" s="16"/>
      <c r="U38" s="16"/>
      <c r="V38" s="16"/>
      <c r="W38" s="16"/>
    </row>
    <row r="39" spans="1:23" x14ac:dyDescent="0.25">
      <c r="A39" s="164" t="str">
        <f>IFERROR(IF(HLOOKUP($L$7,RangeTeachingAreas,M39,FALSE)=0,"",HLOOKUP($L$7,RangeTeachingAreas,M39,FALSE)),"")</f>
        <v/>
      </c>
      <c r="B39" s="43" t="str">
        <f>IFERROR(IF(VLOOKUP($A39,TableHandbook[],2,FALSE)=0,"",VLOOKUP($A39,TableHandbook[],2,FALSE)),"")</f>
        <v/>
      </c>
      <c r="C39" s="207" t="str">
        <f>IFERROR(IF(VLOOKUP($A39,TableHandbook[],3,FALSE)=0,"",VLOOKUP($A39,TableHandbook[],3,FALSE)),"")</f>
        <v/>
      </c>
      <c r="D39" s="44" t="str">
        <f>IFERROR(IF(VLOOKUP($A39,TableHandbook[],4,FALSE)=0,"",VLOOKUP($A39,TableHandbook[],4,FALSE)),"")</f>
        <v/>
      </c>
      <c r="E39" s="45"/>
      <c r="F39" s="46" t="str">
        <f>IFERROR(IF(VLOOKUP($A39,TableHandbook[],6,FALSE)=0,"",VLOOKUP($A39,TableHandbook[],6,FALSE)),"")</f>
        <v/>
      </c>
      <c r="G39" s="46" t="str">
        <f>IFERROR(IF(VLOOKUP($A39,TableHandbook[],5,FALSE)=0,"",VLOOKUP($A39,TableHandbook[],5,FALSE)),"")</f>
        <v/>
      </c>
      <c r="H39" s="266" t="str">
        <f>IFERROR(VLOOKUP($A39,TableHandbook[],H$2,FALSE),"")</f>
        <v/>
      </c>
      <c r="I39" s="267" t="str">
        <f>IFERROR(VLOOKUP($A39,TableHandbook[],I$2,FALSE),"")</f>
        <v/>
      </c>
      <c r="J39" s="267" t="str">
        <f>IFERROR(VLOOKUP($A39,TableHandbook[],J$2,FALSE),"")</f>
        <v/>
      </c>
      <c r="K39" s="274" t="str">
        <f>IFERROR(VLOOKUP($A39,TableHandbook[],K$2,FALSE),"")</f>
        <v/>
      </c>
      <c r="L39" s="51"/>
      <c r="M39" s="64">
        <v>3</v>
      </c>
      <c r="N39" s="16"/>
      <c r="O39" s="16"/>
      <c r="P39" s="16"/>
      <c r="Q39" s="16"/>
      <c r="R39" s="16"/>
      <c r="S39" s="16"/>
      <c r="T39" s="16"/>
      <c r="U39" s="16"/>
      <c r="V39" s="16"/>
      <c r="W39" s="16"/>
    </row>
    <row r="40" spans="1:23" x14ac:dyDescent="0.25">
      <c r="A40" s="164" t="str">
        <f>IFERROR(IF(HLOOKUP($L$7,RangeTeachingAreas,M40,FALSE)=0,"",HLOOKUP($L$7,RangeTeachingAreas,M40,FALSE)),"")</f>
        <v/>
      </c>
      <c r="B40" s="43" t="str">
        <f>IFERROR(IF(VLOOKUP($A40,TableHandbook[],2,FALSE)=0,"",VLOOKUP($A40,TableHandbook[],2,FALSE)),"")</f>
        <v/>
      </c>
      <c r="C40" s="207" t="str">
        <f>IFERROR(IF(VLOOKUP($A40,TableHandbook[],3,FALSE)=0,"",VLOOKUP($A40,TableHandbook[],3,FALSE)),"")</f>
        <v/>
      </c>
      <c r="D40" s="44" t="str">
        <f>IFERROR(IF(VLOOKUP($A40,TableHandbook[],4,FALSE)=0,"",VLOOKUP($A40,TableHandbook[],4,FALSE)),"")</f>
        <v/>
      </c>
      <c r="E40" s="45"/>
      <c r="F40" s="46" t="str">
        <f>IFERROR(IF(VLOOKUP($A40,TableHandbook[],6,FALSE)=0,"",VLOOKUP($A40,TableHandbook[],6,FALSE)),"")</f>
        <v/>
      </c>
      <c r="G40" s="46" t="str">
        <f>IFERROR(IF(VLOOKUP($A40,TableHandbook[],5,FALSE)=0,"",VLOOKUP($A40,TableHandbook[],5,FALSE)),"")</f>
        <v/>
      </c>
      <c r="H40" s="266" t="str">
        <f>IFERROR(VLOOKUP($A40,TableHandbook[],H$2,FALSE),"")</f>
        <v/>
      </c>
      <c r="I40" s="267" t="str">
        <f>IFERROR(VLOOKUP($A40,TableHandbook[],I$2,FALSE),"")</f>
        <v/>
      </c>
      <c r="J40" s="267" t="str">
        <f>IFERROR(VLOOKUP($A40,TableHandbook[],J$2,FALSE),"")</f>
        <v/>
      </c>
      <c r="K40" s="274" t="str">
        <f>IFERROR(VLOOKUP($A40,TableHandbook[],K$2,FALSE),"")</f>
        <v/>
      </c>
      <c r="L40" s="51"/>
      <c r="M40" s="64">
        <v>4</v>
      </c>
      <c r="N40" s="16"/>
      <c r="O40" s="16"/>
      <c r="P40" s="16"/>
      <c r="Q40" s="16"/>
      <c r="R40" s="16"/>
      <c r="S40" s="16"/>
      <c r="T40" s="16"/>
      <c r="U40" s="16"/>
      <c r="V40" s="16"/>
      <c r="W40" s="16"/>
    </row>
    <row r="41" spans="1:23" x14ac:dyDescent="0.25">
      <c r="A41" s="164"/>
      <c r="B41" s="43"/>
      <c r="C41" s="207"/>
      <c r="D41" s="44"/>
      <c r="E41" s="45"/>
      <c r="F41" s="46"/>
      <c r="G41" s="46"/>
      <c r="H41" s="266"/>
      <c r="I41" s="267"/>
      <c r="J41" s="267"/>
      <c r="K41" s="274"/>
      <c r="L41" s="51"/>
      <c r="M41" s="64"/>
      <c r="N41" s="16"/>
      <c r="O41" s="16"/>
      <c r="P41" s="16"/>
      <c r="Q41" s="16"/>
      <c r="R41" s="16"/>
      <c r="S41" s="16"/>
      <c r="T41" s="16"/>
      <c r="U41" s="16"/>
      <c r="V41" s="16"/>
      <c r="W41" s="16"/>
    </row>
    <row r="42" spans="1:23" x14ac:dyDescent="0.25">
      <c r="A42" s="165" t="str">
        <f>IFERROR(IF(HLOOKUP($L$7,RangeTeachingAreas,M42,FALSE)=0,"",HLOOKUP($L$7,RangeTeachingAreas,M42,FALSE)),"")</f>
        <v/>
      </c>
      <c r="B42" s="150" t="str">
        <f>IFERROR(IF(VLOOKUP($A42,TableHandbook[],2,FALSE)=0,"",VLOOKUP($A42,TableHandbook[],2,FALSE)),"")</f>
        <v/>
      </c>
      <c r="C42" s="219" t="str">
        <f>IFERROR(IF(VLOOKUP($A42,TableHandbook[],3,FALSE)=0,"",VLOOKUP($A42,TableHandbook[],3,FALSE)),"")</f>
        <v/>
      </c>
      <c r="D42" s="151" t="str">
        <f>IFERROR(IF(VLOOKUP($A42,TableHandbook[],4,FALSE)=0,"",VLOOKUP($A42,TableHandbook[],4,FALSE)),"")</f>
        <v/>
      </c>
      <c r="E42" s="152"/>
      <c r="F42" s="153" t="str">
        <f>IFERROR(IF(VLOOKUP($A42,TableHandbook[],6,FALSE)=0,"",VLOOKUP($A42,TableHandbook[],6,FALSE)),"")</f>
        <v/>
      </c>
      <c r="G42" s="153" t="str">
        <f>IFERROR(IF(VLOOKUP($A42,TableHandbook[],5,FALSE)=0,"",VLOOKUP($A42,TableHandbook[],5,FALSE)),"")</f>
        <v/>
      </c>
      <c r="H42" s="281" t="str">
        <f>IFERROR(VLOOKUP($A42,TableHandbook[],H$2,FALSE),"")</f>
        <v/>
      </c>
      <c r="I42" s="282" t="str">
        <f>IFERROR(VLOOKUP($A42,TableHandbook[],I$2,FALSE),"")</f>
        <v/>
      </c>
      <c r="J42" s="282" t="str">
        <f>IFERROR(VLOOKUP($A42,TableHandbook[],J$2,FALSE),"")</f>
        <v/>
      </c>
      <c r="K42" s="283" t="str">
        <f>IFERROR(VLOOKUP($A42,TableHandbook[],K$2,FALSE),"")</f>
        <v/>
      </c>
      <c r="L42" s="154"/>
      <c r="M42" s="155">
        <v>5</v>
      </c>
      <c r="N42" s="16"/>
      <c r="O42" s="16"/>
      <c r="P42" s="16"/>
      <c r="Q42" s="16"/>
      <c r="R42" s="16"/>
      <c r="S42" s="16"/>
      <c r="T42" s="16"/>
      <c r="U42" s="16"/>
      <c r="V42" s="16"/>
      <c r="W42" s="16"/>
    </row>
    <row r="43" spans="1:23" x14ac:dyDescent="0.25">
      <c r="A43" s="164" t="str">
        <f>IFERROR(IF(HLOOKUP($L$8,RangeTeachingAreas,M43,FALSE)=0,"",HLOOKUP($L$8,RangeTeachingAreas,M43,FALSE)),"")</f>
        <v/>
      </c>
      <c r="B43" s="43" t="str">
        <f>IFERROR(IF(VLOOKUP($A43,TableHandbook[],2,FALSE)=0,"",VLOOKUP($A43,TableHandbook[],2,FALSE)),"")</f>
        <v/>
      </c>
      <c r="C43" s="207" t="str">
        <f>IFERROR(IF(VLOOKUP($A43,TableHandbook[],3,FALSE)=0,"",VLOOKUP($A43,TableHandbook[],3,FALSE)),"")</f>
        <v/>
      </c>
      <c r="D43" s="44" t="str">
        <f>IFERROR(IF(VLOOKUP($A43,TableHandbook[],4,FALSE)=0,"",VLOOKUP($A43,TableHandbook[],4,FALSE)),"")</f>
        <v/>
      </c>
      <c r="E43" s="45"/>
      <c r="F43" s="46" t="str">
        <f>IFERROR(IF(VLOOKUP($A43,TableHandbook[],6,FALSE)=0,"",VLOOKUP($A43,TableHandbook[],6,FALSE)),"")</f>
        <v/>
      </c>
      <c r="G43" s="46" t="str">
        <f>IFERROR(IF(VLOOKUP($A43,TableHandbook[],5,FALSE)=0,"",VLOOKUP($A43,TableHandbook[],5,FALSE)),"")</f>
        <v/>
      </c>
      <c r="H43" s="266" t="str">
        <f>IFERROR(VLOOKUP($A43,TableHandbook[],H$2,FALSE),"")</f>
        <v/>
      </c>
      <c r="I43" s="267" t="str">
        <f>IFERROR(VLOOKUP($A43,TableHandbook[],I$2,FALSE),"")</f>
        <v/>
      </c>
      <c r="J43" s="267" t="str">
        <f>IFERROR(VLOOKUP($A43,TableHandbook[],J$2,FALSE),"")</f>
        <v/>
      </c>
      <c r="K43" s="274" t="str">
        <f>IFERROR(VLOOKUP($A43,TableHandbook[],K$2,FALSE),"")</f>
        <v/>
      </c>
      <c r="L43" s="51"/>
      <c r="M43" s="64">
        <v>6</v>
      </c>
      <c r="N43" s="16"/>
      <c r="O43" s="16"/>
      <c r="P43" s="16"/>
      <c r="Q43" s="16"/>
      <c r="R43" s="16"/>
      <c r="S43" s="16"/>
      <c r="T43" s="16"/>
      <c r="U43" s="16"/>
      <c r="V43" s="16"/>
      <c r="W43" s="16"/>
    </row>
    <row r="44" spans="1:23" x14ac:dyDescent="0.25">
      <c r="A44" s="164" t="str">
        <f>IFERROR(IF(HLOOKUP($L$8,RangeTeachingAreas,M44,FALSE)=0,"",HLOOKUP($L$8,RangeTeachingAreas,M44,FALSE)),"")</f>
        <v/>
      </c>
      <c r="B44" s="43" t="str">
        <f>IFERROR(IF(VLOOKUP($A44,TableHandbook[],2,FALSE)=0,"",VLOOKUP($A44,TableHandbook[],2,FALSE)),"")</f>
        <v/>
      </c>
      <c r="C44" s="207" t="str">
        <f>IFERROR(IF(VLOOKUP($A44,TableHandbook[],3,FALSE)=0,"",VLOOKUP($A44,TableHandbook[],3,FALSE)),"")</f>
        <v/>
      </c>
      <c r="D44" s="44" t="str">
        <f>IFERROR(IF(VLOOKUP($A44,TableHandbook[],4,FALSE)=0,"",VLOOKUP($A44,TableHandbook[],4,FALSE)),"")</f>
        <v/>
      </c>
      <c r="E44" s="45"/>
      <c r="F44" s="46" t="str">
        <f>IFERROR(IF(VLOOKUP($A44,TableHandbook[],6,FALSE)=0,"",VLOOKUP($A44,TableHandbook[],6,FALSE)),"")</f>
        <v/>
      </c>
      <c r="G44" s="46" t="str">
        <f>IFERROR(IF(VLOOKUP($A44,TableHandbook[],5,FALSE)=0,"",VLOOKUP($A44,TableHandbook[],5,FALSE)),"")</f>
        <v/>
      </c>
      <c r="H44" s="266" t="str">
        <f>IFERROR(VLOOKUP($A44,TableHandbook[],H$2,FALSE),"")</f>
        <v/>
      </c>
      <c r="I44" s="267" t="str">
        <f>IFERROR(VLOOKUP($A44,TableHandbook[],I$2,FALSE),"")</f>
        <v/>
      </c>
      <c r="J44" s="267" t="str">
        <f>IFERROR(VLOOKUP($A44,TableHandbook[],J$2,FALSE),"")</f>
        <v/>
      </c>
      <c r="K44" s="274" t="str">
        <f>IFERROR(VLOOKUP($A44,TableHandbook[],K$2,FALSE),"")</f>
        <v/>
      </c>
      <c r="L44" s="51"/>
      <c r="M44" s="64">
        <v>7</v>
      </c>
      <c r="N44" s="16"/>
      <c r="O44" s="16"/>
      <c r="P44" s="16"/>
      <c r="Q44" s="16"/>
      <c r="R44" s="16"/>
      <c r="S44" s="16"/>
      <c r="T44" s="16"/>
      <c r="U44" s="16"/>
      <c r="V44" s="16"/>
      <c r="W44" s="16"/>
    </row>
    <row r="45" spans="1:23" ht="21" customHeight="1" x14ac:dyDescent="0.25">
      <c r="A45" s="182"/>
      <c r="B45" s="183"/>
      <c r="C45" s="184"/>
      <c r="D45" s="184"/>
      <c r="E45" s="185"/>
      <c r="F45" s="186"/>
      <c r="G45" s="186"/>
      <c r="H45" s="166"/>
      <c r="I45" s="166"/>
      <c r="J45" s="166"/>
      <c r="K45" s="166"/>
      <c r="L45" s="167"/>
      <c r="M45" s="64"/>
      <c r="N45" s="16"/>
      <c r="O45" s="16"/>
      <c r="P45" s="16"/>
      <c r="Q45" s="16"/>
      <c r="R45" s="16"/>
      <c r="S45" s="16"/>
      <c r="T45" s="16"/>
      <c r="U45" s="16"/>
      <c r="V45" s="16"/>
      <c r="W45" s="16"/>
    </row>
    <row r="46" spans="1:23" s="16" customFormat="1" ht="18" x14ac:dyDescent="0.25">
      <c r="A46" s="65" t="s">
        <v>32</v>
      </c>
      <c r="B46" s="65"/>
      <c r="C46" s="65"/>
      <c r="D46" s="65"/>
      <c r="E46" s="65"/>
      <c r="F46" s="65"/>
      <c r="G46" s="65"/>
      <c r="H46" s="65"/>
      <c r="I46" s="65"/>
      <c r="J46" s="65"/>
      <c r="K46" s="65"/>
      <c r="L46" s="65"/>
    </row>
    <row r="47" spans="1:23" s="38" customFormat="1" ht="17.25" x14ac:dyDescent="0.2">
      <c r="A47" s="32" t="s">
        <v>33</v>
      </c>
      <c r="B47" s="32"/>
      <c r="C47" s="32"/>
      <c r="D47" s="33"/>
      <c r="E47" s="33"/>
      <c r="F47" s="33"/>
      <c r="G47" s="33"/>
      <c r="H47" s="33"/>
      <c r="I47" s="33"/>
      <c r="J47" s="33"/>
      <c r="K47" s="33"/>
      <c r="L47" s="33"/>
      <c r="M47" s="36"/>
      <c r="N47" s="36"/>
      <c r="O47" s="36"/>
      <c r="P47" s="37"/>
      <c r="Q47" s="37"/>
      <c r="R47" s="37"/>
      <c r="S47" s="37"/>
      <c r="T47" s="37"/>
      <c r="U47" s="37"/>
      <c r="V47" s="37"/>
      <c r="W47" s="37"/>
    </row>
    <row r="48" spans="1:23" x14ac:dyDescent="0.25">
      <c r="A48" s="34" t="s">
        <v>34</v>
      </c>
      <c r="B48" s="34"/>
      <c r="C48" s="34"/>
      <c r="D48" s="34"/>
      <c r="E48" s="47"/>
      <c r="F48" s="35"/>
      <c r="G48" s="48"/>
      <c r="H48" s="48"/>
      <c r="I48" s="48"/>
      <c r="J48" s="48"/>
      <c r="K48" s="48"/>
      <c r="L48" s="48" t="s">
        <v>35</v>
      </c>
    </row>
  </sheetData>
  <sheetProtection formatCells="0"/>
  <mergeCells count="1">
    <mergeCell ref="A3:D3"/>
  </mergeCells>
  <conditionalFormatting sqref="A12:L22 A24:L34 A38:L44">
    <cfRule type="expression" dxfId="84" priority="1">
      <formula>$A12=""</formula>
    </cfRule>
  </conditionalFormatting>
  <conditionalFormatting sqref="A12:M22 A23:E23 G23:M23 A24:M34">
    <cfRule type="expression" dxfId="83" priority="4">
      <formula>LEFT($A12,3)="FTA"</formula>
    </cfRule>
  </conditionalFormatting>
  <conditionalFormatting sqref="A12:M22 G23:M23 A24:M34 A23:E23">
    <cfRule type="expression" dxfId="82" priority="3">
      <formula>LEFT($A12,3)="STA"</formula>
    </cfRule>
  </conditionalFormatting>
  <conditionalFormatting sqref="D5:D9">
    <cfRule type="containsText" dxfId="81" priority="5" operator="containsText" text="Choose">
      <formula>NOT(ISERROR(SEARCH("Choose",D5)))</formula>
    </cfRule>
  </conditionalFormatting>
  <conditionalFormatting sqref="H12:K34">
    <cfRule type="expression" dxfId="80" priority="2">
      <formula>$E12=H$11</formula>
    </cfRule>
  </conditionalFormatting>
  <dataValidations count="2">
    <dataValidation type="list" allowBlank="1" showInputMessage="1" showErrorMessage="1" sqref="L29 L17 L14 L20 L26 L32" xr:uid="{00000000-0002-0000-0800-000000000000}"/>
    <dataValidation type="list" showInputMessage="1" showErrorMessage="1" sqref="D8" xr:uid="{00000000-0002-0000-0800-000001000000}">
      <formula1>INDIRECT($L$7)</formula1>
    </dataValidation>
  </dataValidations>
  <hyperlinks>
    <hyperlink ref="A47:L47"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800-000002000000}">
          <x14:formula1>
            <xm:f>'Unitsets Secondary &amp; GD'!$E$5:$E$11</xm:f>
          </x14:formula1>
          <xm:sqref>D7</xm:sqref>
        </x14:dataValidation>
        <x14:dataValidation type="list" allowBlank="1" showInputMessage="1" showErrorMessage="1" xr:uid="{00000000-0002-0000-0800-000003000000}">
          <x14:formula1>
            <xm:f>Unitsets!$A$44:$A$48</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24"/>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8"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64" t="s">
        <v>25</v>
      </c>
      <c r="I9" s="265" t="s">
        <v>26</v>
      </c>
      <c r="J9" s="265" t="s">
        <v>27</v>
      </c>
      <c r="K9" s="270" t="s">
        <v>28</v>
      </c>
      <c r="L9" s="113" t="s">
        <v>29</v>
      </c>
      <c r="M9" s="17"/>
      <c r="N9" s="17"/>
      <c r="O9" s="17"/>
      <c r="P9" s="18"/>
      <c r="Q9" s="18"/>
      <c r="R9" s="18"/>
      <c r="S9" s="18"/>
      <c r="T9" s="18"/>
      <c r="U9" s="18"/>
      <c r="V9" s="18"/>
      <c r="W9" s="18"/>
    </row>
    <row r="10" spans="1:23" s="22" customFormat="1" ht="21" customHeight="1" x14ac:dyDescent="0.15">
      <c r="A10" s="56" t="str">
        <f>IFERROR(IF(HLOOKUP($L$6,RangeUnitsetsOGEDUC,M10,FALSE)=0,"",HLOOKUP($L$6,RangeUnitsetsOGEDUC,M10,FALSE)),"")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6" t="str">
        <f>IFERROR(VLOOKUP($A10,TableHandbook[],H$2,FALSE),"")</f>
        <v>Y</v>
      </c>
      <c r="I10" s="267" t="str">
        <f>IFERROR(VLOOKUP($A10,TableHandbook[],I$2,FALSE),"")</f>
        <v>Y</v>
      </c>
      <c r="J10" s="267" t="str">
        <f>IFERROR(VLOOKUP($A10,TableHandbook[],J$2,FALSE),"")</f>
        <v/>
      </c>
      <c r="K10" s="274"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IFERROR(IF(HLOOKUP($L$6,RangeUnitsetsOGEDUC,M11,FALSE)=0,"",HLOOKUP($L$6,RangeUnitsetsOGEDUC,M11,FALSE)),"")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
      </c>
      <c r="J11" s="267" t="str">
        <f>IFERROR(VLOOKUP($A11,TableHandbook[],J$2,FALSE),"")</f>
        <v>Y</v>
      </c>
      <c r="K11" s="274" t="str">
        <f>IFERROR(VLOOKUP($A11,TableHandbook[],K$2,FALSE),"")</f>
        <v/>
      </c>
      <c r="L11" s="58"/>
      <c r="M11" s="157">
        <v>3</v>
      </c>
      <c r="N11" s="20"/>
      <c r="O11" s="20"/>
      <c r="P11" s="21"/>
      <c r="Q11" s="21"/>
      <c r="R11" s="21"/>
      <c r="S11" s="21"/>
      <c r="T11" s="21"/>
      <c r="U11" s="21"/>
      <c r="V11" s="21"/>
      <c r="W11" s="21"/>
    </row>
    <row r="12" spans="1:23" s="22" customFormat="1" ht="6" customHeight="1" x14ac:dyDescent="0.15">
      <c r="A12" s="198"/>
      <c r="B12" s="199"/>
      <c r="C12" s="199"/>
      <c r="D12" s="200"/>
      <c r="E12" s="199"/>
      <c r="F12" s="201"/>
      <c r="G12" s="199"/>
      <c r="H12" s="268"/>
      <c r="I12" s="269"/>
      <c r="J12" s="269"/>
      <c r="K12" s="277"/>
      <c r="L12" s="204"/>
      <c r="M12" s="157"/>
      <c r="N12" s="20"/>
      <c r="O12" s="20"/>
      <c r="P12" s="20"/>
      <c r="Q12" s="21"/>
      <c r="R12" s="21"/>
      <c r="S12" s="21"/>
      <c r="T12" s="21"/>
      <c r="U12" s="21"/>
      <c r="V12" s="21"/>
      <c r="W12" s="21"/>
    </row>
    <row r="13" spans="1:23" s="22" customFormat="1" ht="21" customHeight="1" x14ac:dyDescent="0.15">
      <c r="A13" s="56" t="str">
        <f>IFERROR(IF(HLOOKUP($L$6,RangeUnitsetsOGEDUC,M13,FALSE)=0,"",HLOOKUP($L$6,RangeUnitsetsOGEDUC,M13,FALSE)),"")</f>
        <v>EDPR5012</v>
      </c>
      <c r="B13" s="50">
        <f>IFERROR(IF(VLOOKUP($A13,TableHandbook[],2,FALSE)=0,"",VLOOKUP($A13,TableHandbook[],2,FALSE)),"")</f>
        <v>1</v>
      </c>
      <c r="C13" s="50" t="str">
        <f>IFERROR(IF(VLOOKUP($A13,TableHandbook[],3,FALSE)=0,"",VLOOKUP($A13,TableHandbook[],3,FALSE)),"")</f>
        <v>MTP505</v>
      </c>
      <c r="D13" s="57" t="str">
        <f>IFERROR(IF(VLOOKUP($A13,TableHandbook[],4,FALSE)=0,"",VLOOKUP($A13,TableHandbook[],4,FALSE)),"")</f>
        <v>Teaching Science in the Primary Years</v>
      </c>
      <c r="E13" s="50" t="str">
        <f>IF(OR(A13="",A13="--"),"",VLOOKUP($D$7,TableStudyPeriods[],3,FALSE))</f>
        <v>SP2</v>
      </c>
      <c r="F13" s="49" t="str">
        <f>IFERROR(IF(VLOOKUP($A13,TableHandbook[],6,FALSE)=0,"",VLOOKUP($A13,TableHandbook[],6,FALSE)),"")</f>
        <v>Nil</v>
      </c>
      <c r="G13" s="50">
        <f>IFERROR(IF(VLOOKUP($A13,TableHandbook[],5,FALSE)=0,"",VLOOKUP($A13,TableHandbook[],5,FALSE)),"")</f>
        <v>25</v>
      </c>
      <c r="H13" s="266" t="str">
        <f>IFERROR(VLOOKUP($A13,TableHandbook[],H$2,FALSE),"")</f>
        <v/>
      </c>
      <c r="I13" s="267" t="str">
        <f>IFERROR(VLOOKUP($A13,TableHandbook[],I$2,FALSE),"")</f>
        <v>Y</v>
      </c>
      <c r="J13" s="267" t="str">
        <f>IFERROR(VLOOKUP($A13,TableHandbook[],J$2,FALSE),"")</f>
        <v/>
      </c>
      <c r="K13" s="274"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IFERROR(IF(HLOOKUP($L$6,RangeUnitsetsOGEDUC,M14,FALSE)=0,"",HLOOKUP($L$6,RangeUnitsetsOGEDUC,M14,FALSE)),"")</f>
        <v>EDPR5013</v>
      </c>
      <c r="B14" s="50">
        <f>IFERROR(IF(VLOOKUP($A14,TableHandbook[],2,FALSE)=0,"",VLOOKUP($A14,TableHandbook[],2,FALSE)),"")</f>
        <v>1</v>
      </c>
      <c r="C14" s="50" t="str">
        <f>IFERROR(IF(VLOOKUP($A14,TableHandbook[],3,FALSE)=0,"",VLOOKUP($A14,TableHandbook[],3,FALSE)),"")</f>
        <v>MTP506</v>
      </c>
      <c r="D14" s="57" t="str">
        <f>IFERROR(IF(VLOOKUP($A14,TableHandbook[],4,FALSE)=0,"",VLOOKUP($A14,TableHandbook[],4,FALSE)),"")</f>
        <v>Primary Professional Experience 2: Assessment and Reporting</v>
      </c>
      <c r="E14" s="50" t="str">
        <f>IF(A14="","",E13)</f>
        <v>SP2</v>
      </c>
      <c r="F14" s="49" t="str">
        <f>IFERROR(IF(VLOOKUP($A14,TableHandbook[],6,FALSE)=0,"",VLOOKUP($A14,TableHandbook[],6,FALSE)),"")</f>
        <v>MTP502</v>
      </c>
      <c r="G14" s="50">
        <f>IFERROR(IF(VLOOKUP($A14,TableHandbook[],5,FALSE)=0,"",VLOOKUP($A14,TableHandbook[],5,FALSE)),"")</f>
        <v>25</v>
      </c>
      <c r="H14" s="266" t="str">
        <f>IFERROR(VLOOKUP($A14,TableHandbook[],H$2,FALSE),"")</f>
        <v/>
      </c>
      <c r="I14" s="267" t="str">
        <f>IFERROR(VLOOKUP($A14,TableHandbook[],I$2,FALSE),"")</f>
        <v>Y</v>
      </c>
      <c r="J14" s="267" t="str">
        <f>IFERROR(VLOOKUP($A14,TableHandbook[],J$2,FALSE),"")</f>
        <v>Y</v>
      </c>
      <c r="K14" s="274" t="str">
        <f>IFERROR(VLOOKUP($A14,TableHandbook[],K$2,FALSE),"")</f>
        <v/>
      </c>
      <c r="L14" s="58"/>
      <c r="M14" s="157">
        <v>5</v>
      </c>
      <c r="N14" s="20"/>
      <c r="O14" s="20"/>
      <c r="P14" s="21"/>
      <c r="Q14" s="21"/>
      <c r="R14" s="21"/>
      <c r="S14" s="21"/>
      <c r="T14" s="21"/>
      <c r="U14" s="21"/>
      <c r="V14" s="21"/>
      <c r="W14" s="21"/>
    </row>
    <row r="15" spans="1:23" s="22" customFormat="1" ht="6" customHeight="1" x14ac:dyDescent="0.15">
      <c r="A15" s="198"/>
      <c r="B15" s="199"/>
      <c r="C15" s="199"/>
      <c r="D15" s="200"/>
      <c r="E15" s="199"/>
      <c r="F15" s="201"/>
      <c r="G15" s="199"/>
      <c r="H15" s="268"/>
      <c r="I15" s="269"/>
      <c r="J15" s="269"/>
      <c r="K15" s="277"/>
      <c r="L15" s="204"/>
      <c r="M15" s="157"/>
      <c r="N15" s="20"/>
      <c r="O15" s="20"/>
      <c r="P15" s="20"/>
      <c r="Q15" s="21"/>
      <c r="R15" s="21"/>
      <c r="S15" s="21"/>
      <c r="T15" s="21"/>
      <c r="U15" s="21"/>
      <c r="V15" s="21"/>
      <c r="W15" s="21"/>
    </row>
    <row r="16" spans="1:23" s="22" customFormat="1" ht="21" customHeight="1" x14ac:dyDescent="0.15">
      <c r="A16" s="56" t="str">
        <f>IFERROR(IF(HLOOKUP($L$6,RangeUnitsetsOGEDUC,M16,FALSE)=0,"",HLOOKUP($L$6,RangeUnitsetsOGEDUC,M16,FALSE)),"")</f>
        <v>EDUC5032</v>
      </c>
      <c r="B16" s="52">
        <f>IFERROR(IF(VLOOKUP($A16,TableHandbook[],2,FALSE)=0,"",VLOOKUP($A16,TableHandbook[],2,FALSE)),"")</f>
        <v>1</v>
      </c>
      <c r="C16" s="52" t="str">
        <f>IFERROR(IF(VLOOKUP($A16,TableHandbook[],3,FALSE)=0,"",VLOOKUP($A16,TableHandbook[],3,FALSE)),"")</f>
        <v>MTC510</v>
      </c>
      <c r="D16" s="57" t="str">
        <f>IFERROR(IF(VLOOKUP($A16,TableHandbook[],4,FALSE)=0,"",VLOOKUP($A16,TableHandbook[],4,FALSE)),"")</f>
        <v>Introduction to English: Reading</v>
      </c>
      <c r="E16" s="50" t="str">
        <f>IF(OR(A16="",A16="--"),"",VLOOKUP($D$7,TableStudyPeriods[],4,FALSE))</f>
        <v>SP3</v>
      </c>
      <c r="F16" s="49" t="str">
        <f>IFERROR(IF(VLOOKUP($A16,TableHandbook[],6,FALSE)=0,"",VLOOKUP($A16,TableHandbook[],6,FALSE)),"")</f>
        <v>Nil</v>
      </c>
      <c r="G16" s="52">
        <f>IFERROR(IF(VLOOKUP($A16,TableHandbook[],5,FALSE)=0,"",VLOOKUP($A16,TableHandbook[],5,FALSE)),"")</f>
        <v>25</v>
      </c>
      <c r="H16" s="271" t="str">
        <f>IFERROR(VLOOKUP($A16,TableHandbook[],H$2,FALSE),"")</f>
        <v>Y</v>
      </c>
      <c r="I16" s="272" t="str">
        <f>IFERROR(VLOOKUP($A16,TableHandbook[],I$2,FALSE),"")</f>
        <v/>
      </c>
      <c r="J16" s="272" t="str">
        <f>IFERROR(VLOOKUP($A16,TableHandbook[],J$2,FALSE),"")</f>
        <v>Y</v>
      </c>
      <c r="K16" s="273"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IF(A17="","",E16)</f>
        <v>SP3</v>
      </c>
      <c r="F17" s="49" t="str">
        <f>IFERROR(IF(VLOOKUP($A17,TableHandbook[],6,FALSE)=0,"",VLOOKUP($A17,TableHandbook[],6,FALSE)),"")</f>
        <v>MTEC502 or MTP506 or MTS504</v>
      </c>
      <c r="G17" s="52">
        <f>IFERROR(IF(VLOOKUP($A17,TableHandbook[],5,FALSE)=0,"",VLOOKUP($A17,TableHandbook[],5,FALSE)),"")</f>
        <v>25</v>
      </c>
      <c r="H17" s="271" t="str">
        <f>IFERROR(VLOOKUP($A17,TableHandbook[],H$2,FALSE),"")</f>
        <v>Y</v>
      </c>
      <c r="I17" s="272" t="str">
        <f>IFERROR(VLOOKUP($A17,TableHandbook[],I$2,FALSE),"")</f>
        <v/>
      </c>
      <c r="J17" s="272" t="str">
        <f>IFERROR(VLOOKUP($A17,TableHandbook[],J$2,FALSE),"")</f>
        <v>Y</v>
      </c>
      <c r="K17" s="273" t="str">
        <f>IFERROR(VLOOKUP($A17,TableHandbook[],K$2,FALSE),"")</f>
        <v/>
      </c>
      <c r="L17" s="59"/>
      <c r="M17" s="157">
        <v>7</v>
      </c>
      <c r="N17" s="29"/>
      <c r="O17" s="29"/>
      <c r="P17" s="30"/>
      <c r="Q17" s="30"/>
      <c r="R17" s="30"/>
      <c r="S17" s="30"/>
      <c r="T17" s="30"/>
      <c r="U17" s="30"/>
      <c r="V17" s="30"/>
      <c r="W17" s="30"/>
    </row>
    <row r="18" spans="1:23" s="22" customFormat="1" ht="6" customHeight="1" x14ac:dyDescent="0.15">
      <c r="A18" s="198"/>
      <c r="B18" s="199"/>
      <c r="C18" s="199"/>
      <c r="D18" s="200"/>
      <c r="E18" s="199"/>
      <c r="F18" s="201"/>
      <c r="G18" s="199"/>
      <c r="H18" s="268"/>
      <c r="I18" s="269"/>
      <c r="J18" s="269"/>
      <c r="K18" s="277"/>
      <c r="L18" s="204"/>
      <c r="M18" s="157"/>
      <c r="N18" s="20"/>
      <c r="O18" s="20"/>
      <c r="P18" s="20"/>
      <c r="Q18" s="21"/>
      <c r="R18" s="21"/>
      <c r="S18" s="21"/>
      <c r="T18" s="21"/>
      <c r="U18" s="21"/>
      <c r="V18" s="21"/>
      <c r="W18" s="21"/>
    </row>
    <row r="19" spans="1:23" s="31" customFormat="1" ht="21" customHeight="1" x14ac:dyDescent="0.15">
      <c r="A19" s="56" t="str">
        <f>IFERROR(IF(HLOOKUP($L$6,RangeUnitsetsOGEDUC,M19,FALSE)=0,"",HLOOKUP($L$6,RangeUnitsetsOGEDUC,M19,FALSE)),"")</f>
        <v>EDPR5010</v>
      </c>
      <c r="B19" s="52">
        <f>IFERROR(IF(VLOOKUP($A19,TableHandbook[],2,FALSE)=0,"",VLOOKUP($A19,TableHandbook[],2,FALSE)),"")</f>
        <v>1</v>
      </c>
      <c r="C19" s="52" t="str">
        <f>IFERROR(IF(VLOOKUP($A19,TableHandbook[],3,FALSE)=0,"",VLOOKUP($A19,TableHandbook[],3,FALSE)),"")</f>
        <v>MTP501</v>
      </c>
      <c r="D19" s="57" t="str">
        <f>IFERROR(IF(VLOOKUP($A19,TableHandbook[],4,FALSE)=0,"",VLOOKUP($A19,TableHandbook[],4,FALSE)),"")</f>
        <v>Teaching Number, Algebra and Probability in the Primary Years</v>
      </c>
      <c r="E19" s="50" t="str">
        <f>IF(OR(A19="",A19="--"),"",VLOOKUP($D$7,TableStudyPeriods[],5,FALSE))</f>
        <v>SP4</v>
      </c>
      <c r="F19" s="49" t="str">
        <f>IFERROR(IF(VLOOKUP($A19,TableHandbook[],6,FALSE)=0,"",VLOOKUP($A19,TableHandbook[],6,FALSE)),"")</f>
        <v>Nil</v>
      </c>
      <c r="G19" s="52">
        <f>IFERROR(IF(VLOOKUP($A19,TableHandbook[],5,FALSE)=0,"",VLOOKUP($A19,TableHandbook[],5,FALSE)),"")</f>
        <v>25</v>
      </c>
      <c r="H19" s="271" t="str">
        <f>IFERROR(VLOOKUP($A19,TableHandbook[],H$2,FALSE),"")</f>
        <v/>
      </c>
      <c r="I19" s="272" t="str">
        <f>IFERROR(VLOOKUP($A19,TableHandbook[],I$2,FALSE),"")</f>
        <v>Y</v>
      </c>
      <c r="J19" s="272" t="str">
        <f>IFERROR(VLOOKUP($A19,TableHandbook[],J$2,FALSE),"")</f>
        <v/>
      </c>
      <c r="K19" s="273" t="str">
        <f>IFERROR(VLOOKUP($A19,TableHandbook[],K$2,FALSE),"")</f>
        <v>Y</v>
      </c>
      <c r="L19" s="59"/>
      <c r="M19" s="157">
        <v>8</v>
      </c>
      <c r="N19" s="29"/>
      <c r="O19" s="29"/>
      <c r="P19" s="30"/>
      <c r="Q19" s="30"/>
      <c r="R19" s="30"/>
      <c r="S19" s="30"/>
      <c r="T19" s="30"/>
      <c r="U19" s="30"/>
      <c r="V19" s="30"/>
      <c r="W19" s="30"/>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5" t="str">
        <f>IFERROR(IF(VLOOKUP($A20,TableHandbook[],4,FALSE)=0,"",VLOOKUP($A20,TableHandbook[],4,FALSE)),"")</f>
        <v>Creative Technologies</v>
      </c>
      <c r="E20" s="52" t="str">
        <f>IF(A20="","",E19)</f>
        <v>SP4</v>
      </c>
      <c r="F20" s="49" t="str">
        <f>IFERROR(IF(VLOOKUP($A20,TableHandbook[],6,FALSE)=0,"",VLOOKUP($A20,TableHandbook[],6,FALSE)),"")</f>
        <v>Nil</v>
      </c>
      <c r="G20" s="52">
        <f>IFERROR(IF(VLOOKUP($A20,TableHandbook[],5,FALSE)=0,"",VLOOKUP($A20,TableHandbook[],5,FALSE)),"")</f>
        <v>25</v>
      </c>
      <c r="H20" s="271" t="str">
        <f>IFERROR(VLOOKUP($A20,TableHandbook[],H$2,FALSE),"")</f>
        <v/>
      </c>
      <c r="I20" s="272" t="str">
        <f>IFERROR(VLOOKUP($A20,TableHandbook[],I$2,FALSE),"")</f>
        <v>Y</v>
      </c>
      <c r="J20" s="272" t="str">
        <f>IFERROR(VLOOKUP($A20,TableHandbook[],J$2,FALSE),"")</f>
        <v>Y</v>
      </c>
      <c r="K20" s="273" t="str">
        <f>IFERROR(VLOOKUP($A20,TableHandbook[],K$2,FALSE),"")</f>
        <v>Y</v>
      </c>
      <c r="L20" s="59"/>
      <c r="M20" s="157">
        <v>9</v>
      </c>
      <c r="N20" s="29"/>
      <c r="O20" s="29"/>
      <c r="P20" s="30"/>
      <c r="Q20" s="30"/>
      <c r="R20" s="30"/>
      <c r="S20" s="30"/>
      <c r="T20" s="30"/>
      <c r="U20" s="30"/>
      <c r="V20" s="30"/>
      <c r="W20" s="30"/>
    </row>
    <row r="21" spans="1:23" ht="16.5" customHeight="1" x14ac:dyDescent="0.25">
      <c r="A21" s="39"/>
      <c r="B21" s="39"/>
      <c r="C21" s="39"/>
      <c r="D21" s="40"/>
      <c r="E21" s="40"/>
      <c r="F21" s="35"/>
      <c r="G21" s="35"/>
      <c r="H21" s="35"/>
      <c r="I21" s="35"/>
      <c r="J21" s="35"/>
      <c r="K21" s="35"/>
      <c r="L21" s="35"/>
      <c r="M21" s="16"/>
      <c r="N21" s="16"/>
      <c r="O21" s="16"/>
      <c r="P21" s="16"/>
      <c r="Q21" s="16"/>
      <c r="R21" s="16"/>
      <c r="S21" s="16"/>
      <c r="T21" s="16"/>
      <c r="U21" s="16"/>
      <c r="V21" s="16"/>
      <c r="W21" s="16"/>
    </row>
    <row r="22" spans="1:23" s="16" customFormat="1" ht="21" customHeight="1" x14ac:dyDescent="0.25">
      <c r="A22" s="65" t="s">
        <v>32</v>
      </c>
      <c r="B22" s="65"/>
      <c r="C22" s="65"/>
      <c r="D22" s="65"/>
      <c r="E22" s="65"/>
      <c r="F22" s="65"/>
      <c r="G22" s="65"/>
      <c r="H22" s="65"/>
      <c r="I22" s="65"/>
      <c r="J22" s="65"/>
      <c r="K22" s="65"/>
      <c r="L22" s="65"/>
    </row>
    <row r="23" spans="1:23" s="38" customFormat="1" ht="17.25" x14ac:dyDescent="0.2">
      <c r="A23" s="32" t="s">
        <v>33</v>
      </c>
      <c r="B23" s="32"/>
      <c r="C23" s="32"/>
      <c r="D23" s="33"/>
      <c r="E23" s="33"/>
      <c r="F23" s="33"/>
      <c r="G23" s="33"/>
      <c r="H23" s="33"/>
      <c r="I23" s="33"/>
      <c r="J23" s="33"/>
      <c r="K23" s="33"/>
      <c r="L23" s="33"/>
      <c r="M23" s="36"/>
      <c r="N23" s="36"/>
      <c r="O23" s="36"/>
      <c r="P23" s="37"/>
      <c r="Q23" s="37"/>
      <c r="R23" s="37"/>
      <c r="S23" s="37"/>
      <c r="T23" s="37"/>
      <c r="U23" s="37"/>
      <c r="V23" s="37"/>
      <c r="W23" s="37"/>
    </row>
    <row r="24" spans="1:23" x14ac:dyDescent="0.25">
      <c r="A24" s="34" t="s">
        <v>34</v>
      </c>
      <c r="B24" s="34"/>
      <c r="C24" s="34"/>
      <c r="D24" s="34"/>
      <c r="E24" s="47"/>
      <c r="F24" s="35"/>
      <c r="G24" s="48"/>
      <c r="H24" s="48"/>
      <c r="I24" s="48"/>
      <c r="J24" s="48"/>
      <c r="K24" s="48"/>
      <c r="L24" s="48" t="s">
        <v>35</v>
      </c>
    </row>
  </sheetData>
  <sheetProtection formatCells="0"/>
  <mergeCells count="1">
    <mergeCell ref="A3:D3"/>
  </mergeCells>
  <conditionalFormatting sqref="D5:D7">
    <cfRule type="containsText" dxfId="79" priority="4" operator="containsText" text="Choose">
      <formula>NOT(ISERROR(SEARCH("Choose",D5)))</formula>
    </cfRule>
  </conditionalFormatting>
  <conditionalFormatting sqref="H10:K20">
    <cfRule type="expression" dxfId="78" priority="1">
      <formula>$E10=H$9</formula>
    </cfRule>
  </conditionalFormatting>
  <dataValidations count="1">
    <dataValidation type="list" allowBlank="1" showInputMessage="1" showErrorMessage="1" sqref="L15 L12 L18" xr:uid="{00000000-0002-0000-0900-000000000000}"/>
  </dataValidations>
  <hyperlinks>
    <hyperlink ref="A23:L23"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W23"/>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53" t="s">
        <v>270</v>
      </c>
      <c r="E4" s="237"/>
      <c r="F4" s="235"/>
      <c r="G4" s="238"/>
      <c r="H4" s="238"/>
      <c r="I4" s="238"/>
      <c r="J4" s="238"/>
      <c r="K4" s="238"/>
      <c r="L4" s="238"/>
    </row>
    <row r="5" spans="1:23"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8"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64" t="s">
        <v>25</v>
      </c>
      <c r="I9" s="265" t="s">
        <v>26</v>
      </c>
      <c r="J9" s="265" t="s">
        <v>27</v>
      </c>
      <c r="K9" s="270" t="s">
        <v>28</v>
      </c>
      <c r="L9" s="113" t="s">
        <v>29</v>
      </c>
      <c r="M9" s="17"/>
      <c r="N9" s="17"/>
      <c r="O9" s="17"/>
      <c r="P9" s="18"/>
      <c r="Q9" s="18"/>
      <c r="R9" s="18"/>
      <c r="S9" s="18"/>
      <c r="T9" s="18"/>
      <c r="U9" s="18"/>
      <c r="V9" s="18"/>
      <c r="W9" s="18"/>
    </row>
    <row r="10" spans="1:23" s="22" customFormat="1" ht="21" customHeight="1" x14ac:dyDescent="0.15">
      <c r="A10" s="56" t="str">
        <f>IFERROR(IF(HLOOKUP($L$6,RangeUnitsetsOGEDUCAcc,M10,FALSE)=0,"",HLOOKUP($L$6,RangeUnitsetsOGEDUCAcc,M10,FALSE)),"")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6" t="str">
        <f>IFERROR(VLOOKUP($A10,TableHandbook[],H$2,FALSE),"")</f>
        <v>Y</v>
      </c>
      <c r="I10" s="267" t="str">
        <f>IFERROR(VLOOKUP($A10,TableHandbook[],I$2,FALSE),"")</f>
        <v>Y</v>
      </c>
      <c r="J10" s="267" t="str">
        <f>IFERROR(VLOOKUP($A10,TableHandbook[],J$2,FALSE),"")</f>
        <v/>
      </c>
      <c r="K10" s="274"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IFERROR(IF(HLOOKUP($L$6,RangeUnitsetsOGEDUCAcc,M11,FALSE)=0,"",HLOOKUP($L$6,RangeUnitsetsOGEDUCAcc,M11,FALSE)),"")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
      </c>
      <c r="J11" s="267" t="str">
        <f>IFERROR(VLOOKUP($A11,TableHandbook[],J$2,FALSE),"")</f>
        <v>Y</v>
      </c>
      <c r="K11" s="274" t="str">
        <f>IFERROR(VLOOKUP($A11,TableHandbook[],K$2,FALSE),"")</f>
        <v/>
      </c>
      <c r="L11" s="58"/>
      <c r="M11" s="157">
        <v>3</v>
      </c>
      <c r="N11" s="20"/>
      <c r="O11" s="20"/>
      <c r="P11" s="21"/>
      <c r="Q11" s="21"/>
      <c r="R11" s="21"/>
      <c r="S11" s="21"/>
      <c r="T11" s="21"/>
      <c r="U11" s="21"/>
      <c r="V11" s="21"/>
      <c r="W11" s="21"/>
    </row>
    <row r="12" spans="1:23" s="22" customFormat="1" ht="21" customHeight="1" x14ac:dyDescent="0.15">
      <c r="A12" s="56" t="str">
        <f>IFERROR(IF(HLOOKUP($L$6,RangeUnitsetsOGEDUCAcc,M12,FALSE)=0,"",HLOOKUP($L$6,RangeUnitsetsOGEDUCAcc,M12,FALSE)),"")</f>
        <v>EDUC5032</v>
      </c>
      <c r="B12" s="50">
        <f>IFERROR(IF(VLOOKUP($A12,TableHandbook[],2,FALSE)=0,"",VLOOKUP($A12,TableHandbook[],2,FALSE)),"")</f>
        <v>1</v>
      </c>
      <c r="C12" s="50" t="str">
        <f>IFERROR(IF(VLOOKUP($A12,TableHandbook[],3,FALSE)=0,"",VLOOKUP($A12,TableHandbook[],3,FALSE)),"")</f>
        <v>MTC510</v>
      </c>
      <c r="D12" s="57" t="str">
        <f>IFERROR(IF(VLOOKUP($A12,TableHandbook[],4,FALSE)=0,"",VLOOKUP($A12,TableHandbook[],4,FALSE)),"")</f>
        <v>Introduction to English: Reading</v>
      </c>
      <c r="E12" s="50" t="str">
        <f>IF(A12="","",E11)</f>
        <v>SP1</v>
      </c>
      <c r="F12" s="49" t="str">
        <f>IFERROR(IF(VLOOKUP($A12,TableHandbook[],6,FALSE)=0,"",VLOOKUP($A12,TableHandbook[],6,FALSE)),"")</f>
        <v>Nil</v>
      </c>
      <c r="G12" s="50">
        <f>IFERROR(IF(VLOOKUP($A12,TableHandbook[],5,FALSE)=0,"",VLOOKUP($A12,TableHandbook[],5,FALSE)),"")</f>
        <v>25</v>
      </c>
      <c r="H12" s="266" t="str">
        <f>IFERROR(VLOOKUP($A12,TableHandbook[],H$2,FALSE),"")</f>
        <v>Y</v>
      </c>
      <c r="I12" s="267" t="str">
        <f>IFERROR(VLOOKUP($A12,TableHandbook[],I$2,FALSE),"")</f>
        <v/>
      </c>
      <c r="J12" s="267" t="str">
        <f>IFERROR(VLOOKUP($A12,TableHandbook[],J$2,FALSE),"")</f>
        <v>Y</v>
      </c>
      <c r="K12" s="274" t="str">
        <f>IFERROR(VLOOKUP($A12,TableHandbook[],K$2,FALSE),"")</f>
        <v/>
      </c>
      <c r="L12" s="59"/>
      <c r="M12" s="157">
        <v>4</v>
      </c>
      <c r="N12" s="20"/>
      <c r="O12" s="20"/>
      <c r="P12" s="21"/>
      <c r="Q12" s="21"/>
      <c r="R12" s="21"/>
      <c r="S12" s="21"/>
      <c r="T12" s="21"/>
      <c r="U12" s="21"/>
      <c r="V12" s="21"/>
      <c r="W12" s="21"/>
    </row>
    <row r="13" spans="1:23" s="22" customFormat="1" ht="6" customHeight="1" x14ac:dyDescent="0.15">
      <c r="A13" s="198"/>
      <c r="B13" s="199"/>
      <c r="C13" s="199"/>
      <c r="D13" s="200"/>
      <c r="E13" s="199"/>
      <c r="F13" s="201"/>
      <c r="G13" s="199"/>
      <c r="H13" s="268"/>
      <c r="I13" s="269"/>
      <c r="J13" s="269"/>
      <c r="K13" s="277"/>
      <c r="L13" s="204"/>
      <c r="M13" s="157"/>
      <c r="N13" s="20"/>
      <c r="O13" s="20"/>
      <c r="P13" s="20"/>
      <c r="Q13" s="21"/>
      <c r="R13" s="21"/>
      <c r="S13" s="21"/>
      <c r="T13" s="21"/>
      <c r="U13" s="21"/>
      <c r="V13" s="21"/>
      <c r="W13" s="21"/>
    </row>
    <row r="14" spans="1:23" s="22" customFormat="1" ht="21" customHeight="1" x14ac:dyDescent="0.15">
      <c r="A14" s="56" t="str">
        <f>IFERROR(IF(HLOOKUP($L$6,RangeUnitsetsOGEDUCAcc,M14,FALSE)=0,"",HLOOKUP($L$6,RangeUnitsetsOGEDUCAcc,M14,FALSE)),"")</f>
        <v>EDPR5012</v>
      </c>
      <c r="B14" s="50">
        <f>IFERROR(IF(VLOOKUP($A14,TableHandbook[],2,FALSE)=0,"",VLOOKUP($A14,TableHandbook[],2,FALSE)),"")</f>
        <v>1</v>
      </c>
      <c r="C14" s="50" t="str">
        <f>IFERROR(IF(VLOOKUP($A14,TableHandbook[],3,FALSE)=0,"",VLOOKUP($A14,TableHandbook[],3,FALSE)),"")</f>
        <v>MTP505</v>
      </c>
      <c r="D14" s="57" t="str">
        <f>IFERROR(IF(VLOOKUP($A14,TableHandbook[],4,FALSE)=0,"",VLOOKUP($A14,TableHandbook[],4,FALSE)),"")</f>
        <v>Teaching Science in the Primary Years</v>
      </c>
      <c r="E14" s="50" t="str">
        <f>IF(OR(A14="",A14="--"),"",VLOOKUP($D$7,TableStudyPeriods[],3,FALSE))</f>
        <v>SP2</v>
      </c>
      <c r="F14" s="49" t="str">
        <f>IFERROR(IF(VLOOKUP($A14,TableHandbook[],6,FALSE)=0,"",VLOOKUP($A14,TableHandbook[],6,FALSE)),"")</f>
        <v>Nil</v>
      </c>
      <c r="G14" s="50">
        <f>IFERROR(IF(VLOOKUP($A14,TableHandbook[],5,FALSE)=0,"",VLOOKUP($A14,TableHandbook[],5,FALSE)),"")</f>
        <v>25</v>
      </c>
      <c r="H14" s="266" t="str">
        <f>IFERROR(VLOOKUP($A14,TableHandbook[],H$2,FALSE),"")</f>
        <v/>
      </c>
      <c r="I14" s="267" t="str">
        <f>IFERROR(VLOOKUP($A14,TableHandbook[],I$2,FALSE),"")</f>
        <v>Y</v>
      </c>
      <c r="J14" s="267" t="str">
        <f>IFERROR(VLOOKUP($A14,TableHandbook[],J$2,FALSE),"")</f>
        <v/>
      </c>
      <c r="K14" s="274" t="str">
        <f>IFERROR(VLOOKUP($A14,TableHandbook[],K$2,FALSE),"")</f>
        <v/>
      </c>
      <c r="L14" s="58"/>
      <c r="M14" s="157">
        <v>5</v>
      </c>
      <c r="N14" s="20"/>
      <c r="O14" s="20"/>
      <c r="P14" s="21"/>
      <c r="Q14" s="21"/>
      <c r="R14" s="21"/>
      <c r="S14" s="21"/>
      <c r="T14" s="21"/>
      <c r="U14" s="21"/>
      <c r="V14" s="21"/>
      <c r="W14" s="21"/>
    </row>
    <row r="15" spans="1:23" s="22" customFormat="1" ht="21" customHeight="1" x14ac:dyDescent="0.15">
      <c r="A15" s="56" t="str">
        <f>IFERROR(IF(HLOOKUP($L$6,RangeUnitsetsOGEDUCAcc,M15,FALSE)=0,"",HLOOKUP($L$6,RangeUnitsetsOGEDUCAcc,M15,FALSE)),"")</f>
        <v>EDPR5013</v>
      </c>
      <c r="B15" s="52">
        <f>IFERROR(IF(VLOOKUP($A15,TableHandbook[],2,FALSE)=0,"",VLOOKUP($A15,TableHandbook[],2,FALSE)),"")</f>
        <v>1</v>
      </c>
      <c r="C15" s="52" t="str">
        <f>IFERROR(IF(VLOOKUP($A15,TableHandbook[],3,FALSE)=0,"",VLOOKUP($A15,TableHandbook[],3,FALSE)),"")</f>
        <v>MTP506</v>
      </c>
      <c r="D15" s="57" t="str">
        <f>IFERROR(IF(VLOOKUP($A15,TableHandbook[],4,FALSE)=0,"",VLOOKUP($A15,TableHandbook[],4,FALSE)),"")</f>
        <v>Primary Professional Experience 2: Assessment and Reporting</v>
      </c>
      <c r="E15" s="50" t="str">
        <f>IF(A15="","",E14)</f>
        <v>SP2</v>
      </c>
      <c r="F15" s="49" t="str">
        <f>IFERROR(IF(VLOOKUP($A15,TableHandbook[],6,FALSE)=0,"",VLOOKUP($A15,TableHandbook[],6,FALSE)),"")</f>
        <v>MTP502</v>
      </c>
      <c r="G15" s="52">
        <f>IFERROR(IF(VLOOKUP($A15,TableHandbook[],5,FALSE)=0,"",VLOOKUP($A15,TableHandbook[],5,FALSE)),"")</f>
        <v>25</v>
      </c>
      <c r="H15" s="271" t="str">
        <f>IFERROR(VLOOKUP($A15,TableHandbook[],H$2,FALSE),"")</f>
        <v/>
      </c>
      <c r="I15" s="272" t="str">
        <f>IFERROR(VLOOKUP($A15,TableHandbook[],I$2,FALSE),"")</f>
        <v>Y</v>
      </c>
      <c r="J15" s="272" t="str">
        <f>IFERROR(VLOOKUP($A15,TableHandbook[],J$2,FALSE),"")</f>
        <v>Y</v>
      </c>
      <c r="K15" s="273" t="str">
        <f>IFERROR(VLOOKUP($A15,TableHandbook[],K$2,FALSE),"")</f>
        <v/>
      </c>
      <c r="L15" s="59"/>
      <c r="M15" s="157">
        <v>6</v>
      </c>
      <c r="N15" s="20"/>
      <c r="O15" s="20"/>
      <c r="P15" s="21"/>
      <c r="Q15" s="21"/>
      <c r="R15" s="21"/>
      <c r="S15" s="21"/>
      <c r="T15" s="21"/>
      <c r="U15" s="21"/>
      <c r="V15" s="21"/>
      <c r="W15" s="21"/>
    </row>
    <row r="16" spans="1:23" s="31" customFormat="1" ht="21" customHeight="1" x14ac:dyDescent="0.15">
      <c r="A16" s="56" t="str">
        <f>IFERROR(IF(HLOOKUP($L$6,RangeUnitsetsOGEDUCAcc,M16,FALSE)=0,"",HLOOKUP($L$6,RangeUnitsetsOGEDUCAcc,M16,FALSE)),"")</f>
        <v>EDPR5010</v>
      </c>
      <c r="B16" s="52">
        <f>IFERROR(IF(VLOOKUP($A16,TableHandbook[],2,FALSE)=0,"",VLOOKUP($A16,TableHandbook[],2,FALSE)),"")</f>
        <v>1</v>
      </c>
      <c r="C16" s="52" t="str">
        <f>IFERROR(IF(VLOOKUP($A16,TableHandbook[],3,FALSE)=0,"",VLOOKUP($A16,TableHandbook[],3,FALSE)),"")</f>
        <v>MTP501</v>
      </c>
      <c r="D16" s="57" t="str">
        <f>IFERROR(IF(VLOOKUP($A16,TableHandbook[],4,FALSE)=0,"",VLOOKUP($A16,TableHandbook[],4,FALSE)),"")</f>
        <v>Teaching Number, Algebra and Probability in the Primary Years</v>
      </c>
      <c r="E16" s="50" t="str">
        <f>IF(A16="","",E15)</f>
        <v>SP2</v>
      </c>
      <c r="F16" s="49" t="str">
        <f>IFERROR(IF(VLOOKUP($A16,TableHandbook[],6,FALSE)=0,"",VLOOKUP($A16,TableHandbook[],6,FALSE)),"")</f>
        <v>Nil</v>
      </c>
      <c r="G16" s="52">
        <f>IFERROR(IF(VLOOKUP($A16,TableHandbook[],5,FALSE)=0,"",VLOOKUP($A16,TableHandbook[],5,FALSE)),"")</f>
        <v>25</v>
      </c>
      <c r="H16" s="271" t="str">
        <f>IFERROR(VLOOKUP($A16,TableHandbook[],H$2,FALSE),"")</f>
        <v/>
      </c>
      <c r="I16" s="272" t="str">
        <f>IFERROR(VLOOKUP($A16,TableHandbook[],I$2,FALSE),"")</f>
        <v>Y</v>
      </c>
      <c r="J16" s="272" t="str">
        <f>IFERROR(VLOOKUP($A16,TableHandbook[],J$2,FALSE),"")</f>
        <v/>
      </c>
      <c r="K16" s="273" t="str">
        <f>IFERROR(VLOOKUP($A16,TableHandbook[],K$2,FALSE),"")</f>
        <v>Y</v>
      </c>
      <c r="L16" s="59"/>
      <c r="M16" s="157">
        <v>7</v>
      </c>
      <c r="N16" s="29"/>
      <c r="O16" s="29"/>
      <c r="P16" s="30"/>
      <c r="Q16" s="30"/>
      <c r="R16" s="30"/>
      <c r="S16" s="30"/>
      <c r="T16" s="30"/>
      <c r="U16" s="30"/>
      <c r="V16" s="30"/>
      <c r="W16" s="30"/>
    </row>
    <row r="17" spans="1:23" s="22" customFormat="1" ht="6" customHeight="1" x14ac:dyDescent="0.15">
      <c r="A17" s="198"/>
      <c r="B17" s="199"/>
      <c r="C17" s="199"/>
      <c r="D17" s="200"/>
      <c r="E17" s="199"/>
      <c r="F17" s="201"/>
      <c r="G17" s="199"/>
      <c r="H17" s="268"/>
      <c r="I17" s="269"/>
      <c r="J17" s="269"/>
      <c r="K17" s="277"/>
      <c r="L17" s="204"/>
      <c r="M17" s="157"/>
      <c r="N17" s="20"/>
      <c r="O17" s="20"/>
      <c r="P17" s="20"/>
      <c r="Q17" s="21"/>
      <c r="R17" s="21"/>
      <c r="S17" s="21"/>
      <c r="T17" s="21"/>
      <c r="U17" s="21"/>
      <c r="V17" s="21"/>
      <c r="W17" s="21"/>
    </row>
    <row r="18" spans="1:23" s="31" customFormat="1" ht="21" customHeight="1" x14ac:dyDescent="0.15">
      <c r="A18" s="56" t="str">
        <f>IFERROR(IF(HLOOKUP($L$6,RangeUnitsetsOGEDUCAcc,M18,FALSE)=0,"",HLOOKUP($L$6,RangeUnitsetsOGEDUCAcc,M18,FALSE)),"")</f>
        <v>EDUC6063</v>
      </c>
      <c r="B18" s="52">
        <f>IFERROR(IF(VLOOKUP($A18,TableHandbook[],2,FALSE)=0,"",VLOOKUP($A18,TableHandbook[],2,FALSE)),"")</f>
        <v>1</v>
      </c>
      <c r="C18" s="52" t="str">
        <f>IFERROR(IF(VLOOKUP($A18,TableHandbook[],3,FALSE)=0,"",VLOOKUP($A18,TableHandbook[],3,FALSE)),"")</f>
        <v>MTC600</v>
      </c>
      <c r="D18" s="57" t="str">
        <f>IFERROR(IF(VLOOKUP($A18,TableHandbook[],4,FALSE)=0,"",VLOOKUP($A18,TableHandbook[],4,FALSE)),"")</f>
        <v>Professional Experience 3: Using Data to Inform Teaching and Learning</v>
      </c>
      <c r="E18" s="50" t="str">
        <f>IF(OR(A18="",A18="--"),"",VLOOKUP($D$7,TableStudyPeriods[],4,FALSE))</f>
        <v>SP3</v>
      </c>
      <c r="F18" s="49" t="str">
        <f>IFERROR(IF(VLOOKUP($A18,TableHandbook[],6,FALSE)=0,"",VLOOKUP($A18,TableHandbook[],6,FALSE)),"")</f>
        <v>MTEC502 or MTP506 or MTS504</v>
      </c>
      <c r="G18" s="52">
        <f>IFERROR(IF(VLOOKUP($A18,TableHandbook[],5,FALSE)=0,"",VLOOKUP($A18,TableHandbook[],5,FALSE)),"")</f>
        <v>25</v>
      </c>
      <c r="H18" s="271" t="str">
        <f>IFERROR(VLOOKUP($A18,TableHandbook[],H$2,FALSE),"")</f>
        <v>Y</v>
      </c>
      <c r="I18" s="272" t="str">
        <f>IFERROR(VLOOKUP($A18,TableHandbook[],I$2,FALSE),"")</f>
        <v/>
      </c>
      <c r="J18" s="272" t="str">
        <f>IFERROR(VLOOKUP($A18,TableHandbook[],J$2,FALSE),"")</f>
        <v>Y</v>
      </c>
      <c r="K18" s="273" t="str">
        <f>IFERROR(VLOOKUP($A18,TableHandbook[],K$2,FALSE),"")</f>
        <v/>
      </c>
      <c r="L18" s="59"/>
      <c r="M18" s="157">
        <v>8</v>
      </c>
      <c r="N18" s="29"/>
      <c r="O18" s="29"/>
      <c r="P18" s="30"/>
      <c r="Q18" s="30"/>
      <c r="R18" s="30"/>
      <c r="S18" s="30"/>
      <c r="T18" s="30"/>
      <c r="U18" s="30"/>
      <c r="V18" s="30"/>
      <c r="W18" s="30"/>
    </row>
    <row r="19" spans="1:23" s="31" customFormat="1" ht="21" customHeight="1" x14ac:dyDescent="0.15">
      <c r="A19" s="56" t="str">
        <f>IFERROR(IF(HLOOKUP($L$6,RangeUnitsetsOGEDUCAcc,M19,FALSE)=0,"",HLOOKUP($L$6,RangeUnitsetsOGEDUCAcc,M19,FALSE)),"")</f>
        <v>EDUC5017</v>
      </c>
      <c r="B19" s="52">
        <f>IFERROR(IF(VLOOKUP($A19,TableHandbook[],2,FALSE)=0,"",VLOOKUP($A19,TableHandbook[],2,FALSE)),"")</f>
        <v>1</v>
      </c>
      <c r="C19" s="52" t="str">
        <f>IFERROR(IF(VLOOKUP($A19,TableHandbook[],3,FALSE)=0,"",VLOOKUP($A19,TableHandbook[],3,FALSE)),"")</f>
        <v>MTPS504</v>
      </c>
      <c r="D19" s="55" t="str">
        <f>IFERROR(IF(VLOOKUP($A19,TableHandbook[],4,FALSE)=0,"",VLOOKUP($A19,TableHandbook[],4,FALSE)),"")</f>
        <v>Creative Technologies</v>
      </c>
      <c r="E19" s="52" t="str">
        <f>IF(A19="","",E18)</f>
        <v>SP3</v>
      </c>
      <c r="F19" s="49" t="str">
        <f>IFERROR(IF(VLOOKUP($A19,TableHandbook[],6,FALSE)=0,"",VLOOKUP($A19,TableHandbook[],6,FALSE)),"")</f>
        <v>Nil</v>
      </c>
      <c r="G19" s="52">
        <f>IFERROR(IF(VLOOKUP($A19,TableHandbook[],5,FALSE)=0,"",VLOOKUP($A19,TableHandbook[],5,FALSE)),"")</f>
        <v>25</v>
      </c>
      <c r="H19" s="271" t="str">
        <f>IFERROR(VLOOKUP($A19,TableHandbook[],H$2,FALSE),"")</f>
        <v/>
      </c>
      <c r="I19" s="272" t="str">
        <f>IFERROR(VLOOKUP($A19,TableHandbook[],I$2,FALSE),"")</f>
        <v>Y</v>
      </c>
      <c r="J19" s="272" t="str">
        <f>IFERROR(VLOOKUP($A19,TableHandbook[],J$2,FALSE),"")</f>
        <v>Y</v>
      </c>
      <c r="K19" s="273" t="str">
        <f>IFERROR(VLOOKUP($A19,TableHandbook[],K$2,FALSE),"")</f>
        <v>Y</v>
      </c>
      <c r="L19" s="59"/>
      <c r="M19" s="157">
        <v>9</v>
      </c>
      <c r="N19" s="29"/>
      <c r="O19" s="29"/>
      <c r="P19" s="30"/>
      <c r="Q19" s="30"/>
      <c r="R19" s="30"/>
      <c r="S19" s="30"/>
      <c r="T19" s="30"/>
      <c r="U19" s="30"/>
      <c r="V19" s="30"/>
      <c r="W19" s="30"/>
    </row>
    <row r="20" spans="1:23" ht="16.5" customHeight="1" x14ac:dyDescent="0.25">
      <c r="A20" s="39"/>
      <c r="B20" s="39"/>
      <c r="C20" s="39"/>
      <c r="D20" s="40"/>
      <c r="E20" s="40"/>
      <c r="F20" s="35"/>
      <c r="G20" s="35"/>
      <c r="H20" s="35"/>
      <c r="I20" s="35"/>
      <c r="J20" s="35"/>
      <c r="K20" s="35"/>
      <c r="L20" s="35"/>
      <c r="M20" s="16"/>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7">
    <cfRule type="containsText" dxfId="77" priority="5" operator="containsText" text="Choose">
      <formula>NOT(ISERROR(SEARCH("Choose",D5)))</formula>
    </cfRule>
  </conditionalFormatting>
  <conditionalFormatting sqref="H10:K19">
    <cfRule type="expression" dxfId="76" priority="1">
      <formula>$E10=H$9</formula>
    </cfRule>
  </conditionalFormatting>
  <dataValidations count="1">
    <dataValidation type="list" allowBlank="1" showInputMessage="1" showErrorMessage="1" sqref="L13 L17" xr:uid="{00000000-0002-0000-0A00-000000000000}"/>
  </dataValidations>
  <hyperlinks>
    <hyperlink ref="A22:L22" r:id="rId1" display="If you have any queries about your course, please contact Curtin Connect." xr:uid="{00000000-0004-0000-0A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W31"/>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2" t="s">
        <v>8</v>
      </c>
      <c r="B3" s="292"/>
      <c r="C3" s="292"/>
      <c r="D3" s="292"/>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16"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8" t="str">
        <f>CONCATENATE(VLOOKUP(D6,TableMajorsGradDip[],2,FALSE),VLOOKUP(D8,TableStudyPeriods[],2,FALSE))</f>
        <v>OUMP-EDUSCSP1</v>
      </c>
    </row>
    <row r="7" spans="1:23" ht="20.100000000000001" customHeight="1" x14ac:dyDescent="0.25">
      <c r="B7" s="10"/>
      <c r="C7" s="126" t="s">
        <v>271</v>
      </c>
      <c r="D7" s="221" t="s">
        <v>272</v>
      </c>
      <c r="E7" s="11"/>
      <c r="F7" s="10"/>
      <c r="G7" s="11"/>
      <c r="H7" s="11"/>
      <c r="I7" s="11"/>
      <c r="J7" s="11"/>
      <c r="K7" s="11"/>
      <c r="L7" s="218" t="e">
        <f>VLOOKUP(D7,TableFirstTeachingArea[],2,FALSE)</f>
        <v>#N/A</v>
      </c>
    </row>
    <row r="8" spans="1:23" ht="20.100000000000001" customHeight="1" x14ac:dyDescent="0.25">
      <c r="A8" s="13"/>
      <c r="B8" s="14"/>
      <c r="C8" s="126" t="s">
        <v>16</v>
      </c>
      <c r="D8" s="117" t="s">
        <v>212</v>
      </c>
      <c r="E8" s="15"/>
      <c r="F8" s="10" t="s">
        <v>18</v>
      </c>
      <c r="G8" s="11" t="str">
        <f>IFERROR(VLOOKUP($D$5,TableCourses[],7,FALSE),"")</f>
        <v>200 credit points required</v>
      </c>
      <c r="H8" s="66"/>
      <c r="I8" s="66"/>
      <c r="J8" s="66"/>
      <c r="K8" s="66"/>
      <c r="L8" s="66"/>
      <c r="M8" s="16"/>
      <c r="N8" s="16"/>
      <c r="O8" s="16"/>
      <c r="P8" s="16"/>
      <c r="Q8" s="16"/>
      <c r="R8" s="16"/>
      <c r="S8" s="16"/>
      <c r="T8" s="16"/>
      <c r="U8" s="16"/>
      <c r="V8" s="16"/>
      <c r="W8" s="16"/>
    </row>
    <row r="9" spans="1:23" s="19" customFormat="1" ht="14.1" customHeight="1" x14ac:dyDescent="0.25">
      <c r="A9" s="107"/>
      <c r="B9" s="107"/>
      <c r="C9" s="107"/>
      <c r="D9" s="108"/>
      <c r="E9" s="109"/>
      <c r="F9" s="107"/>
      <c r="G9" s="107"/>
      <c r="H9" s="110" t="s">
        <v>19</v>
      </c>
      <c r="I9" s="123"/>
      <c r="J9" s="123"/>
      <c r="K9" s="111"/>
      <c r="L9" s="112"/>
      <c r="M9" s="17"/>
      <c r="N9" s="17"/>
      <c r="O9" s="17"/>
      <c r="P9" s="18"/>
      <c r="Q9" s="18"/>
      <c r="R9" s="18"/>
      <c r="S9" s="18"/>
      <c r="T9" s="18"/>
      <c r="U9" s="18"/>
      <c r="V9" s="18"/>
      <c r="W9" s="18"/>
    </row>
    <row r="10" spans="1:23" s="19" customFormat="1" ht="21" x14ac:dyDescent="0.25">
      <c r="A10" s="107" t="s">
        <v>20</v>
      </c>
      <c r="B10" s="107"/>
      <c r="C10" s="125" t="s">
        <v>21</v>
      </c>
      <c r="D10" s="108" t="s">
        <v>3</v>
      </c>
      <c r="E10" s="125" t="s">
        <v>22</v>
      </c>
      <c r="F10" s="107" t="s">
        <v>23</v>
      </c>
      <c r="G10" s="107" t="s">
        <v>24</v>
      </c>
      <c r="H10" s="264" t="s">
        <v>25</v>
      </c>
      <c r="I10" s="265" t="s">
        <v>26</v>
      </c>
      <c r="J10" s="265" t="s">
        <v>27</v>
      </c>
      <c r="K10" s="270" t="s">
        <v>28</v>
      </c>
      <c r="L10" s="113" t="s">
        <v>29</v>
      </c>
      <c r="M10" s="17"/>
      <c r="N10" s="17"/>
      <c r="O10" s="17"/>
      <c r="P10" s="18"/>
      <c r="Q10" s="18"/>
      <c r="R10" s="18"/>
      <c r="S10" s="18"/>
      <c r="T10" s="18"/>
      <c r="U10" s="18"/>
      <c r="V10" s="18"/>
      <c r="W10" s="18"/>
    </row>
    <row r="11" spans="1:23" s="22" customFormat="1" ht="21" customHeight="1" x14ac:dyDescent="0.15">
      <c r="A11" s="56" t="str">
        <f>IFERROR(IF(HLOOKUP($L$6,RangeUnitsetsOGEDUC,M11,FALSE)=0,"",HLOOKUP($L$6,RangeUnitsetsOGEDUC,M11,FALSE)),"")</f>
        <v>EDSC5037</v>
      </c>
      <c r="B11" s="50">
        <f>IFERROR(IF(VLOOKUP($A11,TableHandbook[],2,FALSE)=0,"",VLOOKUP($A11,TableHandbook[],2,FALSE)),"")</f>
        <v>1</v>
      </c>
      <c r="C11" s="50" t="str">
        <f>IFERROR(IF(VLOOKUP($A11,TableHandbook[],3,FALSE)=0,"",VLOOKUP($A11,TableHandbook[],3,FALSE)),"")</f>
        <v>MTS500</v>
      </c>
      <c r="D11" s="57" t="str">
        <f>IFERROR(IF(VLOOKUP($A11,TableHandbook[],4,FALSE)=0,"",VLOOKUP($A11,TableHandbook[],4,FALSE)),"")</f>
        <v>Teaching in the Secondary School</v>
      </c>
      <c r="E11" s="50" t="str">
        <f>IF(OR(A11="",A11="--"),"",VLOOKUP($D$8,TableStudyPeriods[],2,FALSE))</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Y</v>
      </c>
      <c r="J11" s="267" t="str">
        <f>IFERROR(VLOOKUP($A11,TableHandbook[],J$2,FALSE),"")</f>
        <v/>
      </c>
      <c r="K11" s="274" t="str">
        <f>IFERROR(VLOOKUP($A11,TableHandbook[],K$2,FALSE),"")</f>
        <v/>
      </c>
      <c r="L11" s="58"/>
      <c r="M11" s="157">
        <v>2</v>
      </c>
      <c r="N11" s="20"/>
      <c r="O11" s="20"/>
      <c r="P11" s="21"/>
      <c r="Q11" s="21"/>
      <c r="R11" s="21"/>
      <c r="S11" s="21"/>
      <c r="T11" s="21"/>
      <c r="U11" s="21"/>
      <c r="V11" s="21"/>
      <c r="W11" s="21"/>
    </row>
    <row r="12" spans="1:23" s="22" customFormat="1" ht="21" customHeight="1" x14ac:dyDescent="0.15">
      <c r="A12" s="56" t="str">
        <f>IFERROR(IF(HLOOKUP($L$6,RangeUnitsetsOGEDUC,M12,FALSE)=0,"",HLOOKUP($L$6,RangeUnitsetsOGEDUC,M12,FALSE)),"")</f>
        <v>EDSC5039</v>
      </c>
      <c r="B12" s="50">
        <f>IFERROR(IF(VLOOKUP($A12,TableHandbook[],2,FALSE)=0,"",VLOOKUP($A12,TableHandbook[],2,FALSE)),"")</f>
        <v>1</v>
      </c>
      <c r="C12" s="50" t="str">
        <f>IFERROR(IF(VLOOKUP($A12,TableHandbook[],3,FALSE)=0,"",VLOOKUP($A12,TableHandbook[],3,FALSE)),"")</f>
        <v>MTS502</v>
      </c>
      <c r="D12" s="57" t="str">
        <f>IFERROR(IF(VLOOKUP($A12,TableHandbook[],4,FALSE)=0,"",VLOOKUP($A12,TableHandbook[],4,FALSE)),"")</f>
        <v>Secondary Professional Experience 1: Planning</v>
      </c>
      <c r="E12" s="50" t="str">
        <f>IF(A12="","",E11)</f>
        <v>SP1</v>
      </c>
      <c r="F12" s="49" t="str">
        <f>IFERROR(IF(VLOOKUP($A12,TableHandbook[],6,FALSE)=0,"",VLOOKUP($A12,TableHandbook[],6,FALSE)),"")</f>
        <v>Nil</v>
      </c>
      <c r="G12" s="50">
        <f>IFERROR(IF(VLOOKUP($A12,TableHandbook[],5,FALSE)=0,"",VLOOKUP($A12,TableHandbook[],5,FALSE)),"")</f>
        <v>25</v>
      </c>
      <c r="H12" s="266" t="str">
        <f>IFERROR(VLOOKUP($A12,TableHandbook[],H$2,FALSE),"")</f>
        <v>Y</v>
      </c>
      <c r="I12" s="267" t="str">
        <f>IFERROR(VLOOKUP($A12,TableHandbook[],I$2,FALSE),"")</f>
        <v>Y</v>
      </c>
      <c r="J12" s="267" t="str">
        <f>IFERROR(VLOOKUP($A12,TableHandbook[],J$2,FALSE),"")</f>
        <v/>
      </c>
      <c r="K12" s="274" t="str">
        <f>IFERROR(VLOOKUP($A12,TableHandbook[],K$2,FALSE),"")</f>
        <v/>
      </c>
      <c r="L12" s="58"/>
      <c r="M12" s="157">
        <v>3</v>
      </c>
      <c r="N12" s="20"/>
      <c r="O12" s="20"/>
      <c r="P12" s="21"/>
      <c r="Q12" s="21"/>
      <c r="R12" s="21"/>
      <c r="S12" s="21"/>
      <c r="T12" s="21"/>
      <c r="U12" s="21"/>
      <c r="V12" s="21"/>
      <c r="W12" s="21"/>
    </row>
    <row r="13" spans="1:23" s="22" customFormat="1" ht="6" customHeight="1" x14ac:dyDescent="0.15">
      <c r="A13" s="198"/>
      <c r="B13" s="199"/>
      <c r="C13" s="199"/>
      <c r="D13" s="200"/>
      <c r="E13" s="199"/>
      <c r="F13" s="201"/>
      <c r="G13" s="199"/>
      <c r="H13" s="268"/>
      <c r="I13" s="269"/>
      <c r="J13" s="269"/>
      <c r="K13" s="277"/>
      <c r="L13" s="204"/>
      <c r="M13" s="157"/>
      <c r="N13" s="20"/>
      <c r="O13" s="20"/>
      <c r="P13" s="20"/>
      <c r="Q13" s="21"/>
      <c r="R13" s="21"/>
      <c r="S13" s="21"/>
      <c r="T13" s="21"/>
      <c r="U13" s="21"/>
      <c r="V13" s="21"/>
      <c r="W13" s="21"/>
    </row>
    <row r="14" spans="1:23" s="22" customFormat="1" ht="21" customHeight="1" x14ac:dyDescent="0.15">
      <c r="A14" s="56" t="str">
        <f>IFERROR(IF(HLOOKUP($L$6,RangeUnitsetsOGEDUC,M14,FALSE)=0,"",HLOOKUP($L$6,RangeUnitsetsOGEDUC,M14,FALSE)),"")</f>
        <v>EDSC5051</v>
      </c>
      <c r="B14" s="50">
        <f>IFERROR(IF(VLOOKUP($A14,TableHandbook[],2,FALSE)=0,"",VLOOKUP($A14,TableHandbook[],2,FALSE)),"")</f>
        <v>1</v>
      </c>
      <c r="C14" s="50" t="str">
        <f>IFERROR(IF(VLOOKUP($A14,TableHandbook[],3,FALSE)=0,"",VLOOKUP($A14,TableHandbook[],3,FALSE)),"")</f>
        <v>MTS504</v>
      </c>
      <c r="D14" s="57" t="str">
        <f>IFERROR(IF(VLOOKUP($A14,TableHandbook[],4,FALSE)=0,"",VLOOKUP($A14,TableHandbook[],4,FALSE)),"")</f>
        <v>Secondary Professional Experience 2: Assessment and Reporting</v>
      </c>
      <c r="E14" s="50" t="str">
        <f>IF(OR(A14="",A14="--"),"",VLOOKUP($D$8,TableStudyPeriods[],3,FALSE))</f>
        <v>SP2</v>
      </c>
      <c r="F14" s="49" t="str">
        <f>IFERROR(IF(VLOOKUP($A14,TableHandbook[],6,FALSE)=0,"",VLOOKUP($A14,TableHandbook[],6,FALSE)),"")</f>
        <v>MTS502</v>
      </c>
      <c r="G14" s="50">
        <f>IFERROR(IF(VLOOKUP($A14,TableHandbook[],5,FALSE)=0,"",VLOOKUP($A14,TableHandbook[],5,FALSE)),"")</f>
        <v>25</v>
      </c>
      <c r="H14" s="266" t="str">
        <f>IFERROR(VLOOKUP($A14,TableHandbook[],H$2,FALSE),"")</f>
        <v/>
      </c>
      <c r="I14" s="267" t="str">
        <f>IFERROR(VLOOKUP($A14,TableHandbook[],I$2,FALSE),"")</f>
        <v>Y</v>
      </c>
      <c r="J14" s="267" t="str">
        <f>IFERROR(VLOOKUP($A14,TableHandbook[],J$2,FALSE),"")</f>
        <v>Y</v>
      </c>
      <c r="K14" s="274" t="str">
        <f>IFERROR(VLOOKUP($A14,TableHandbook[],K$2,FALSE),"")</f>
        <v/>
      </c>
      <c r="L14" s="59"/>
      <c r="M14" s="157">
        <v>4</v>
      </c>
      <c r="N14" s="20"/>
      <c r="O14" s="20"/>
      <c r="P14" s="21"/>
      <c r="Q14" s="21"/>
      <c r="R14" s="21"/>
      <c r="S14" s="21"/>
      <c r="T14" s="21"/>
      <c r="U14" s="21"/>
      <c r="V14" s="21"/>
      <c r="W14" s="21"/>
    </row>
    <row r="15" spans="1:23" s="22" customFormat="1" ht="21" customHeight="1" x14ac:dyDescent="0.15">
      <c r="A15" s="210" t="str">
        <f>IFERROR(IF(HLOOKUP($L$6,RangeUnitsetsOGEDUC,M15,FALSE)=0,"",HLOOKUP($L$6,RangeUnitsetsOGEDUC,M15,FALSE)),"")</f>
        <v>GDTAL</v>
      </c>
      <c r="B15" s="146" t="str">
        <f>IFERROR(IF(VLOOKUP($A15,TableHandbook[],2,FALSE)=0,"",VLOOKUP($A15,TableHandbook[],2,FALSE)),"")</f>
        <v/>
      </c>
      <c r="C15" s="146" t="str">
        <f>IFERROR(IF(VLOOKUP($A15,TableHandbook[],3,FALSE)=0,"",VLOOKUP($A15,TableHandbook[],3,FALSE)),"")</f>
        <v/>
      </c>
      <c r="D15" s="211" t="str">
        <f>IFERROR(IF(VLOOKUP($A15,TableHandbook[],4,FALSE)=0,"",VLOOKUP($A15,TableHandbook[],4,FALSE)),"")</f>
        <v>Teaching Area LOWER subject (see below)</v>
      </c>
      <c r="E15" s="146" t="str">
        <f>IF(A15="","",E14)</f>
        <v>SP2</v>
      </c>
      <c r="F15" s="212" t="str">
        <f>IFERROR(IF(VLOOKUP($A15,TableHandbook[],6,FALSE)=0,"",VLOOKUP($A15,TableHandbook[],6,FALSE)),"")</f>
        <v>See below</v>
      </c>
      <c r="G15" s="146">
        <f>IFERROR(IF(VLOOKUP($A15,TableHandbook[],5,FALSE)=0,"",VLOOKUP($A15,TableHandbook[],5,FALSE)),"")</f>
        <v>25</v>
      </c>
      <c r="H15" s="278" t="str">
        <f>IFERROR(VLOOKUP($A15,TableHandbook[],H$2,FALSE),"")</f>
        <v/>
      </c>
      <c r="I15" s="279" t="str">
        <f>IFERROR(VLOOKUP($A15,TableHandbook[],I$2,FALSE),"")</f>
        <v/>
      </c>
      <c r="J15" s="279" t="str">
        <f>IFERROR(VLOOKUP($A15,TableHandbook[],J$2,FALSE),"")</f>
        <v/>
      </c>
      <c r="K15" s="280" t="str">
        <f>IFERROR(VLOOKUP($A15,TableHandbook[],K$2,FALSE),"")</f>
        <v/>
      </c>
      <c r="L15" s="213"/>
      <c r="M15" s="214">
        <v>5</v>
      </c>
      <c r="N15" s="20"/>
      <c r="O15" s="20"/>
      <c r="P15" s="21"/>
      <c r="Q15" s="21"/>
      <c r="R15" s="21"/>
      <c r="S15" s="21"/>
      <c r="T15" s="21"/>
      <c r="U15" s="21"/>
      <c r="V15" s="21"/>
      <c r="W15" s="21"/>
    </row>
    <row r="16" spans="1:23" s="22" customFormat="1" ht="6" customHeight="1" x14ac:dyDescent="0.15">
      <c r="A16" s="198"/>
      <c r="B16" s="199"/>
      <c r="C16" s="199"/>
      <c r="D16" s="200"/>
      <c r="E16" s="199"/>
      <c r="F16" s="201"/>
      <c r="G16" s="199"/>
      <c r="H16" s="268"/>
      <c r="I16" s="269"/>
      <c r="J16" s="269"/>
      <c r="K16" s="277"/>
      <c r="L16" s="204"/>
      <c r="M16" s="157"/>
      <c r="N16" s="20"/>
      <c r="O16" s="20"/>
      <c r="P16" s="20"/>
      <c r="Q16" s="21"/>
      <c r="R16" s="21"/>
      <c r="S16" s="21"/>
      <c r="T16" s="21"/>
      <c r="U16" s="21"/>
      <c r="V16" s="21"/>
      <c r="W16" s="21"/>
    </row>
    <row r="17" spans="1:23" s="22"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IF(OR(A17="",A17="--"),"",VLOOKUP($D$8,TableStudyPeriods[],4,FALSE))</f>
        <v>SP3</v>
      </c>
      <c r="F17" s="49" t="str">
        <f>IFERROR(IF(VLOOKUP($A17,TableHandbook[],6,FALSE)=0,"",VLOOKUP($A17,TableHandbook[],6,FALSE)),"")</f>
        <v>MTEC502 or MTP506 or MTS504</v>
      </c>
      <c r="G17" s="52">
        <f>IFERROR(IF(VLOOKUP($A17,TableHandbook[],5,FALSE)=0,"",VLOOKUP($A17,TableHandbook[],5,FALSE)),"")</f>
        <v>25</v>
      </c>
      <c r="H17" s="271" t="str">
        <f>IFERROR(VLOOKUP($A17,TableHandbook[],H$2,FALSE),"")</f>
        <v>Y</v>
      </c>
      <c r="I17" s="272" t="str">
        <f>IFERROR(VLOOKUP($A17,TableHandbook[],I$2,FALSE),"")</f>
        <v/>
      </c>
      <c r="J17" s="272" t="str">
        <f>IFERROR(VLOOKUP($A17,TableHandbook[],J$2,FALSE),"")</f>
        <v>Y</v>
      </c>
      <c r="K17" s="273" t="str">
        <f>IFERROR(VLOOKUP($A17,TableHandbook[],K$2,FALSE),"")</f>
        <v/>
      </c>
      <c r="L17" s="59"/>
      <c r="M17" s="157">
        <v>6</v>
      </c>
      <c r="N17" s="20"/>
      <c r="O17" s="20"/>
      <c r="P17" s="21"/>
      <c r="Q17" s="21"/>
      <c r="R17" s="21"/>
      <c r="S17" s="21"/>
      <c r="T17" s="21"/>
      <c r="U17" s="21"/>
      <c r="V17" s="21"/>
      <c r="W17" s="21"/>
    </row>
    <row r="18" spans="1:23" s="31" customFormat="1" ht="21" customHeight="1" x14ac:dyDescent="0.15">
      <c r="A18" s="56" t="str">
        <f>IFERROR(IF(HLOOKUP($L$6,RangeUnitsetsOGEDUC,M18,FALSE)=0,"",HLOOKUP($L$6,RangeUnitsetsOGEDUC,M18,FALSE)),"")</f>
        <v>EDUC5014</v>
      </c>
      <c r="B18" s="52">
        <f>IFERROR(IF(VLOOKUP($A18,TableHandbook[],2,FALSE)=0,"",VLOOKUP($A18,TableHandbook[],2,FALSE)),"")</f>
        <v>1</v>
      </c>
      <c r="C18" s="52" t="str">
        <f>IFERROR(IF(VLOOKUP($A18,TableHandbook[],3,FALSE)=0,"",VLOOKUP($A18,TableHandbook[],3,FALSE)),"")</f>
        <v>MTPS501</v>
      </c>
      <c r="D18" s="57" t="str">
        <f>IFERROR(IF(VLOOKUP($A18,TableHandbook[],4,FALSE)=0,"",VLOOKUP($A18,TableHandbook[],4,FALSE)),"")</f>
        <v>Pedagogies for Diversity</v>
      </c>
      <c r="E18" s="50" t="str">
        <f>IF(A18="","",E17)</f>
        <v>SP3</v>
      </c>
      <c r="F18" s="49" t="str">
        <f>IFERROR(IF(VLOOKUP($A18,TableHandbook[],6,FALSE)=0,"",VLOOKUP($A18,TableHandbook[],6,FALSE)),"")</f>
        <v>Nil</v>
      </c>
      <c r="G18" s="52">
        <f>IFERROR(IF(VLOOKUP($A18,TableHandbook[],5,FALSE)=0,"",VLOOKUP($A18,TableHandbook[],5,FALSE)),"")</f>
        <v>25</v>
      </c>
      <c r="H18" s="271" t="str">
        <f>IFERROR(VLOOKUP($A18,TableHandbook[],H$2,FALSE),"")</f>
        <v>Y</v>
      </c>
      <c r="I18" s="272" t="str">
        <f>IFERROR(VLOOKUP($A18,TableHandbook[],I$2,FALSE),"")</f>
        <v/>
      </c>
      <c r="J18" s="272" t="str">
        <f>IFERROR(VLOOKUP($A18,TableHandbook[],J$2,FALSE),"")</f>
        <v>Y</v>
      </c>
      <c r="K18" s="273" t="str">
        <f>IFERROR(VLOOKUP($A18,TableHandbook[],K$2,FALSE),"")</f>
        <v/>
      </c>
      <c r="L18" s="59"/>
      <c r="M18" s="157">
        <v>7</v>
      </c>
      <c r="N18" s="29"/>
      <c r="O18" s="29"/>
      <c r="P18" s="30"/>
      <c r="Q18" s="30"/>
      <c r="R18" s="30"/>
      <c r="S18" s="30"/>
      <c r="T18" s="30"/>
      <c r="U18" s="30"/>
      <c r="V18" s="30"/>
      <c r="W18" s="30"/>
    </row>
    <row r="19" spans="1:23" s="22" customFormat="1" ht="6" customHeight="1" x14ac:dyDescent="0.15">
      <c r="A19" s="198"/>
      <c r="B19" s="199"/>
      <c r="C19" s="199"/>
      <c r="D19" s="200"/>
      <c r="E19" s="199"/>
      <c r="F19" s="201"/>
      <c r="G19" s="199"/>
      <c r="H19" s="268"/>
      <c r="I19" s="269"/>
      <c r="J19" s="269"/>
      <c r="K19" s="277"/>
      <c r="L19" s="204"/>
      <c r="M19" s="157"/>
      <c r="N19" s="20"/>
      <c r="O19" s="20"/>
      <c r="P19" s="20"/>
      <c r="Q19" s="21"/>
      <c r="R19" s="21"/>
      <c r="S19" s="21"/>
      <c r="T19" s="21"/>
      <c r="U19" s="21"/>
      <c r="V19" s="21"/>
      <c r="W19" s="21"/>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7" t="str">
        <f>IFERROR(IF(VLOOKUP($A20,TableHandbook[],4,FALSE)=0,"",VLOOKUP($A20,TableHandbook[],4,FALSE)),"")</f>
        <v>Creative Technologies</v>
      </c>
      <c r="E20" s="50" t="str">
        <f>IF(OR(A20="",A20="--"),"",VLOOKUP($D$8,TableStudyPeriods[],5,FALSE))</f>
        <v>SP4</v>
      </c>
      <c r="F20" s="49" t="str">
        <f>IFERROR(IF(VLOOKUP($A20,TableHandbook[],6,FALSE)=0,"",VLOOKUP($A20,TableHandbook[],6,FALSE)),"")</f>
        <v>Nil</v>
      </c>
      <c r="G20" s="52">
        <f>IFERROR(IF(VLOOKUP($A20,TableHandbook[],5,FALSE)=0,"",VLOOKUP($A20,TableHandbook[],5,FALSE)),"")</f>
        <v>25</v>
      </c>
      <c r="H20" s="271" t="str">
        <f>IFERROR(VLOOKUP($A20,TableHandbook[],H$2,FALSE),"")</f>
        <v/>
      </c>
      <c r="I20" s="272" t="str">
        <f>IFERROR(VLOOKUP($A20,TableHandbook[],I$2,FALSE),"")</f>
        <v>Y</v>
      </c>
      <c r="J20" s="272" t="str">
        <f>IFERROR(VLOOKUP($A20,TableHandbook[],J$2,FALSE),"")</f>
        <v>Y</v>
      </c>
      <c r="K20" s="273" t="str">
        <f>IFERROR(VLOOKUP($A20,TableHandbook[],K$2,FALSE),"")</f>
        <v>Y</v>
      </c>
      <c r="L20" s="59"/>
      <c r="M20" s="157">
        <v>8</v>
      </c>
      <c r="N20" s="29"/>
      <c r="O20" s="29"/>
      <c r="P20" s="30"/>
      <c r="Q20" s="30"/>
      <c r="R20" s="30"/>
      <c r="S20" s="30"/>
      <c r="T20" s="30"/>
      <c r="U20" s="30"/>
      <c r="V20" s="30"/>
      <c r="W20" s="30"/>
    </row>
    <row r="21" spans="1:23" s="31" customFormat="1" ht="21" customHeight="1" x14ac:dyDescent="0.15">
      <c r="A21" s="210" t="str">
        <f>IFERROR(IF(HLOOKUP($L$6,RangeUnitsetsOGEDUC,M21,FALSE)=0,"",HLOOKUP($L$6,RangeUnitsetsOGEDUC,M21,FALSE)),"")</f>
        <v>GDTAS</v>
      </c>
      <c r="B21" s="146" t="str">
        <f>IFERROR(IF(VLOOKUP($A21,TableHandbook[],2,FALSE)=0,"",VLOOKUP($A21,TableHandbook[],2,FALSE)),"")</f>
        <v/>
      </c>
      <c r="C21" s="146" t="str">
        <f>IFERROR(IF(VLOOKUP($A21,TableHandbook[],3,FALSE)=0,"",VLOOKUP($A21,TableHandbook[],3,FALSE)),"")</f>
        <v/>
      </c>
      <c r="D21" s="215" t="str">
        <f>IFERROR(IF(VLOOKUP($A21,TableHandbook[],4,FALSE)=0,"",VLOOKUP($A21,TableHandbook[],4,FALSE)),"")</f>
        <v>Teaching Area SENIOR subject (see below)</v>
      </c>
      <c r="E21" s="146" t="str">
        <f>IF(A21="","",E20)</f>
        <v>SP4</v>
      </c>
      <c r="F21" s="212" t="str">
        <f>IFERROR(IF(VLOOKUP($A21,TableHandbook[],6,FALSE)=0,"",VLOOKUP($A21,TableHandbook[],6,FALSE)),"")</f>
        <v>See below</v>
      </c>
      <c r="G21" s="146">
        <f>IFERROR(IF(VLOOKUP($A21,TableHandbook[],5,FALSE)=0,"",VLOOKUP($A21,TableHandbook[],5,FALSE)),"")</f>
        <v>25</v>
      </c>
      <c r="H21" s="278" t="str">
        <f>IFERROR(VLOOKUP($A21,TableHandbook[],H$2,FALSE),"")</f>
        <v/>
      </c>
      <c r="I21" s="279" t="str">
        <f>IFERROR(VLOOKUP($A21,TableHandbook[],I$2,FALSE),"")</f>
        <v/>
      </c>
      <c r="J21" s="279" t="str">
        <f>IFERROR(VLOOKUP($A21,TableHandbook[],J$2,FALSE),"")</f>
        <v/>
      </c>
      <c r="K21" s="280" t="str">
        <f>IFERROR(VLOOKUP($A21,TableHandbook[],K$2,FALSE),"")</f>
        <v/>
      </c>
      <c r="L21" s="213"/>
      <c r="M21" s="214">
        <v>9</v>
      </c>
      <c r="N21" s="29"/>
      <c r="O21" s="29"/>
      <c r="P21" s="30"/>
      <c r="Q21" s="30"/>
      <c r="R21" s="30"/>
      <c r="S21" s="30"/>
      <c r="T21" s="30"/>
      <c r="U21" s="30"/>
      <c r="V21" s="30"/>
      <c r="W21" s="30"/>
    </row>
    <row r="22" spans="1:23" ht="16.5" customHeight="1" x14ac:dyDescent="0.25">
      <c r="A22" s="39"/>
      <c r="B22" s="39"/>
      <c r="C22" s="39"/>
      <c r="D22" s="40"/>
      <c r="E22" s="40"/>
      <c r="F22" s="35"/>
      <c r="G22" s="35"/>
      <c r="H22" s="35"/>
      <c r="I22" s="35"/>
      <c r="J22" s="35"/>
      <c r="K22" s="35"/>
      <c r="L22" s="35"/>
      <c r="M22" s="16"/>
      <c r="N22" s="16"/>
      <c r="O22" s="16"/>
      <c r="P22" s="16"/>
      <c r="Q22" s="16"/>
      <c r="R22" s="16"/>
      <c r="S22" s="16"/>
      <c r="T22" s="16"/>
      <c r="U22" s="16"/>
      <c r="V22" s="16"/>
      <c r="W22" s="16"/>
    </row>
    <row r="23" spans="1:23" s="42" customFormat="1" ht="25.5" x14ac:dyDescent="0.25">
      <c r="A23" s="156" t="s">
        <v>269</v>
      </c>
      <c r="B23" s="97"/>
      <c r="C23" s="97"/>
      <c r="D23" s="98"/>
      <c r="E23" s="99"/>
      <c r="F23" s="99"/>
      <c r="G23" s="99"/>
      <c r="H23" s="100" t="str">
        <f>H9</f>
        <v>2025 Availabilities</v>
      </c>
      <c r="I23" s="101"/>
      <c r="J23" s="102"/>
      <c r="K23" s="103"/>
      <c r="L23" s="104"/>
      <c r="M23" s="41"/>
      <c r="N23" s="41"/>
      <c r="O23" s="41"/>
      <c r="P23" s="41"/>
      <c r="Q23" s="41"/>
      <c r="R23" s="41"/>
      <c r="S23" s="41"/>
      <c r="T23" s="41"/>
      <c r="U23" s="41"/>
      <c r="V23" s="41"/>
      <c r="W23" s="41"/>
    </row>
    <row r="24" spans="1:23" ht="21" customHeight="1" x14ac:dyDescent="0.25">
      <c r="A24" s="107"/>
      <c r="B24" s="107"/>
      <c r="C24" s="125" t="s">
        <v>21</v>
      </c>
      <c r="D24" s="108" t="s">
        <v>3</v>
      </c>
      <c r="E24" s="125"/>
      <c r="F24" s="107" t="s">
        <v>23</v>
      </c>
      <c r="G24" s="107" t="s">
        <v>24</v>
      </c>
      <c r="H24" s="264" t="str">
        <f>H10</f>
        <v>SP1</v>
      </c>
      <c r="I24" s="265" t="str">
        <f t="shared" ref="I24:L24" si="0">I10</f>
        <v>SP2</v>
      </c>
      <c r="J24" s="265" t="str">
        <f t="shared" si="0"/>
        <v>SP3</v>
      </c>
      <c r="K24" s="270" t="str">
        <f t="shared" si="0"/>
        <v>SP4</v>
      </c>
      <c r="L24" s="113" t="str">
        <f t="shared" si="0"/>
        <v>Notes / Progress</v>
      </c>
      <c r="M24" s="64"/>
      <c r="N24" s="16"/>
      <c r="O24" s="16"/>
      <c r="P24" s="16"/>
      <c r="Q24" s="16"/>
      <c r="R24" s="16"/>
      <c r="S24" s="16"/>
      <c r="T24" s="16"/>
      <c r="U24" s="16"/>
      <c r="V24" s="16"/>
      <c r="W24" s="16"/>
    </row>
    <row r="25" spans="1:23" ht="21" customHeight="1" x14ac:dyDescent="0.25">
      <c r="A25" s="163"/>
      <c r="B25" s="141"/>
      <c r="C25" s="216"/>
      <c r="D25" s="142" t="s">
        <v>273</v>
      </c>
      <c r="E25" s="143"/>
      <c r="F25" s="144"/>
      <c r="G25" s="144"/>
      <c r="H25" s="278"/>
      <c r="I25" s="279"/>
      <c r="J25" s="279"/>
      <c r="K25" s="280"/>
      <c r="L25" s="148"/>
      <c r="M25" s="149">
        <v>2</v>
      </c>
      <c r="N25" s="16"/>
      <c r="O25" s="16"/>
      <c r="P25" s="16"/>
      <c r="Q25" s="16"/>
      <c r="R25" s="16"/>
      <c r="S25" s="16"/>
      <c r="T25" s="16"/>
      <c r="U25" s="16"/>
      <c r="V25" s="16"/>
      <c r="W25" s="16"/>
    </row>
    <row r="26" spans="1:23" ht="21" customHeight="1" x14ac:dyDescent="0.25">
      <c r="A26" s="164" t="str">
        <f>IFERROR(IF(HLOOKUP($L$7,RangeTeachingAreas,M26,FALSE)=0,"",HLOOKUP($L$7,RangeTeachingAreas,M26,FALSE)),"")</f>
        <v/>
      </c>
      <c r="B26" s="43"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6" t="str">
        <f>IFERROR(VLOOKUP($A26,TableHandbook[],H$2,FALSE),"")</f>
        <v/>
      </c>
      <c r="I26" s="267" t="str">
        <f>IFERROR(VLOOKUP($A26,TableHandbook[],I$2,FALSE),"")</f>
        <v/>
      </c>
      <c r="J26" s="267" t="str">
        <f>IFERROR(VLOOKUP($A26,TableHandbook[],J$2,FALSE),"")</f>
        <v/>
      </c>
      <c r="K26" s="274" t="str">
        <f>IFERROR(VLOOKUP($A26,TableHandbook[],K$2,FALSE),"")</f>
        <v/>
      </c>
      <c r="L26" s="51"/>
      <c r="M26" s="64">
        <v>3</v>
      </c>
      <c r="N26" s="16"/>
      <c r="O26" s="16"/>
      <c r="P26" s="16"/>
      <c r="Q26" s="16"/>
      <c r="R26" s="16"/>
      <c r="S26" s="16"/>
      <c r="T26" s="16"/>
      <c r="U26" s="16"/>
      <c r="V26" s="16"/>
      <c r="W26" s="16"/>
    </row>
    <row r="27" spans="1:23" ht="21" customHeight="1" x14ac:dyDescent="0.25">
      <c r="A27" s="164" t="str">
        <f>IFERROR(IF(HLOOKUP($L$7,RangeTeachingAreas,M27,FALSE)=0,"",HLOOKUP($L$7,RangeTeachingAreas,M27,FALSE)),"")</f>
        <v/>
      </c>
      <c r="B27" s="43"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1"/>
      <c r="M27" s="64">
        <v>4</v>
      </c>
      <c r="N27" s="16"/>
      <c r="O27" s="16"/>
      <c r="P27" s="16"/>
      <c r="Q27" s="16"/>
      <c r="R27" s="16"/>
      <c r="S27" s="16"/>
      <c r="T27" s="16"/>
      <c r="U27" s="16"/>
      <c r="V27" s="16"/>
      <c r="W27" s="16"/>
    </row>
    <row r="28" spans="1:23" ht="13.5" customHeight="1" x14ac:dyDescent="0.25">
      <c r="A28" s="182"/>
      <c r="B28" s="183"/>
      <c r="C28" s="184"/>
      <c r="D28" s="184"/>
      <c r="E28" s="185"/>
      <c r="F28" s="186"/>
      <c r="G28" s="186"/>
      <c r="H28" s="166"/>
      <c r="I28" s="166"/>
      <c r="J28" s="166"/>
      <c r="K28" s="166"/>
      <c r="L28" s="167"/>
      <c r="M28" s="64"/>
      <c r="N28" s="16"/>
      <c r="O28" s="16"/>
      <c r="P28" s="16"/>
      <c r="Q28" s="16"/>
      <c r="R28" s="16"/>
      <c r="S28" s="16"/>
      <c r="T28" s="16"/>
      <c r="U28" s="16"/>
      <c r="V28" s="16"/>
      <c r="W28" s="16"/>
    </row>
    <row r="29" spans="1:23" s="16" customFormat="1" ht="18" x14ac:dyDescent="0.25">
      <c r="A29" s="65" t="s">
        <v>32</v>
      </c>
      <c r="B29" s="65"/>
      <c r="C29" s="65"/>
      <c r="D29" s="65"/>
      <c r="E29" s="65"/>
      <c r="F29" s="65"/>
      <c r="G29" s="65"/>
      <c r="H29" s="65"/>
      <c r="I29" s="65"/>
      <c r="J29" s="65"/>
      <c r="K29" s="65"/>
      <c r="L29" s="65"/>
    </row>
    <row r="30" spans="1:23" s="38" customFormat="1" ht="17.25" x14ac:dyDescent="0.2">
      <c r="A30" s="32" t="s">
        <v>33</v>
      </c>
      <c r="B30" s="32"/>
      <c r="C30" s="32"/>
      <c r="D30" s="33"/>
      <c r="E30" s="33"/>
      <c r="F30" s="33"/>
      <c r="G30" s="33"/>
      <c r="H30" s="33"/>
      <c r="I30" s="33"/>
      <c r="J30" s="33"/>
      <c r="K30" s="33"/>
      <c r="L30" s="33"/>
      <c r="M30" s="36"/>
      <c r="N30" s="36"/>
      <c r="O30" s="36"/>
      <c r="P30" s="37"/>
      <c r="Q30" s="37"/>
      <c r="R30" s="37"/>
      <c r="S30" s="37"/>
      <c r="T30" s="37"/>
      <c r="U30" s="37"/>
      <c r="V30" s="37"/>
      <c r="W30" s="37"/>
    </row>
    <row r="31" spans="1:23" x14ac:dyDescent="0.25">
      <c r="A31" s="34" t="s">
        <v>34</v>
      </c>
      <c r="B31" s="34"/>
      <c r="C31" s="34"/>
      <c r="D31" s="34"/>
      <c r="E31" s="47"/>
      <c r="F31" s="35"/>
      <c r="G31" s="48"/>
      <c r="H31" s="48"/>
      <c r="I31" s="48"/>
      <c r="J31" s="48"/>
      <c r="K31" s="48"/>
      <c r="L31" s="48" t="s">
        <v>35</v>
      </c>
    </row>
  </sheetData>
  <sheetProtection formatCells="0"/>
  <mergeCells count="1">
    <mergeCell ref="A3:D3"/>
  </mergeCells>
  <conditionalFormatting sqref="A11:M21">
    <cfRule type="expression" dxfId="75" priority="3">
      <formula>LEFT($A11,3)="FTA"</formula>
    </cfRule>
  </conditionalFormatting>
  <conditionalFormatting sqref="D5:D8">
    <cfRule type="containsText" dxfId="74" priority="4" operator="containsText" text="Choose">
      <formula>NOT(ISERROR(SEARCH("Choose",D5)))</formula>
    </cfRule>
  </conditionalFormatting>
  <conditionalFormatting sqref="H11:K21">
    <cfRule type="expression" dxfId="73" priority="1">
      <formula>$E11=H$10</formula>
    </cfRule>
  </conditionalFormatting>
  <dataValidations count="1">
    <dataValidation type="list" allowBlank="1" showInputMessage="1" showErrorMessage="1" sqref="L16 L13 L19" xr:uid="{00000000-0002-0000-0B00-000000000000}"/>
  </dataValidations>
  <hyperlinks>
    <hyperlink ref="A30:L30" r:id="rId1" display="If you have any queries about your course, please contact Curtin Connect." xr:uid="{00000000-0004-0000-0B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B00-000001000000}">
          <x14:formula1>
            <xm:f>'Unitsets Secondary &amp; GD'!$A$30:$A$36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P30"/>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20"/>
      <c r="B2" s="159">
        <v>2</v>
      </c>
      <c r="C2" s="159">
        <v>3</v>
      </c>
      <c r="D2" s="159">
        <v>4</v>
      </c>
      <c r="E2" s="159"/>
      <c r="F2" s="159">
        <v>6</v>
      </c>
      <c r="G2" s="159">
        <v>5</v>
      </c>
      <c r="H2" s="159">
        <v>7</v>
      </c>
      <c r="I2" s="159">
        <v>8</v>
      </c>
      <c r="J2" s="159">
        <v>9</v>
      </c>
      <c r="K2" s="159">
        <v>10</v>
      </c>
      <c r="L2" s="121"/>
    </row>
    <row r="3" spans="1:16" ht="39.950000000000003" customHeight="1" x14ac:dyDescent="0.25">
      <c r="A3" s="292" t="s">
        <v>8</v>
      </c>
      <c r="B3" s="292"/>
      <c r="C3" s="292"/>
      <c r="D3" s="292"/>
      <c r="E3" s="96"/>
      <c r="F3" s="96"/>
      <c r="G3" s="96"/>
      <c r="H3" s="96"/>
      <c r="I3" s="96"/>
      <c r="J3" s="96"/>
      <c r="K3" s="96"/>
      <c r="L3" s="96"/>
    </row>
    <row r="4" spans="1:16" ht="25.5" x14ac:dyDescent="0.25">
      <c r="A4" s="234"/>
      <c r="B4" s="235"/>
      <c r="C4" s="235"/>
      <c r="D4" s="236" t="s">
        <v>9</v>
      </c>
      <c r="E4" s="237"/>
      <c r="F4" s="235"/>
      <c r="G4" s="238"/>
      <c r="H4" s="238"/>
      <c r="I4" s="238"/>
      <c r="J4" s="238"/>
      <c r="K4" s="238"/>
      <c r="L4" s="238"/>
    </row>
    <row r="5" spans="1:16"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16"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8" t="str">
        <f>CONCATENATE(VLOOKUP(D6,TableMajorsGradDip[],2,FALSE),VLOOKUP(D8,TableStudyPeriods[],2,FALSE))</f>
        <v>OUMP-EDUSCSP1</v>
      </c>
    </row>
    <row r="7" spans="1:16" ht="20.100000000000001" customHeight="1" x14ac:dyDescent="0.25">
      <c r="B7" s="10"/>
      <c r="C7" s="126" t="s">
        <v>271</v>
      </c>
      <c r="D7" s="233" t="s">
        <v>272</v>
      </c>
      <c r="E7" s="11"/>
      <c r="F7" s="10"/>
      <c r="G7" s="11"/>
      <c r="H7" s="11"/>
      <c r="I7" s="11"/>
      <c r="J7" s="11"/>
      <c r="K7" s="11"/>
      <c r="L7" s="218" t="e">
        <f>VLOOKUP(D7,TableFirstTeachingArea[],2,FALSE)</f>
        <v>#N/A</v>
      </c>
    </row>
    <row r="8" spans="1:16" ht="20.100000000000001" customHeight="1" x14ac:dyDescent="0.25">
      <c r="A8" s="13"/>
      <c r="B8" s="14"/>
      <c r="C8" s="126" t="s">
        <v>16</v>
      </c>
      <c r="D8" s="117" t="s">
        <v>212</v>
      </c>
      <c r="E8" s="15"/>
      <c r="F8" s="10" t="s">
        <v>18</v>
      </c>
      <c r="G8" s="11" t="str">
        <f>IFERROR(VLOOKUP($D$5,TableCourses[],7,FALSE),"")</f>
        <v>200 credit points required</v>
      </c>
      <c r="H8" s="222"/>
      <c r="I8" s="222"/>
      <c r="J8" s="222"/>
      <c r="K8" s="222"/>
      <c r="L8" s="222"/>
    </row>
    <row r="9" spans="1:16" s="19" customFormat="1" ht="14.1" customHeight="1" x14ac:dyDescent="0.25">
      <c r="A9" s="107"/>
      <c r="B9" s="107"/>
      <c r="C9" s="107"/>
      <c r="D9" s="108"/>
      <c r="E9" s="109"/>
      <c r="F9" s="107"/>
      <c r="G9" s="107"/>
      <c r="H9" s="110" t="s">
        <v>19</v>
      </c>
      <c r="I9" s="123"/>
      <c r="J9" s="123"/>
      <c r="K9" s="111"/>
      <c r="L9" s="109"/>
      <c r="M9" s="223"/>
      <c r="N9" s="223"/>
      <c r="O9" s="223"/>
    </row>
    <row r="10" spans="1:16" s="19" customFormat="1" ht="21" x14ac:dyDescent="0.25">
      <c r="A10" s="107" t="s">
        <v>20</v>
      </c>
      <c r="B10" s="107"/>
      <c r="C10" s="125" t="s">
        <v>21</v>
      </c>
      <c r="D10" s="108" t="s">
        <v>3</v>
      </c>
      <c r="E10" s="125" t="s">
        <v>22</v>
      </c>
      <c r="F10" s="107" t="s">
        <v>23</v>
      </c>
      <c r="G10" s="107" t="s">
        <v>24</v>
      </c>
      <c r="H10" s="114" t="s">
        <v>25</v>
      </c>
      <c r="I10" s="124" t="s">
        <v>26</v>
      </c>
      <c r="J10" s="124" t="s">
        <v>27</v>
      </c>
      <c r="K10" s="115" t="s">
        <v>28</v>
      </c>
      <c r="L10" s="107" t="s">
        <v>29</v>
      </c>
      <c r="M10" s="223"/>
      <c r="N10" s="223"/>
      <c r="O10" s="223"/>
    </row>
    <row r="11" spans="1:16" s="22" customFormat="1" ht="21" customHeight="1" x14ac:dyDescent="0.15">
      <c r="A11" s="224" t="str">
        <f>IFERROR(IF(HLOOKUP($L$6,RangeUnitsetsOGEDUCAcc,M11,FALSE)=0,"",HLOOKUP($L$6,RangeUnitsetsOGEDUCAcc,M11,FALSE)),"")</f>
        <v>EDSC5037</v>
      </c>
      <c r="B11" s="52">
        <f>IFERROR(IF(VLOOKUP($A11,TableHandbook[],2,FALSE)=0,"",VLOOKUP($A11,TableHandbook[],2,FALSE)),"")</f>
        <v>1</v>
      </c>
      <c r="C11" s="52" t="str">
        <f>IFERROR(IF(VLOOKUP($A11,TableHandbook[],3,FALSE)=0,"",VLOOKUP($A11,TableHandbook[],3,FALSE)),"")</f>
        <v>MTS500</v>
      </c>
      <c r="D11" s="53" t="str">
        <f>IFERROR(IF(VLOOKUP($A11,TableHandbook[],4,FALSE)=0,"",VLOOKUP($A11,TableHandbook[],4,FALSE)),"")</f>
        <v>Teaching in the Secondary School</v>
      </c>
      <c r="E11" s="52" t="str">
        <f>IF(OR(A11="",A11="--"),"",VLOOKUP($D$8,TableStudyPeriods[],2,FALSE))</f>
        <v>SP1</v>
      </c>
      <c r="F11" s="225" t="str">
        <f>IFERROR(IF(VLOOKUP($A11,TableHandbook[],6,FALSE)=0,"",VLOOKUP($A11,TableHandbook[],6,FALSE)),"")</f>
        <v>Nil</v>
      </c>
      <c r="G11" s="52">
        <f>IFERROR(IF(VLOOKUP($A11,TableHandbook[],5,FALSE)=0,"",VLOOKUP($A11,TableHandbook[],5,FALSE)),"")</f>
        <v>25</v>
      </c>
      <c r="H11" s="62" t="str">
        <f>IFERROR(VLOOKUP($A11,TableHandbook[],H$2,FALSE),"")</f>
        <v>Y</v>
      </c>
      <c r="I11" s="52" t="str">
        <f>IFERROR(VLOOKUP($A11,TableHandbook[],I$2,FALSE),"")</f>
        <v>Y</v>
      </c>
      <c r="J11" s="52" t="str">
        <f>IFERROR(VLOOKUP($A11,TableHandbook[],J$2,FALSE),"")</f>
        <v/>
      </c>
      <c r="K11" s="63" t="str">
        <f>IFERROR(VLOOKUP($A11,TableHandbook[],K$2,FALSE),"")</f>
        <v/>
      </c>
      <c r="L11" s="59"/>
      <c r="M11" s="226">
        <v>2</v>
      </c>
      <c r="N11" s="227"/>
      <c r="O11" s="227"/>
    </row>
    <row r="12" spans="1:16" s="22" customFormat="1" ht="21" customHeight="1" x14ac:dyDescent="0.15">
      <c r="A12" s="224" t="str">
        <f>IFERROR(IF(HLOOKUP($L$6,RangeUnitsetsOGEDUCAcc,M12,FALSE)=0,"",HLOOKUP($L$6,RangeUnitsetsOGEDUCAcc,M12,FALSE)),"")</f>
        <v>EDSC5039</v>
      </c>
      <c r="B12" s="52">
        <f>IFERROR(IF(VLOOKUP($A12,TableHandbook[],2,FALSE)=0,"",VLOOKUP($A12,TableHandbook[],2,FALSE)),"")</f>
        <v>1</v>
      </c>
      <c r="C12" s="52" t="str">
        <f>IFERROR(IF(VLOOKUP($A12,TableHandbook[],3,FALSE)=0,"",VLOOKUP($A12,TableHandbook[],3,FALSE)),"")</f>
        <v>MTS502</v>
      </c>
      <c r="D12" s="53" t="str">
        <f>IFERROR(IF(VLOOKUP($A12,TableHandbook[],4,FALSE)=0,"",VLOOKUP($A12,TableHandbook[],4,FALSE)),"")</f>
        <v>Secondary Professional Experience 1: Planning</v>
      </c>
      <c r="E12" s="52" t="str">
        <f>IF(A12="","",E11)</f>
        <v>SP1</v>
      </c>
      <c r="F12" s="225" t="str">
        <f>IFERROR(IF(VLOOKUP($A12,TableHandbook[],6,FALSE)=0,"",VLOOKUP($A12,TableHandbook[],6,FALSE)),"")</f>
        <v>Nil</v>
      </c>
      <c r="G12" s="52">
        <f>IFERROR(IF(VLOOKUP($A12,TableHandbook[],5,FALSE)=0,"",VLOOKUP($A12,TableHandbook[],5,FALSE)),"")</f>
        <v>25</v>
      </c>
      <c r="H12" s="62" t="str">
        <f>IFERROR(VLOOKUP($A12,TableHandbook[],H$2,FALSE),"")</f>
        <v>Y</v>
      </c>
      <c r="I12" s="52" t="str">
        <f>IFERROR(VLOOKUP($A12,TableHandbook[],I$2,FALSE),"")</f>
        <v>Y</v>
      </c>
      <c r="J12" s="52" t="str">
        <f>IFERROR(VLOOKUP($A12,TableHandbook[],J$2,FALSE),"")</f>
        <v/>
      </c>
      <c r="K12" s="63" t="str">
        <f>IFERROR(VLOOKUP($A12,TableHandbook[],K$2,FALSE),"")</f>
        <v/>
      </c>
      <c r="L12" s="59"/>
      <c r="M12" s="226">
        <v>3</v>
      </c>
      <c r="N12" s="227"/>
      <c r="O12" s="227"/>
    </row>
    <row r="13" spans="1:16" s="22" customFormat="1" ht="21" customHeight="1" x14ac:dyDescent="0.15">
      <c r="A13" s="224" t="str">
        <f>IFERROR(IF(HLOOKUP($L$6,RangeUnitsetsOGEDUCAcc,M13,FALSE)=0,"",HLOOKUP($L$6,RangeUnitsetsOGEDUCAcc,M13,FALSE)),"")</f>
        <v>EDUC5014</v>
      </c>
      <c r="B13" s="52">
        <f>IFERROR(IF(VLOOKUP($A13,TableHandbook[],2,FALSE)=0,"",VLOOKUP($A13,TableHandbook[],2,FALSE)),"")</f>
        <v>1</v>
      </c>
      <c r="C13" s="52" t="str">
        <f>IFERROR(IF(VLOOKUP($A13,TableHandbook[],3,FALSE)=0,"",VLOOKUP($A13,TableHandbook[],3,FALSE)),"")</f>
        <v>MTPS501</v>
      </c>
      <c r="D13" s="53" t="str">
        <f>IFERROR(IF(VLOOKUP($A13,TableHandbook[],4,FALSE)=0,"",VLOOKUP($A13,TableHandbook[],4,FALSE)),"")</f>
        <v>Pedagogies for Diversity</v>
      </c>
      <c r="E13" s="52" t="str">
        <f>IF(A13="","",E12)</f>
        <v>SP1</v>
      </c>
      <c r="F13" s="225" t="str">
        <f>IFERROR(IF(VLOOKUP($A13,TableHandbook[],6,FALSE)=0,"",VLOOKUP($A13,TableHandbook[],6,FALSE)),"")</f>
        <v>Nil</v>
      </c>
      <c r="G13" s="52">
        <f>IFERROR(IF(VLOOKUP($A13,TableHandbook[],5,FALSE)=0,"",VLOOKUP($A13,TableHandbook[],5,FALSE)),"")</f>
        <v>25</v>
      </c>
      <c r="H13" s="62" t="str">
        <f>IFERROR(VLOOKUP($A13,TableHandbook[],H$2,FALSE),"")</f>
        <v>Y</v>
      </c>
      <c r="I13" s="52" t="str">
        <f>IFERROR(VLOOKUP($A13,TableHandbook[],I$2,FALSE),"")</f>
        <v/>
      </c>
      <c r="J13" s="52" t="str">
        <f>IFERROR(VLOOKUP($A13,TableHandbook[],J$2,FALSE),"")</f>
        <v>Y</v>
      </c>
      <c r="K13" s="63" t="str">
        <f>IFERROR(VLOOKUP($A13,TableHandbook[],K$2,FALSE),"")</f>
        <v/>
      </c>
      <c r="L13" s="59"/>
      <c r="M13" s="226">
        <v>4</v>
      </c>
      <c r="N13" s="227"/>
      <c r="O13" s="227"/>
    </row>
    <row r="14" spans="1:16" s="22" customFormat="1" ht="6" customHeight="1" x14ac:dyDescent="0.15">
      <c r="A14" s="198"/>
      <c r="B14" s="199"/>
      <c r="C14" s="199"/>
      <c r="D14" s="200"/>
      <c r="E14" s="199"/>
      <c r="F14" s="201"/>
      <c r="G14" s="199"/>
      <c r="H14" s="202"/>
      <c r="I14" s="203"/>
      <c r="J14" s="203"/>
      <c r="K14" s="205"/>
      <c r="L14" s="204"/>
      <c r="M14" s="226"/>
      <c r="N14" s="227"/>
      <c r="O14" s="227"/>
      <c r="P14" s="227"/>
    </row>
    <row r="15" spans="1:16" s="22" customFormat="1" ht="21" customHeight="1" x14ac:dyDescent="0.15">
      <c r="A15" s="224" t="str">
        <f>IFERROR(IF(HLOOKUP($L$6,RangeUnitsetsOGEDUCAcc,M15,FALSE)=0,"",HLOOKUP($L$6,RangeUnitsetsOGEDUCAcc,M15,FALSE)),"")</f>
        <v>EDSC5051</v>
      </c>
      <c r="B15" s="52">
        <f>IFERROR(IF(VLOOKUP($A15,TableHandbook[],2,FALSE)=0,"",VLOOKUP($A15,TableHandbook[],2,FALSE)),"")</f>
        <v>1</v>
      </c>
      <c r="C15" s="52" t="str">
        <f>IFERROR(IF(VLOOKUP($A15,TableHandbook[],3,FALSE)=0,"",VLOOKUP($A15,TableHandbook[],3,FALSE)),"")</f>
        <v>MTS504</v>
      </c>
      <c r="D15" s="53" t="str">
        <f>IFERROR(IF(VLOOKUP($A15,TableHandbook[],4,FALSE)=0,"",VLOOKUP($A15,TableHandbook[],4,FALSE)),"")</f>
        <v>Secondary Professional Experience 2: Assessment and Reporting</v>
      </c>
      <c r="E15" s="52" t="str">
        <f>IF(OR(A15="",A15="--"),"",VLOOKUP($D$8,TableStudyPeriods[],3,FALSE))</f>
        <v>SP2</v>
      </c>
      <c r="F15" s="225" t="str">
        <f>IFERROR(IF(VLOOKUP($A15,TableHandbook[],6,FALSE)=0,"",VLOOKUP($A15,TableHandbook[],6,FALSE)),"")</f>
        <v>MTS502</v>
      </c>
      <c r="G15" s="52">
        <f>IFERROR(IF(VLOOKUP($A15,TableHandbook[],5,FALSE)=0,"",VLOOKUP($A15,TableHandbook[],5,FALSE)),"")</f>
        <v>25</v>
      </c>
      <c r="H15" s="62" t="str">
        <f>IFERROR(VLOOKUP($A15,TableHandbook[],H$2,FALSE),"")</f>
        <v/>
      </c>
      <c r="I15" s="52" t="str">
        <f>IFERROR(VLOOKUP($A15,TableHandbook[],I$2,FALSE),"")</f>
        <v>Y</v>
      </c>
      <c r="J15" s="52" t="str">
        <f>IFERROR(VLOOKUP($A15,TableHandbook[],J$2,FALSE),"")</f>
        <v>Y</v>
      </c>
      <c r="K15" s="63" t="str">
        <f>IFERROR(VLOOKUP($A15,TableHandbook[],K$2,FALSE),"")</f>
        <v/>
      </c>
      <c r="L15" s="59"/>
      <c r="M15" s="228">
        <v>5</v>
      </c>
      <c r="N15" s="227"/>
      <c r="O15" s="227"/>
    </row>
    <row r="16" spans="1:16" s="22" customFormat="1" ht="21" customHeight="1" x14ac:dyDescent="0.15">
      <c r="A16" s="224" t="str">
        <f>IFERROR(IF(HLOOKUP($L$6,RangeUnitsetsOGEDUCAcc,M16,FALSE)=0,"",HLOOKUP($L$6,RangeUnitsetsOGEDUCAcc,M16,FALSE)),"")</f>
        <v>EDUC5017</v>
      </c>
      <c r="B16" s="52">
        <f>IFERROR(IF(VLOOKUP($A16,TableHandbook[],2,FALSE)=0,"",VLOOKUP($A16,TableHandbook[],2,FALSE)),"")</f>
        <v>1</v>
      </c>
      <c r="C16" s="52" t="str">
        <f>IFERROR(IF(VLOOKUP($A16,TableHandbook[],3,FALSE)=0,"",VLOOKUP($A16,TableHandbook[],3,FALSE)),"")</f>
        <v>MTPS504</v>
      </c>
      <c r="D16" s="53" t="str">
        <f>IFERROR(IF(VLOOKUP($A16,TableHandbook[],4,FALSE)=0,"",VLOOKUP($A16,TableHandbook[],4,FALSE)),"")</f>
        <v>Creative Technologies</v>
      </c>
      <c r="E16" s="52" t="str">
        <f>IF(A16="","",E15)</f>
        <v>SP2</v>
      </c>
      <c r="F16" s="225" t="str">
        <f>IFERROR(IF(VLOOKUP($A16,TableHandbook[],6,FALSE)=0,"",VLOOKUP($A16,TableHandbook[],6,FALSE)),"")</f>
        <v>Nil</v>
      </c>
      <c r="G16" s="52">
        <f>IFERROR(IF(VLOOKUP($A16,TableHandbook[],5,FALSE)=0,"",VLOOKUP($A16,TableHandbook[],5,FALSE)),"")</f>
        <v>25</v>
      </c>
      <c r="H16" s="62" t="str">
        <f>IFERROR(VLOOKUP($A16,TableHandbook[],H$2,FALSE),"")</f>
        <v/>
      </c>
      <c r="I16" s="52" t="str">
        <f>IFERROR(VLOOKUP($A16,TableHandbook[],I$2,FALSE),"")</f>
        <v>Y</v>
      </c>
      <c r="J16" s="52" t="str">
        <f>IFERROR(VLOOKUP($A16,TableHandbook[],J$2,FALSE),"")</f>
        <v>Y</v>
      </c>
      <c r="K16" s="63" t="str">
        <f>IFERROR(VLOOKUP($A16,TableHandbook[],K$2,FALSE),"")</f>
        <v>Y</v>
      </c>
      <c r="L16" s="59"/>
      <c r="M16" s="226">
        <v>6</v>
      </c>
      <c r="N16" s="227"/>
      <c r="O16" s="227"/>
    </row>
    <row r="17" spans="1:16" s="31" customFormat="1" ht="21" customHeight="1" x14ac:dyDescent="0.15">
      <c r="A17" s="210" t="str">
        <f>IFERROR(IF(HLOOKUP($L$6,RangeUnitsetsOGEDUCAcc,M17,FALSE)=0,"",HLOOKUP($L$6,RangeUnitsetsOGEDUCAcc,M17,FALSE)),"")</f>
        <v>GDTAL</v>
      </c>
      <c r="B17" s="146" t="str">
        <f>IFERROR(IF(VLOOKUP($A17,TableHandbook[],2,FALSE)=0,"",VLOOKUP($A17,TableHandbook[],2,FALSE)),"")</f>
        <v/>
      </c>
      <c r="C17" s="146" t="str">
        <f>IFERROR(IF(VLOOKUP($A17,TableHandbook[],3,FALSE)=0,"",VLOOKUP($A17,TableHandbook[],3,FALSE)),"")</f>
        <v/>
      </c>
      <c r="D17" s="211" t="str">
        <f>IFERROR(IF(VLOOKUP($A17,TableHandbook[],4,FALSE)=0,"",VLOOKUP($A17,TableHandbook[],4,FALSE)),"")</f>
        <v>Teaching Area LOWER subject (see below)</v>
      </c>
      <c r="E17" s="146" t="str">
        <f>IF(A17="","",E16)</f>
        <v>SP2</v>
      </c>
      <c r="F17" s="212" t="str">
        <f>IFERROR(IF(VLOOKUP($A17,TableHandbook[],6,FALSE)=0,"",VLOOKUP($A17,TableHandbook[],6,FALSE)),"")</f>
        <v>See below</v>
      </c>
      <c r="G17" s="146">
        <f>IFERROR(IF(VLOOKUP($A17,TableHandbook[],5,FALSE)=0,"",VLOOKUP($A17,TableHandbook[],5,FALSE)),"")</f>
        <v>25</v>
      </c>
      <c r="H17" s="145" t="str">
        <f>IFERROR(VLOOKUP($A17,TableHandbook[],H$2,FALSE),"")</f>
        <v/>
      </c>
      <c r="I17" s="146" t="str">
        <f>IFERROR(VLOOKUP($A17,TableHandbook[],I$2,FALSE),"")</f>
        <v/>
      </c>
      <c r="J17" s="146" t="str">
        <f>IFERROR(VLOOKUP($A17,TableHandbook[],J$2,FALSE),"")</f>
        <v/>
      </c>
      <c r="K17" s="147" t="str">
        <f>IFERROR(VLOOKUP($A17,TableHandbook[],K$2,FALSE),"")</f>
        <v/>
      </c>
      <c r="L17" s="213"/>
      <c r="M17" s="226">
        <v>7</v>
      </c>
      <c r="N17" s="229"/>
      <c r="O17" s="229"/>
    </row>
    <row r="18" spans="1:16" s="22" customFormat="1" ht="6" customHeight="1" x14ac:dyDescent="0.15">
      <c r="A18" s="198"/>
      <c r="B18" s="199"/>
      <c r="C18" s="199"/>
      <c r="D18" s="200"/>
      <c r="E18" s="199"/>
      <c r="F18" s="201"/>
      <c r="G18" s="199"/>
      <c r="H18" s="202"/>
      <c r="I18" s="203"/>
      <c r="J18" s="203"/>
      <c r="K18" s="205"/>
      <c r="L18" s="204"/>
      <c r="M18" s="226"/>
      <c r="N18" s="227"/>
      <c r="O18" s="227"/>
      <c r="P18" s="227"/>
    </row>
    <row r="19" spans="1:16" s="31" customFormat="1" ht="21" customHeight="1" x14ac:dyDescent="0.15">
      <c r="A19" s="224" t="str">
        <f>IFERROR(IF(HLOOKUP($L$6,RangeUnitsetsOGEDUCAcc,M19,FALSE)=0,"",HLOOKUP($L$6,RangeUnitsetsOGEDUCAcc,M19,FALSE)),"")</f>
        <v>EDUC6063</v>
      </c>
      <c r="B19" s="52">
        <f>IFERROR(IF(VLOOKUP($A19,TableHandbook[],2,FALSE)=0,"",VLOOKUP($A19,TableHandbook[],2,FALSE)),"")</f>
        <v>1</v>
      </c>
      <c r="C19" s="52" t="str">
        <f>IFERROR(IF(VLOOKUP($A19,TableHandbook[],3,FALSE)=0,"",VLOOKUP($A19,TableHandbook[],3,FALSE)),"")</f>
        <v>MTC600</v>
      </c>
      <c r="D19" s="53" t="str">
        <f>IFERROR(IF(VLOOKUP($A19,TableHandbook[],4,FALSE)=0,"",VLOOKUP($A19,TableHandbook[],4,FALSE)),"")</f>
        <v>Professional Experience 3: Using Data to Inform Teaching and Learning</v>
      </c>
      <c r="E19" s="52" t="str">
        <f>IF(OR(A19="",A19="--"),"",VLOOKUP($D$8,TableStudyPeriods[],4,FALSE))</f>
        <v>SP3</v>
      </c>
      <c r="F19" s="225" t="str">
        <f>IFERROR(IF(VLOOKUP($A19,TableHandbook[],6,FALSE)=0,"",VLOOKUP($A19,TableHandbook[],6,FALSE)),"")</f>
        <v>MTEC502 or MTP506 or MTS504</v>
      </c>
      <c r="G19" s="52">
        <f>IFERROR(IF(VLOOKUP($A19,TableHandbook[],5,FALSE)=0,"",VLOOKUP($A19,TableHandbook[],5,FALSE)),"")</f>
        <v>25</v>
      </c>
      <c r="H19" s="62" t="str">
        <f>IFERROR(VLOOKUP($A19,TableHandbook[],H$2,FALSE),"")</f>
        <v>Y</v>
      </c>
      <c r="I19" s="52" t="str">
        <f>IFERROR(VLOOKUP($A19,TableHandbook[],I$2,FALSE),"")</f>
        <v/>
      </c>
      <c r="J19" s="52" t="str">
        <f>IFERROR(VLOOKUP($A19,TableHandbook[],J$2,FALSE),"")</f>
        <v>Y</v>
      </c>
      <c r="K19" s="63" t="str">
        <f>IFERROR(VLOOKUP($A19,TableHandbook[],K$2,FALSE),"")</f>
        <v/>
      </c>
      <c r="L19" s="59"/>
      <c r="M19" s="226">
        <v>8</v>
      </c>
      <c r="N19" s="229"/>
      <c r="O19" s="229"/>
    </row>
    <row r="20" spans="1:16" s="31" customFormat="1" ht="21" customHeight="1" x14ac:dyDescent="0.15">
      <c r="A20" s="210" t="str">
        <f>IFERROR(IF(HLOOKUP($L$6,RangeUnitsetsOGEDUCAcc,M20,FALSE)=0,"",HLOOKUP($L$6,RangeUnitsetsOGEDUCAcc,M20,FALSE)),"")</f>
        <v>GDTAS</v>
      </c>
      <c r="B20" s="146" t="str">
        <f>IFERROR(IF(VLOOKUP($A20,TableHandbook[],2,FALSE)=0,"",VLOOKUP($A20,TableHandbook[],2,FALSE)),"")</f>
        <v/>
      </c>
      <c r="C20" s="146" t="str">
        <f>IFERROR(IF(VLOOKUP($A20,TableHandbook[],3,FALSE)=0,"",VLOOKUP($A20,TableHandbook[],3,FALSE)),"")</f>
        <v/>
      </c>
      <c r="D20" s="215" t="str">
        <f>IFERROR(IF(VLOOKUP($A20,TableHandbook[],4,FALSE)=0,"",VLOOKUP($A20,TableHandbook[],4,FALSE)),"")</f>
        <v>Teaching Area SENIOR subject (see below)</v>
      </c>
      <c r="E20" s="146" t="str">
        <f>IF(A20="","",E19)</f>
        <v>SP3</v>
      </c>
      <c r="F20" s="212" t="str">
        <f>IFERROR(IF(VLOOKUP($A20,TableHandbook[],6,FALSE)=0,"",VLOOKUP($A20,TableHandbook[],6,FALSE)),"")</f>
        <v>See below</v>
      </c>
      <c r="G20" s="146">
        <f>IFERROR(IF(VLOOKUP($A20,TableHandbook[],5,FALSE)=0,"",VLOOKUP($A20,TableHandbook[],5,FALSE)),"")</f>
        <v>25</v>
      </c>
      <c r="H20" s="145" t="str">
        <f>IFERROR(VLOOKUP($A20,TableHandbook[],H$2,FALSE),"")</f>
        <v/>
      </c>
      <c r="I20" s="146" t="str">
        <f>IFERROR(VLOOKUP($A20,TableHandbook[],I$2,FALSE),"")</f>
        <v/>
      </c>
      <c r="J20" s="146" t="str">
        <f>IFERROR(VLOOKUP($A20,TableHandbook[],J$2,FALSE),"")</f>
        <v/>
      </c>
      <c r="K20" s="147" t="str">
        <f>IFERROR(VLOOKUP($A20,TableHandbook[],K$2,FALSE),"")</f>
        <v/>
      </c>
      <c r="L20" s="213"/>
      <c r="M20" s="228">
        <v>9</v>
      </c>
      <c r="N20" s="229"/>
      <c r="O20" s="229"/>
    </row>
    <row r="21" spans="1:16" ht="16.5" customHeight="1" x14ac:dyDescent="0.25">
      <c r="A21" s="39"/>
      <c r="B21" s="39"/>
      <c r="C21" s="39"/>
      <c r="D21" s="40"/>
      <c r="E21" s="40"/>
      <c r="F21" s="35"/>
      <c r="G21" s="35"/>
      <c r="H21" s="35"/>
      <c r="I21" s="35"/>
      <c r="J21" s="35"/>
      <c r="K21" s="35"/>
      <c r="L21" s="35"/>
    </row>
    <row r="22" spans="1:16" s="42" customFormat="1" ht="25.5" x14ac:dyDescent="0.25">
      <c r="A22" s="156" t="s">
        <v>269</v>
      </c>
      <c r="B22" s="97"/>
      <c r="C22" s="97"/>
      <c r="D22" s="98"/>
      <c r="E22" s="99"/>
      <c r="F22" s="99"/>
      <c r="G22" s="99"/>
      <c r="H22" s="100" t="str">
        <f>H9</f>
        <v>2025 Availabilities</v>
      </c>
      <c r="I22" s="101"/>
      <c r="J22" s="102"/>
      <c r="K22" s="103"/>
      <c r="L22" s="104"/>
    </row>
    <row r="23" spans="1:16" ht="21" customHeight="1" x14ac:dyDescent="0.25">
      <c r="A23" s="107"/>
      <c r="B23" s="107"/>
      <c r="C23" s="125" t="s">
        <v>21</v>
      </c>
      <c r="D23" s="108" t="s">
        <v>3</v>
      </c>
      <c r="E23" s="125"/>
      <c r="F23" s="107" t="s">
        <v>23</v>
      </c>
      <c r="G23" s="107" t="s">
        <v>24</v>
      </c>
      <c r="H23" s="114" t="str">
        <f>H10</f>
        <v>SP1</v>
      </c>
      <c r="I23" s="124" t="str">
        <f t="shared" ref="I23:L23" si="0">I10</f>
        <v>SP2</v>
      </c>
      <c r="J23" s="124" t="str">
        <f t="shared" si="0"/>
        <v>SP3</v>
      </c>
      <c r="K23" s="115" t="str">
        <f t="shared" si="0"/>
        <v>SP4</v>
      </c>
      <c r="L23" s="107" t="str">
        <f t="shared" si="0"/>
        <v>Notes / Progress</v>
      </c>
      <c r="M23" s="230"/>
    </row>
    <row r="24" spans="1:16" ht="21" customHeight="1" x14ac:dyDescent="0.25">
      <c r="A24" s="163"/>
      <c r="B24" s="141"/>
      <c r="C24" s="216"/>
      <c r="D24" s="142" t="s">
        <v>273</v>
      </c>
      <c r="E24" s="143"/>
      <c r="F24" s="144"/>
      <c r="G24" s="144"/>
      <c r="H24" s="145"/>
      <c r="I24" s="146"/>
      <c r="J24" s="146"/>
      <c r="K24" s="147"/>
      <c r="L24" s="213"/>
      <c r="M24" s="231">
        <v>2</v>
      </c>
    </row>
    <row r="25" spans="1:16" ht="21" customHeight="1" x14ac:dyDescent="0.25">
      <c r="A25" s="164" t="str">
        <f>IFERROR(IF(HLOOKUP($L$7,RangeTeachingAreas,M25,FALSE)=0,"",HLOOKUP($L$7,RangeTeachingAreas,M25,FALSE)),"")</f>
        <v/>
      </c>
      <c r="B25" s="43"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60" t="str">
        <f>IFERROR(VLOOKUP($A25,TableHandbook[],H$2,FALSE),"")</f>
        <v/>
      </c>
      <c r="I25" s="50" t="str">
        <f>IFERROR(VLOOKUP($A25,TableHandbook[],I$2,FALSE),"")</f>
        <v/>
      </c>
      <c r="J25" s="50" t="str">
        <f>IFERROR(VLOOKUP($A25,TableHandbook[],J$2,FALSE),"")</f>
        <v/>
      </c>
      <c r="K25" s="61" t="str">
        <f>IFERROR(VLOOKUP($A25,TableHandbook[],K$2,FALSE),"")</f>
        <v/>
      </c>
      <c r="L25" s="59"/>
      <c r="M25" s="230">
        <v>3</v>
      </c>
    </row>
    <row r="26" spans="1:16" ht="21" customHeight="1" x14ac:dyDescent="0.25">
      <c r="A26" s="164" t="str">
        <f>IFERROR(IF(HLOOKUP($L$7,RangeTeachingAreas,M26,FALSE)=0,"",HLOOKUP($L$7,RangeTeachingAreas,M26,FALSE)),"")</f>
        <v/>
      </c>
      <c r="B26" s="43"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60" t="str">
        <f>IFERROR(VLOOKUP($A26,TableHandbook[],H$2,FALSE),"")</f>
        <v/>
      </c>
      <c r="I26" s="50" t="str">
        <f>IFERROR(VLOOKUP($A26,TableHandbook[],I$2,FALSE),"")</f>
        <v/>
      </c>
      <c r="J26" s="50" t="str">
        <f>IFERROR(VLOOKUP($A26,TableHandbook[],J$2,FALSE),"")</f>
        <v/>
      </c>
      <c r="K26" s="61" t="str">
        <f>IFERROR(VLOOKUP($A26,TableHandbook[],K$2,FALSE),"")</f>
        <v/>
      </c>
      <c r="L26" s="59"/>
      <c r="M26" s="230">
        <v>4</v>
      </c>
    </row>
    <row r="27" spans="1:16" ht="13.5" customHeight="1" x14ac:dyDescent="0.25">
      <c r="A27" s="182"/>
      <c r="B27" s="183"/>
      <c r="C27" s="184"/>
      <c r="D27" s="184"/>
      <c r="E27" s="185"/>
      <c r="F27" s="186"/>
      <c r="G27" s="186"/>
      <c r="H27" s="166"/>
      <c r="I27" s="166"/>
      <c r="J27" s="166"/>
      <c r="K27" s="166"/>
      <c r="L27" s="167"/>
      <c r="M27" s="230"/>
    </row>
    <row r="28" spans="1:16" ht="18" x14ac:dyDescent="0.25">
      <c r="A28" s="65" t="s">
        <v>32</v>
      </c>
      <c r="B28" s="65"/>
      <c r="C28" s="65"/>
      <c r="D28" s="65"/>
      <c r="E28" s="65"/>
      <c r="F28" s="65"/>
      <c r="G28" s="65"/>
      <c r="H28" s="65"/>
      <c r="I28" s="65"/>
      <c r="J28" s="65"/>
      <c r="K28" s="65"/>
      <c r="L28" s="65"/>
    </row>
    <row r="29" spans="1:16" s="38" customFormat="1" ht="17.25" x14ac:dyDescent="0.2">
      <c r="A29" s="32" t="s">
        <v>33</v>
      </c>
      <c r="B29" s="32"/>
      <c r="C29" s="32"/>
      <c r="D29" s="33"/>
      <c r="E29" s="33"/>
      <c r="F29" s="33"/>
      <c r="G29" s="33"/>
      <c r="H29" s="33"/>
      <c r="I29" s="33"/>
      <c r="J29" s="33"/>
      <c r="K29" s="33"/>
      <c r="L29" s="33"/>
      <c r="M29" s="232"/>
      <c r="N29" s="232"/>
      <c r="O29" s="232"/>
    </row>
    <row r="30" spans="1:16" x14ac:dyDescent="0.25">
      <c r="A30" s="34" t="s">
        <v>34</v>
      </c>
      <c r="B30" s="34"/>
      <c r="C30" s="34"/>
      <c r="D30" s="34"/>
      <c r="E30" s="47"/>
      <c r="F30" s="35"/>
      <c r="G30" s="48"/>
      <c r="H30" s="48"/>
      <c r="I30" s="48"/>
      <c r="J30" s="48"/>
      <c r="K30" s="48"/>
      <c r="L30" s="48" t="s">
        <v>35</v>
      </c>
    </row>
  </sheetData>
  <sheetProtection formatCells="0"/>
  <mergeCells count="1">
    <mergeCell ref="A3:D3"/>
  </mergeCells>
  <conditionalFormatting sqref="A11:M20">
    <cfRule type="expression" dxfId="72" priority="4">
      <formula>LEFT($A11,3)="FTA"</formula>
    </cfRule>
  </conditionalFormatting>
  <conditionalFormatting sqref="D5:D8">
    <cfRule type="containsText" dxfId="71" priority="2" operator="containsText" text="Choose">
      <formula>NOT(ISERROR(SEARCH("Choose",D5)))</formula>
    </cfRule>
  </conditionalFormatting>
  <conditionalFormatting sqref="H11:K20">
    <cfRule type="expression" dxfId="70" priority="1">
      <formula>$E11=H$10</formula>
    </cfRule>
  </conditionalFormatting>
  <dataValidations count="1">
    <dataValidation type="list" allowBlank="1" showInputMessage="1" showErrorMessage="1" sqref="L14 L18" xr:uid="{00000000-0002-0000-0C00-000000000000}"/>
  </dataValidations>
  <hyperlinks>
    <hyperlink ref="A29:L29" r:id="rId1" display="If you have any queries about your course, please contact Curtin Connect." xr:uid="{00000000-0004-0000-0C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C00-000001000000}">
          <x14:formula1>
            <xm:f>'Unitsets Secondary &amp; GD'!$A$30:$A$36</xm:f>
          </x14:formula1>
          <xm:sqref>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249977111117893"/>
  </sheetPr>
  <dimension ref="A1:X53"/>
  <sheetViews>
    <sheetView zoomScale="85" zoomScaleNormal="85" workbookViewId="0">
      <selection activeCell="D7" sqref="D7"/>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67" t="s">
        <v>274</v>
      </c>
    </row>
    <row r="3" spans="1:16" x14ac:dyDescent="0.25">
      <c r="G3" s="172" t="s">
        <v>275</v>
      </c>
      <c r="H3" s="77">
        <v>1</v>
      </c>
      <c r="I3" s="79"/>
      <c r="J3" s="78" t="s">
        <v>276</v>
      </c>
      <c r="K3" s="79"/>
      <c r="L3" s="78" t="s">
        <v>277</v>
      </c>
      <c r="M3" s="79"/>
      <c r="N3" s="78" t="s">
        <v>278</v>
      </c>
      <c r="O3" s="79"/>
      <c r="P3" s="78" t="s">
        <v>279</v>
      </c>
    </row>
    <row r="4" spans="1:16" x14ac:dyDescent="0.25">
      <c r="D4" s="135" t="s">
        <v>280</v>
      </c>
      <c r="E4" s="135"/>
      <c r="G4" s="68"/>
      <c r="H4" s="80">
        <v>2</v>
      </c>
      <c r="I4" s="90" t="s">
        <v>74</v>
      </c>
      <c r="J4" s="94" t="s">
        <v>281</v>
      </c>
      <c r="K4" s="90" t="s">
        <v>76</v>
      </c>
      <c r="L4" s="94" t="s">
        <v>282</v>
      </c>
      <c r="M4" s="90" t="s">
        <v>78</v>
      </c>
      <c r="N4" s="94" t="s">
        <v>75</v>
      </c>
      <c r="O4" s="90" t="s">
        <v>79</v>
      </c>
      <c r="P4" s="94" t="s">
        <v>282</v>
      </c>
    </row>
    <row r="5" spans="1:16" x14ac:dyDescent="0.25">
      <c r="A5" s="70" t="s">
        <v>283</v>
      </c>
      <c r="D5" s="136" t="s">
        <v>284</v>
      </c>
      <c r="E5" s="160" t="s">
        <v>285</v>
      </c>
      <c r="G5" s="68"/>
      <c r="H5" s="80">
        <v>3</v>
      </c>
      <c r="I5" s="91" t="s">
        <v>74</v>
      </c>
      <c r="J5" s="95" t="s">
        <v>75</v>
      </c>
      <c r="K5" s="91" t="s">
        <v>76</v>
      </c>
      <c r="L5" s="95" t="s">
        <v>281</v>
      </c>
      <c r="M5" s="91" t="s">
        <v>78</v>
      </c>
      <c r="N5" s="95" t="s">
        <v>262</v>
      </c>
      <c r="O5" s="91" t="s">
        <v>79</v>
      </c>
      <c r="P5" s="128" t="s">
        <v>286</v>
      </c>
    </row>
    <row r="6" spans="1:16" x14ac:dyDescent="0.25">
      <c r="A6" t="s">
        <v>284</v>
      </c>
      <c r="B6" t="s">
        <v>287</v>
      </c>
      <c r="D6" s="137"/>
      <c r="E6" s="161" t="s">
        <v>266</v>
      </c>
      <c r="G6" s="68"/>
      <c r="H6" s="80">
        <v>4</v>
      </c>
      <c r="I6" s="91" t="s">
        <v>76</v>
      </c>
      <c r="J6" s="95" t="s">
        <v>282</v>
      </c>
      <c r="K6" s="91" t="s">
        <v>78</v>
      </c>
      <c r="L6" s="95" t="s">
        <v>75</v>
      </c>
      <c r="M6" s="91" t="s">
        <v>79</v>
      </c>
      <c r="N6" s="95" t="s">
        <v>282</v>
      </c>
      <c r="O6" s="91" t="s">
        <v>74</v>
      </c>
      <c r="P6" s="95" t="s">
        <v>281</v>
      </c>
    </row>
    <row r="7" spans="1:16" x14ac:dyDescent="0.25">
      <c r="A7" t="s">
        <v>266</v>
      </c>
      <c r="B7" t="s">
        <v>288</v>
      </c>
      <c r="D7" s="137"/>
      <c r="E7" s="161" t="s">
        <v>289</v>
      </c>
      <c r="G7" s="68"/>
      <c r="H7" s="80">
        <v>5</v>
      </c>
      <c r="I7" s="91" t="s">
        <v>76</v>
      </c>
      <c r="J7" s="95" t="s">
        <v>290</v>
      </c>
      <c r="K7" s="91" t="s">
        <v>78</v>
      </c>
      <c r="L7" s="95" t="s">
        <v>262</v>
      </c>
      <c r="M7" s="91" t="s">
        <v>79</v>
      </c>
      <c r="N7" s="128" t="s">
        <v>286</v>
      </c>
      <c r="O7" s="91" t="s">
        <v>74</v>
      </c>
      <c r="P7" s="95" t="s">
        <v>75</v>
      </c>
    </row>
    <row r="8" spans="1:16" x14ac:dyDescent="0.25">
      <c r="A8" t="s">
        <v>289</v>
      </c>
      <c r="B8" t="s">
        <v>291</v>
      </c>
      <c r="D8" s="137"/>
      <c r="E8" s="161" t="s">
        <v>268</v>
      </c>
      <c r="G8" s="68"/>
      <c r="H8" s="80">
        <v>6</v>
      </c>
      <c r="I8" s="91" t="s">
        <v>78</v>
      </c>
      <c r="J8" s="95" t="s">
        <v>262</v>
      </c>
      <c r="K8" s="91" t="s">
        <v>79</v>
      </c>
      <c r="L8" s="128" t="s">
        <v>286</v>
      </c>
      <c r="M8" s="91" t="s">
        <v>74</v>
      </c>
      <c r="N8" s="95" t="s">
        <v>281</v>
      </c>
      <c r="O8" s="91" t="s">
        <v>76</v>
      </c>
      <c r="P8" s="95" t="s">
        <v>290</v>
      </c>
    </row>
    <row r="9" spans="1:16" x14ac:dyDescent="0.25">
      <c r="A9" t="s">
        <v>268</v>
      </c>
      <c r="B9" t="s">
        <v>292</v>
      </c>
      <c r="D9" s="137"/>
      <c r="E9" s="161" t="s">
        <v>293</v>
      </c>
      <c r="G9" s="68"/>
      <c r="H9" s="80">
        <v>7</v>
      </c>
      <c r="I9" s="91" t="s">
        <v>78</v>
      </c>
      <c r="J9" s="95" t="s">
        <v>294</v>
      </c>
      <c r="K9" s="91" t="s">
        <v>79</v>
      </c>
      <c r="L9" s="129" t="s">
        <v>295</v>
      </c>
      <c r="M9" s="91" t="s">
        <v>74</v>
      </c>
      <c r="N9" s="95" t="s">
        <v>290</v>
      </c>
      <c r="O9" s="91" t="s">
        <v>76</v>
      </c>
      <c r="P9" s="129" t="s">
        <v>295</v>
      </c>
    </row>
    <row r="10" spans="1:16" x14ac:dyDescent="0.25">
      <c r="A10" t="s">
        <v>293</v>
      </c>
      <c r="B10" t="s">
        <v>296</v>
      </c>
      <c r="D10" s="137"/>
      <c r="E10" s="161" t="s">
        <v>297</v>
      </c>
      <c r="G10" s="68"/>
      <c r="H10" s="80">
        <v>8</v>
      </c>
      <c r="I10" s="91" t="s">
        <v>79</v>
      </c>
      <c r="J10" s="128" t="s">
        <v>286</v>
      </c>
      <c r="K10" s="91" t="s">
        <v>74</v>
      </c>
      <c r="L10" s="95" t="s">
        <v>96</v>
      </c>
      <c r="M10" s="91" t="s">
        <v>76</v>
      </c>
      <c r="N10" s="95" t="s">
        <v>294</v>
      </c>
      <c r="O10" s="91" t="s">
        <v>78</v>
      </c>
      <c r="P10" s="95" t="s">
        <v>262</v>
      </c>
    </row>
    <row r="11" spans="1:16" x14ac:dyDescent="0.25">
      <c r="A11" t="s">
        <v>297</v>
      </c>
      <c r="B11" t="s">
        <v>298</v>
      </c>
      <c r="D11" s="138"/>
      <c r="E11" s="162" t="s">
        <v>299</v>
      </c>
      <c r="G11" s="68"/>
      <c r="H11" s="80">
        <v>9</v>
      </c>
      <c r="I11" s="91" t="s">
        <v>79</v>
      </c>
      <c r="J11" s="129" t="s">
        <v>295</v>
      </c>
      <c r="K11" s="93" t="s">
        <v>74</v>
      </c>
      <c r="L11" s="95" t="s">
        <v>290</v>
      </c>
      <c r="M11" s="91" t="s">
        <v>76</v>
      </c>
      <c r="N11" s="129" t="s">
        <v>295</v>
      </c>
      <c r="O11" s="93" t="s">
        <v>78</v>
      </c>
      <c r="P11" s="95" t="s">
        <v>294</v>
      </c>
    </row>
    <row r="12" spans="1:16" x14ac:dyDescent="0.25">
      <c r="A12" t="s">
        <v>299</v>
      </c>
      <c r="B12" t="s">
        <v>300</v>
      </c>
      <c r="D12" s="136" t="s">
        <v>288</v>
      </c>
      <c r="E12" s="160" t="s">
        <v>301</v>
      </c>
      <c r="G12" s="68"/>
      <c r="H12" s="80">
        <v>10</v>
      </c>
      <c r="I12" s="90" t="s">
        <v>110</v>
      </c>
      <c r="J12" s="94" t="s">
        <v>302</v>
      </c>
      <c r="K12" s="90" t="s">
        <v>111</v>
      </c>
      <c r="L12" s="94" t="s">
        <v>294</v>
      </c>
      <c r="M12" s="90" t="s">
        <v>112</v>
      </c>
      <c r="N12" s="94" t="s">
        <v>96</v>
      </c>
      <c r="O12" s="90" t="s">
        <v>113</v>
      </c>
      <c r="P12" s="94" t="s">
        <v>122</v>
      </c>
    </row>
    <row r="13" spans="1:16" x14ac:dyDescent="0.25">
      <c r="D13" s="137"/>
      <c r="E13" s="161" t="s">
        <v>303</v>
      </c>
      <c r="G13" s="68"/>
      <c r="H13" s="80">
        <v>11</v>
      </c>
      <c r="I13" s="91" t="s">
        <v>110</v>
      </c>
      <c r="J13" s="95" t="s">
        <v>120</v>
      </c>
      <c r="K13" s="91" t="s">
        <v>111</v>
      </c>
      <c r="L13" s="128" t="s">
        <v>304</v>
      </c>
      <c r="M13" s="91" t="s">
        <v>112</v>
      </c>
      <c r="N13" s="95" t="s">
        <v>95</v>
      </c>
      <c r="O13" s="91" t="s">
        <v>113</v>
      </c>
      <c r="P13" s="128" t="s">
        <v>304</v>
      </c>
    </row>
    <row r="14" spans="1:16" x14ac:dyDescent="0.25">
      <c r="A14" s="70" t="s">
        <v>305</v>
      </c>
      <c r="D14" s="137"/>
      <c r="E14" s="161" t="s">
        <v>289</v>
      </c>
      <c r="G14" s="68"/>
      <c r="H14" s="80">
        <v>12</v>
      </c>
      <c r="I14" s="91" t="s">
        <v>111</v>
      </c>
      <c r="J14" s="128" t="s">
        <v>304</v>
      </c>
      <c r="K14" s="91" t="s">
        <v>112</v>
      </c>
      <c r="L14" s="95" t="s">
        <v>95</v>
      </c>
      <c r="M14" s="91" t="s">
        <v>113</v>
      </c>
      <c r="N14" s="95" t="s">
        <v>122</v>
      </c>
      <c r="O14" s="91" t="s">
        <v>110</v>
      </c>
      <c r="P14" s="95" t="s">
        <v>302</v>
      </c>
    </row>
    <row r="15" spans="1:16" x14ac:dyDescent="0.25">
      <c r="A15" t="s">
        <v>306</v>
      </c>
      <c r="B15" t="s">
        <v>287</v>
      </c>
      <c r="D15" s="137"/>
      <c r="E15" s="161" t="s">
        <v>268</v>
      </c>
      <c r="G15" s="68"/>
      <c r="H15" s="80">
        <v>13</v>
      </c>
      <c r="I15" s="91" t="s">
        <v>111</v>
      </c>
      <c r="J15" s="129" t="s">
        <v>307</v>
      </c>
      <c r="K15" s="91" t="s">
        <v>112</v>
      </c>
      <c r="L15" s="95" t="s">
        <v>120</v>
      </c>
      <c r="M15" s="91" t="s">
        <v>113</v>
      </c>
      <c r="N15" s="128" t="s">
        <v>304</v>
      </c>
      <c r="O15" s="91" t="s">
        <v>110</v>
      </c>
      <c r="P15" s="95" t="s">
        <v>120</v>
      </c>
    </row>
    <row r="16" spans="1:16" x14ac:dyDescent="0.25">
      <c r="A16" t="s">
        <v>266</v>
      </c>
      <c r="B16" t="s">
        <v>288</v>
      </c>
      <c r="D16" s="137"/>
      <c r="E16" s="161" t="s">
        <v>293</v>
      </c>
      <c r="G16" s="68"/>
      <c r="H16" s="80">
        <v>14</v>
      </c>
      <c r="I16" s="91" t="s">
        <v>112</v>
      </c>
      <c r="J16" s="95" t="s">
        <v>96</v>
      </c>
      <c r="K16" s="91" t="s">
        <v>113</v>
      </c>
      <c r="L16" s="95" t="s">
        <v>122</v>
      </c>
      <c r="M16" s="91" t="s">
        <v>110</v>
      </c>
      <c r="N16" s="95" t="s">
        <v>302</v>
      </c>
      <c r="O16" s="91" t="s">
        <v>111</v>
      </c>
      <c r="P16" s="95" t="s">
        <v>95</v>
      </c>
    </row>
    <row r="17" spans="1:24" x14ac:dyDescent="0.25">
      <c r="A17" t="s">
        <v>303</v>
      </c>
      <c r="B17" t="s">
        <v>308</v>
      </c>
      <c r="D17" s="137"/>
      <c r="E17" s="161" t="s">
        <v>297</v>
      </c>
      <c r="G17" s="68"/>
      <c r="H17" s="80">
        <v>15</v>
      </c>
      <c r="I17" s="91" t="s">
        <v>112</v>
      </c>
      <c r="J17" s="95" t="s">
        <v>95</v>
      </c>
      <c r="K17" s="91" t="s">
        <v>113</v>
      </c>
      <c r="L17" s="129" t="s">
        <v>307</v>
      </c>
      <c r="M17" s="91" t="s">
        <v>110</v>
      </c>
      <c r="N17" s="95" t="s">
        <v>120</v>
      </c>
      <c r="O17" s="91" t="s">
        <v>111</v>
      </c>
      <c r="P17" s="129" t="s">
        <v>307</v>
      </c>
    </row>
    <row r="18" spans="1:24" x14ac:dyDescent="0.25">
      <c r="A18" t="s">
        <v>289</v>
      </c>
      <c r="B18" t="s">
        <v>291</v>
      </c>
      <c r="D18" s="138"/>
      <c r="E18" s="162" t="s">
        <v>299</v>
      </c>
      <c r="G18" s="68"/>
      <c r="H18" s="80">
        <v>16</v>
      </c>
      <c r="I18" s="91" t="s">
        <v>113</v>
      </c>
      <c r="J18" s="95" t="s">
        <v>122</v>
      </c>
      <c r="K18" s="91" t="s">
        <v>110</v>
      </c>
      <c r="L18" s="95" t="s">
        <v>302</v>
      </c>
      <c r="M18" s="91" t="s">
        <v>111</v>
      </c>
      <c r="N18" s="129" t="s">
        <v>307</v>
      </c>
      <c r="O18" s="91" t="s">
        <v>112</v>
      </c>
      <c r="P18" s="95" t="s">
        <v>96</v>
      </c>
    </row>
    <row r="19" spans="1:24" x14ac:dyDescent="0.25">
      <c r="A19" t="s">
        <v>309</v>
      </c>
      <c r="B19" t="s">
        <v>308</v>
      </c>
      <c r="D19" s="136" t="s">
        <v>291</v>
      </c>
      <c r="E19" s="160" t="s">
        <v>301</v>
      </c>
      <c r="G19" s="68"/>
      <c r="H19" s="80">
        <v>17</v>
      </c>
      <c r="I19" s="93" t="s">
        <v>113</v>
      </c>
      <c r="J19" s="92" t="s">
        <v>129</v>
      </c>
      <c r="K19" s="93" t="s">
        <v>110</v>
      </c>
      <c r="L19" s="92" t="s">
        <v>129</v>
      </c>
      <c r="M19" s="93" t="s">
        <v>111</v>
      </c>
      <c r="N19" s="92" t="s">
        <v>129</v>
      </c>
      <c r="O19" s="93" t="s">
        <v>112</v>
      </c>
      <c r="P19" s="92" t="s">
        <v>129</v>
      </c>
    </row>
    <row r="20" spans="1:24" x14ac:dyDescent="0.25">
      <c r="A20" t="s">
        <v>268</v>
      </c>
      <c r="B20" t="s">
        <v>292</v>
      </c>
      <c r="D20" s="137"/>
      <c r="E20" s="161" t="s">
        <v>309</v>
      </c>
      <c r="G20" s="68"/>
    </row>
    <row r="21" spans="1:24" x14ac:dyDescent="0.25">
      <c r="A21" t="s">
        <v>310</v>
      </c>
      <c r="B21" t="s">
        <v>308</v>
      </c>
      <c r="D21" s="137"/>
      <c r="E21" s="161" t="s">
        <v>266</v>
      </c>
      <c r="G21" s="68"/>
    </row>
    <row r="22" spans="1:24" x14ac:dyDescent="0.25">
      <c r="A22" t="s">
        <v>293</v>
      </c>
      <c r="B22" t="s">
        <v>296</v>
      </c>
      <c r="D22" s="137"/>
      <c r="E22" s="161" t="s">
        <v>268</v>
      </c>
      <c r="G22" s="172" t="s">
        <v>311</v>
      </c>
      <c r="H22" s="77">
        <v>1</v>
      </c>
      <c r="I22" s="140"/>
      <c r="J22" s="140" t="s">
        <v>288</v>
      </c>
      <c r="K22" s="140" t="s">
        <v>291</v>
      </c>
      <c r="L22" s="140" t="s">
        <v>292</v>
      </c>
      <c r="M22" s="140" t="s">
        <v>296</v>
      </c>
      <c r="N22" s="140" t="s">
        <v>298</v>
      </c>
      <c r="O22" s="140" t="s">
        <v>300</v>
      </c>
      <c r="P22" s="140" t="s">
        <v>308</v>
      </c>
    </row>
    <row r="23" spans="1:24" x14ac:dyDescent="0.25">
      <c r="A23" t="s">
        <v>312</v>
      </c>
      <c r="B23" t="s">
        <v>308</v>
      </c>
      <c r="D23" s="137"/>
      <c r="E23" s="161" t="s">
        <v>293</v>
      </c>
      <c r="H23" s="80">
        <v>2</v>
      </c>
      <c r="I23" s="130"/>
      <c r="J23" s="130" t="s">
        <v>313</v>
      </c>
      <c r="K23" s="130" t="s">
        <v>313</v>
      </c>
      <c r="L23" s="130" t="s">
        <v>313</v>
      </c>
      <c r="M23" s="130" t="s">
        <v>313</v>
      </c>
      <c r="N23" s="130" t="s">
        <v>313</v>
      </c>
      <c r="O23" s="130" t="s">
        <v>313</v>
      </c>
      <c r="P23" s="130" t="s">
        <v>313</v>
      </c>
    </row>
    <row r="24" spans="1:24" x14ac:dyDescent="0.25">
      <c r="A24" t="s">
        <v>297</v>
      </c>
      <c r="B24" t="s">
        <v>298</v>
      </c>
      <c r="D24" s="137"/>
      <c r="E24" s="161" t="s">
        <v>297</v>
      </c>
      <c r="H24" s="80">
        <v>3</v>
      </c>
      <c r="I24" s="131" t="s">
        <v>314</v>
      </c>
      <c r="J24" s="131" t="s">
        <v>315</v>
      </c>
      <c r="K24" s="131" t="s">
        <v>316</v>
      </c>
      <c r="L24" s="131" t="s">
        <v>317</v>
      </c>
      <c r="M24" s="131" t="s">
        <v>318</v>
      </c>
      <c r="N24" s="131" t="s">
        <v>319</v>
      </c>
      <c r="O24" s="131" t="s">
        <v>320</v>
      </c>
      <c r="P24" s="131" t="s">
        <v>183</v>
      </c>
    </row>
    <row r="25" spans="1:24" x14ac:dyDescent="0.25">
      <c r="A25" t="s">
        <v>321</v>
      </c>
      <c r="B25" t="s">
        <v>308</v>
      </c>
      <c r="D25" s="138"/>
      <c r="E25" s="162" t="s">
        <v>299</v>
      </c>
      <c r="H25" s="80">
        <v>4</v>
      </c>
      <c r="I25" s="132" t="s">
        <v>322</v>
      </c>
      <c r="J25" s="132" t="s">
        <v>323</v>
      </c>
      <c r="K25" s="132" t="s">
        <v>324</v>
      </c>
      <c r="L25" s="132" t="s">
        <v>325</v>
      </c>
      <c r="M25" s="132" t="s">
        <v>326</v>
      </c>
      <c r="N25" s="132" t="s">
        <v>327</v>
      </c>
      <c r="O25" s="132" t="s">
        <v>328</v>
      </c>
      <c r="P25" s="132" t="s">
        <v>183</v>
      </c>
    </row>
    <row r="26" spans="1:24" x14ac:dyDescent="0.25">
      <c r="A26" t="s">
        <v>299</v>
      </c>
      <c r="B26" t="s">
        <v>300</v>
      </c>
      <c r="D26" s="136" t="s">
        <v>292</v>
      </c>
      <c r="E26" s="160" t="s">
        <v>301</v>
      </c>
      <c r="H26" s="80">
        <v>5</v>
      </c>
      <c r="I26" s="131"/>
      <c r="J26" s="131" t="s">
        <v>329</v>
      </c>
      <c r="K26" s="131" t="s">
        <v>329</v>
      </c>
      <c r="L26" s="131" t="s">
        <v>329</v>
      </c>
      <c r="M26" s="131" t="s">
        <v>329</v>
      </c>
      <c r="N26" s="131" t="s">
        <v>329</v>
      </c>
      <c r="O26" s="131" t="s">
        <v>329</v>
      </c>
      <c r="P26" s="131" t="s">
        <v>329</v>
      </c>
    </row>
    <row r="27" spans="1:24" x14ac:dyDescent="0.25">
      <c r="A27" t="s">
        <v>330</v>
      </c>
      <c r="B27" t="s">
        <v>308</v>
      </c>
      <c r="D27" s="137"/>
      <c r="E27" s="161" t="s">
        <v>310</v>
      </c>
      <c r="H27" s="80">
        <v>6</v>
      </c>
      <c r="I27" s="131" t="s">
        <v>331</v>
      </c>
      <c r="J27" s="133" t="str">
        <f t="shared" ref="J27:O28" si="0">J24</f>
        <v>EDSC5041</v>
      </c>
      <c r="K27" s="133" t="str">
        <f t="shared" si="0"/>
        <v>EDSC5042</v>
      </c>
      <c r="L27" s="133" t="str">
        <f t="shared" si="0"/>
        <v>EDSC5056</v>
      </c>
      <c r="M27" s="133" t="str">
        <f t="shared" si="0"/>
        <v>EDSC5043</v>
      </c>
      <c r="N27" s="133" t="str">
        <f t="shared" si="0"/>
        <v>EDSC5044</v>
      </c>
      <c r="O27" s="133" t="str">
        <f t="shared" si="0"/>
        <v>EDSC5045</v>
      </c>
      <c r="P27" s="131" t="s">
        <v>263</v>
      </c>
    </row>
    <row r="28" spans="1:24" x14ac:dyDescent="0.25">
      <c r="D28" s="137"/>
      <c r="E28" s="161" t="s">
        <v>266</v>
      </c>
      <c r="H28" s="80">
        <v>7</v>
      </c>
      <c r="I28" s="132" t="s">
        <v>332</v>
      </c>
      <c r="J28" s="134" t="str">
        <f t="shared" si="0"/>
        <v>EDSC5046</v>
      </c>
      <c r="K28" s="134" t="str">
        <f t="shared" si="0"/>
        <v>EDSC5054</v>
      </c>
      <c r="L28" s="134" t="str">
        <f t="shared" si="0"/>
        <v>EDSC5058</v>
      </c>
      <c r="M28" s="134" t="str">
        <f t="shared" si="0"/>
        <v>EDSC5048</v>
      </c>
      <c r="N28" s="134" t="str">
        <f t="shared" si="0"/>
        <v>EDSC5049</v>
      </c>
      <c r="O28" s="134" t="str">
        <f t="shared" si="0"/>
        <v>EDSC5050</v>
      </c>
      <c r="P28" s="132" t="s">
        <v>333</v>
      </c>
    </row>
    <row r="29" spans="1:24" x14ac:dyDescent="0.25">
      <c r="A29" s="70" t="s">
        <v>334</v>
      </c>
      <c r="D29" s="137"/>
      <c r="E29" s="161" t="s">
        <v>289</v>
      </c>
    </row>
    <row r="30" spans="1:24" x14ac:dyDescent="0.25">
      <c r="A30" t="s">
        <v>272</v>
      </c>
      <c r="B30" t="s">
        <v>287</v>
      </c>
      <c r="D30" s="137"/>
      <c r="E30" s="161" t="s">
        <v>293</v>
      </c>
    </row>
    <row r="31" spans="1:24" x14ac:dyDescent="0.25">
      <c r="A31" t="s">
        <v>266</v>
      </c>
      <c r="B31" t="s">
        <v>288</v>
      </c>
      <c r="D31" s="137"/>
      <c r="E31" s="161" t="s">
        <v>297</v>
      </c>
      <c r="G31" s="172" t="s">
        <v>335</v>
      </c>
      <c r="H31" s="77">
        <v>1</v>
      </c>
      <c r="I31" s="79"/>
      <c r="J31" s="78" t="s">
        <v>336</v>
      </c>
      <c r="K31" s="79"/>
      <c r="L31" s="78" t="s">
        <v>337</v>
      </c>
      <c r="M31" s="79"/>
      <c r="N31" s="78" t="s">
        <v>338</v>
      </c>
      <c r="O31" s="79"/>
      <c r="P31" s="78" t="s">
        <v>339</v>
      </c>
      <c r="Q31" s="79"/>
      <c r="R31" s="78" t="s">
        <v>340</v>
      </c>
      <c r="S31" s="79"/>
      <c r="T31" s="78" t="s">
        <v>341</v>
      </c>
      <c r="U31" s="79"/>
      <c r="V31" s="78" t="s">
        <v>342</v>
      </c>
      <c r="W31" s="79"/>
      <c r="X31" s="78" t="s">
        <v>343</v>
      </c>
    </row>
    <row r="32" spans="1:24" x14ac:dyDescent="0.25">
      <c r="A32" t="s">
        <v>289</v>
      </c>
      <c r="B32" t="s">
        <v>291</v>
      </c>
      <c r="D32" s="138"/>
      <c r="E32" s="162" t="s">
        <v>299</v>
      </c>
      <c r="G32" s="68"/>
      <c r="H32" s="80">
        <v>2</v>
      </c>
      <c r="I32" s="90" t="s">
        <v>74</v>
      </c>
      <c r="J32" s="94" t="s">
        <v>92</v>
      </c>
      <c r="K32" s="90"/>
      <c r="L32" s="180" t="s">
        <v>135</v>
      </c>
      <c r="M32" s="90"/>
      <c r="N32" s="180" t="s">
        <v>135</v>
      </c>
      <c r="O32" s="90"/>
      <c r="P32" s="180" t="s">
        <v>135</v>
      </c>
      <c r="Q32" s="90" t="s">
        <v>74</v>
      </c>
      <c r="R32" s="94" t="s">
        <v>281</v>
      </c>
      <c r="S32" s="90"/>
      <c r="T32" s="180" t="s">
        <v>135</v>
      </c>
      <c r="U32" s="90"/>
      <c r="V32" s="180" t="s">
        <v>135</v>
      </c>
      <c r="W32" s="90"/>
      <c r="X32" s="180" t="s">
        <v>135</v>
      </c>
    </row>
    <row r="33" spans="1:24" x14ac:dyDescent="0.25">
      <c r="A33" t="s">
        <v>268</v>
      </c>
      <c r="B33" t="s">
        <v>292</v>
      </c>
      <c r="D33" s="136" t="s">
        <v>296</v>
      </c>
      <c r="E33" s="160" t="s">
        <v>301</v>
      </c>
      <c r="G33" s="68"/>
      <c r="H33" s="80">
        <v>3</v>
      </c>
      <c r="I33" s="91" t="s">
        <v>74</v>
      </c>
      <c r="J33" s="95" t="s">
        <v>75</v>
      </c>
      <c r="K33" s="91"/>
      <c r="L33" s="105"/>
      <c r="M33" s="91"/>
      <c r="N33" s="95"/>
      <c r="O33" s="91"/>
      <c r="P33" s="95"/>
      <c r="Q33" s="91" t="s">
        <v>74</v>
      </c>
      <c r="R33" s="95" t="s">
        <v>290</v>
      </c>
      <c r="S33" s="91"/>
      <c r="T33" s="95"/>
      <c r="U33" s="91"/>
      <c r="V33" s="95"/>
      <c r="W33" s="91"/>
      <c r="X33" s="95"/>
    </row>
    <row r="34" spans="1:24" x14ac:dyDescent="0.25">
      <c r="A34" t="s">
        <v>293</v>
      </c>
      <c r="B34" t="s">
        <v>296</v>
      </c>
      <c r="D34" s="137"/>
      <c r="E34" s="161" t="s">
        <v>312</v>
      </c>
      <c r="G34" s="68"/>
      <c r="H34" s="80">
        <v>4</v>
      </c>
      <c r="I34" s="91" t="s">
        <v>76</v>
      </c>
      <c r="J34" s="95" t="s">
        <v>86</v>
      </c>
      <c r="K34" s="91"/>
      <c r="L34" s="95"/>
      <c r="M34" s="91"/>
      <c r="N34" s="95"/>
      <c r="O34" s="91"/>
      <c r="P34" s="95"/>
      <c r="Q34" s="91" t="s">
        <v>76</v>
      </c>
      <c r="R34" s="95" t="s">
        <v>294</v>
      </c>
      <c r="S34" s="91"/>
      <c r="T34" s="95"/>
      <c r="U34" s="91"/>
      <c r="V34" s="95"/>
      <c r="W34" s="91"/>
      <c r="X34" s="95"/>
    </row>
    <row r="35" spans="1:24" x14ac:dyDescent="0.25">
      <c r="A35" t="s">
        <v>297</v>
      </c>
      <c r="B35" t="s">
        <v>298</v>
      </c>
      <c r="D35" s="137"/>
      <c r="E35" s="161" t="s">
        <v>266</v>
      </c>
      <c r="G35" s="68"/>
      <c r="H35" s="80">
        <v>5</v>
      </c>
      <c r="I35" s="91" t="s">
        <v>76</v>
      </c>
      <c r="J35" s="95" t="s">
        <v>100</v>
      </c>
      <c r="K35" s="91"/>
      <c r="L35" s="95"/>
      <c r="M35" s="91"/>
      <c r="N35" s="95"/>
      <c r="O35" s="91"/>
      <c r="P35" s="95"/>
      <c r="Q35" s="91" t="s">
        <v>76</v>
      </c>
      <c r="R35" s="95" t="s">
        <v>344</v>
      </c>
      <c r="S35" s="91"/>
      <c r="T35" s="95"/>
      <c r="U35" s="91"/>
      <c r="V35" s="95"/>
      <c r="W35" s="91"/>
      <c r="X35" s="95"/>
    </row>
    <row r="36" spans="1:24" x14ac:dyDescent="0.25">
      <c r="A36" t="s">
        <v>299</v>
      </c>
      <c r="B36" t="s">
        <v>300</v>
      </c>
      <c r="D36" s="137"/>
      <c r="E36" s="161" t="s">
        <v>289</v>
      </c>
      <c r="G36" s="68"/>
      <c r="H36" s="80">
        <v>6</v>
      </c>
      <c r="I36" s="91" t="s">
        <v>78</v>
      </c>
      <c r="J36" s="95" t="s">
        <v>81</v>
      </c>
      <c r="K36" s="91"/>
      <c r="L36" s="95"/>
      <c r="M36" s="91"/>
      <c r="N36" s="95"/>
      <c r="O36" s="91"/>
      <c r="P36" s="95"/>
      <c r="Q36" s="91" t="s">
        <v>78</v>
      </c>
      <c r="R36" s="95" t="s">
        <v>120</v>
      </c>
      <c r="S36" s="91"/>
      <c r="T36" s="95"/>
      <c r="U36" s="91"/>
      <c r="V36" s="95"/>
      <c r="W36" s="91"/>
      <c r="X36" s="95"/>
    </row>
    <row r="37" spans="1:24" x14ac:dyDescent="0.25">
      <c r="D37" s="137"/>
      <c r="E37" s="161" t="s">
        <v>268</v>
      </c>
      <c r="G37" s="68"/>
      <c r="H37" s="80">
        <v>7</v>
      </c>
      <c r="I37" s="91" t="s">
        <v>78</v>
      </c>
      <c r="J37" s="95" t="s">
        <v>120</v>
      </c>
      <c r="K37" s="91"/>
      <c r="L37" s="95"/>
      <c r="M37" s="91"/>
      <c r="N37" s="95"/>
      <c r="O37" s="91"/>
      <c r="P37" s="95"/>
      <c r="Q37" s="91" t="s">
        <v>78</v>
      </c>
      <c r="R37" s="95" t="s">
        <v>96</v>
      </c>
      <c r="S37" s="91"/>
      <c r="T37" s="95"/>
      <c r="U37" s="91"/>
      <c r="V37" s="95"/>
      <c r="W37" s="91"/>
      <c r="X37" s="95"/>
    </row>
    <row r="38" spans="1:24" x14ac:dyDescent="0.25">
      <c r="D38" s="137"/>
      <c r="E38" s="161" t="s">
        <v>297</v>
      </c>
      <c r="G38" s="68"/>
      <c r="H38" s="80">
        <v>8</v>
      </c>
      <c r="I38" s="91" t="s">
        <v>79</v>
      </c>
      <c r="J38" s="95" t="s">
        <v>87</v>
      </c>
      <c r="K38" s="91"/>
      <c r="L38" s="95"/>
      <c r="M38" s="91"/>
      <c r="N38" s="95"/>
      <c r="O38" s="91"/>
      <c r="P38" s="95"/>
      <c r="Q38" s="91" t="s">
        <v>79</v>
      </c>
      <c r="R38" s="95" t="s">
        <v>95</v>
      </c>
      <c r="S38" s="91"/>
      <c r="T38" s="95"/>
      <c r="U38" s="91"/>
      <c r="V38" s="95"/>
      <c r="W38" s="91"/>
      <c r="X38" s="95"/>
    </row>
    <row r="39" spans="1:24" x14ac:dyDescent="0.25">
      <c r="D39" s="138"/>
      <c r="E39" s="162" t="s">
        <v>299</v>
      </c>
      <c r="G39" s="68"/>
      <c r="H39" s="80">
        <v>9</v>
      </c>
      <c r="I39" s="93" t="s">
        <v>79</v>
      </c>
      <c r="J39" s="92" t="s">
        <v>95</v>
      </c>
      <c r="K39" s="93"/>
      <c r="L39" s="92"/>
      <c r="M39" s="93"/>
      <c r="N39" s="92"/>
      <c r="O39" s="93"/>
      <c r="P39" s="92"/>
      <c r="Q39" s="93" t="s">
        <v>79</v>
      </c>
      <c r="R39" s="92" t="s">
        <v>345</v>
      </c>
      <c r="S39" s="93"/>
      <c r="T39" s="92"/>
      <c r="U39" s="93"/>
      <c r="V39" s="92"/>
      <c r="W39" s="93"/>
      <c r="X39" s="92"/>
    </row>
    <row r="40" spans="1:24" x14ac:dyDescent="0.25">
      <c r="D40" s="136" t="s">
        <v>298</v>
      </c>
      <c r="E40" s="160" t="s">
        <v>301</v>
      </c>
    </row>
    <row r="41" spans="1:24" x14ac:dyDescent="0.25">
      <c r="D41" s="137"/>
      <c r="E41" s="161" t="s">
        <v>321</v>
      </c>
    </row>
    <row r="42" spans="1:24" x14ac:dyDescent="0.25">
      <c r="D42" s="137"/>
      <c r="E42" s="161" t="s">
        <v>266</v>
      </c>
      <c r="G42" s="172" t="s">
        <v>346</v>
      </c>
      <c r="H42" s="77">
        <v>1</v>
      </c>
      <c r="I42" s="79"/>
      <c r="J42" s="78" t="s">
        <v>336</v>
      </c>
      <c r="K42" s="79"/>
      <c r="L42" s="78" t="s">
        <v>337</v>
      </c>
      <c r="M42" s="79"/>
      <c r="N42" s="78" t="s">
        <v>338</v>
      </c>
      <c r="O42" s="79"/>
      <c r="P42" s="78" t="s">
        <v>339</v>
      </c>
      <c r="Q42" s="79"/>
      <c r="R42" s="78" t="s">
        <v>340</v>
      </c>
      <c r="S42" s="79"/>
      <c r="T42" s="78" t="s">
        <v>341</v>
      </c>
      <c r="U42" s="79"/>
      <c r="V42" s="78" t="s">
        <v>342</v>
      </c>
      <c r="W42" s="79"/>
      <c r="X42" s="78" t="s">
        <v>343</v>
      </c>
    </row>
    <row r="43" spans="1:24" x14ac:dyDescent="0.25">
      <c r="D43" s="137"/>
      <c r="E43" s="161" t="s">
        <v>289</v>
      </c>
      <c r="G43" s="68"/>
      <c r="H43" s="80">
        <v>2</v>
      </c>
      <c r="I43" s="90" t="s">
        <v>74</v>
      </c>
      <c r="J43" s="94" t="s">
        <v>92</v>
      </c>
      <c r="K43" s="90"/>
      <c r="L43" s="180" t="s">
        <v>135</v>
      </c>
      <c r="M43" s="90"/>
      <c r="N43" s="180" t="s">
        <v>135</v>
      </c>
      <c r="O43" s="90"/>
      <c r="P43" s="180" t="s">
        <v>135</v>
      </c>
      <c r="Q43" s="90" t="s">
        <v>74</v>
      </c>
      <c r="R43" s="94" t="s">
        <v>281</v>
      </c>
      <c r="S43" s="90"/>
      <c r="T43" s="180" t="s">
        <v>135</v>
      </c>
      <c r="U43" s="90"/>
      <c r="V43" s="180" t="s">
        <v>135</v>
      </c>
      <c r="W43" s="90"/>
      <c r="X43" s="180" t="s">
        <v>135</v>
      </c>
    </row>
    <row r="44" spans="1:24" x14ac:dyDescent="0.25">
      <c r="D44" s="137"/>
      <c r="E44" s="161" t="s">
        <v>268</v>
      </c>
      <c r="G44" s="68"/>
      <c r="H44" s="80">
        <v>3</v>
      </c>
      <c r="I44" s="91" t="s">
        <v>74</v>
      </c>
      <c r="J44" s="95" t="s">
        <v>75</v>
      </c>
      <c r="K44" s="91"/>
      <c r="L44" s="105"/>
      <c r="M44" s="91"/>
      <c r="N44" s="95"/>
      <c r="O44" s="91"/>
      <c r="P44" s="95"/>
      <c r="Q44" s="91" t="s">
        <v>74</v>
      </c>
      <c r="R44" s="95" t="s">
        <v>290</v>
      </c>
      <c r="S44" s="91"/>
      <c r="T44" s="95"/>
      <c r="U44" s="91"/>
      <c r="V44" s="95"/>
      <c r="W44" s="91"/>
      <c r="X44" s="95"/>
    </row>
    <row r="45" spans="1:24" x14ac:dyDescent="0.25">
      <c r="D45" s="137"/>
      <c r="E45" s="161" t="s">
        <v>293</v>
      </c>
      <c r="G45" s="68"/>
      <c r="H45" s="80">
        <v>4</v>
      </c>
      <c r="I45" s="91" t="s">
        <v>74</v>
      </c>
      <c r="J45" s="95" t="s">
        <v>81</v>
      </c>
      <c r="K45" s="91"/>
      <c r="L45" s="95"/>
      <c r="M45" s="91"/>
      <c r="N45" s="95"/>
      <c r="O45" s="91"/>
      <c r="P45" s="95"/>
      <c r="Q45" s="91" t="s">
        <v>74</v>
      </c>
      <c r="R45" s="95" t="s">
        <v>96</v>
      </c>
      <c r="S45" s="91"/>
      <c r="T45" s="95"/>
      <c r="U45" s="91"/>
      <c r="V45" s="95"/>
      <c r="W45" s="91"/>
      <c r="X45" s="95"/>
    </row>
    <row r="46" spans="1:24" x14ac:dyDescent="0.25">
      <c r="D46" s="138"/>
      <c r="E46" s="162" t="s">
        <v>299</v>
      </c>
      <c r="G46" s="68"/>
      <c r="H46" s="80">
        <v>5</v>
      </c>
      <c r="I46" s="91" t="s">
        <v>76</v>
      </c>
      <c r="J46" s="95" t="s">
        <v>86</v>
      </c>
      <c r="K46" s="91"/>
      <c r="L46" s="95"/>
      <c r="M46" s="91"/>
      <c r="N46" s="95"/>
      <c r="O46" s="91"/>
      <c r="P46" s="95"/>
      <c r="Q46" s="91" t="s">
        <v>76</v>
      </c>
      <c r="R46" s="95" t="s">
        <v>294</v>
      </c>
      <c r="S46" s="91"/>
      <c r="T46" s="95"/>
      <c r="U46" s="91"/>
      <c r="V46" s="95"/>
      <c r="W46" s="91"/>
      <c r="X46" s="95"/>
    </row>
    <row r="47" spans="1:24" x14ac:dyDescent="0.25">
      <c r="D47" s="136" t="s">
        <v>300</v>
      </c>
      <c r="E47" s="160" t="s">
        <v>301</v>
      </c>
      <c r="G47" s="68"/>
      <c r="H47" s="80">
        <v>6</v>
      </c>
      <c r="I47" s="91" t="s">
        <v>76</v>
      </c>
      <c r="J47" s="95" t="s">
        <v>100</v>
      </c>
      <c r="K47" s="91"/>
      <c r="L47" s="95"/>
      <c r="M47" s="91"/>
      <c r="N47" s="95"/>
      <c r="O47" s="91"/>
      <c r="P47" s="95"/>
      <c r="Q47" s="91" t="s">
        <v>76</v>
      </c>
      <c r="R47" s="95" t="s">
        <v>95</v>
      </c>
      <c r="S47" s="91"/>
      <c r="T47" s="95"/>
      <c r="U47" s="91"/>
      <c r="V47" s="95"/>
      <c r="W47" s="91"/>
      <c r="X47" s="95"/>
    </row>
    <row r="48" spans="1:24" x14ac:dyDescent="0.25">
      <c r="D48" s="137"/>
      <c r="E48" s="161" t="s">
        <v>330</v>
      </c>
      <c r="G48" s="68"/>
      <c r="H48" s="80">
        <v>7</v>
      </c>
      <c r="I48" s="91" t="s">
        <v>76</v>
      </c>
      <c r="J48" s="95" t="s">
        <v>87</v>
      </c>
      <c r="K48" s="91"/>
      <c r="L48" s="95"/>
      <c r="M48" s="91"/>
      <c r="N48" s="95"/>
      <c r="O48" s="91"/>
      <c r="P48" s="95"/>
      <c r="Q48" s="91" t="s">
        <v>76</v>
      </c>
      <c r="R48" s="95" t="s">
        <v>344</v>
      </c>
      <c r="S48" s="91"/>
      <c r="T48" s="95"/>
      <c r="U48" s="91"/>
      <c r="V48" s="95"/>
      <c r="W48" s="91"/>
      <c r="X48" s="95"/>
    </row>
    <row r="49" spans="4:24" x14ac:dyDescent="0.25">
      <c r="D49" s="137"/>
      <c r="E49" s="161" t="s">
        <v>266</v>
      </c>
      <c r="G49" s="68"/>
      <c r="H49" s="80">
        <v>8</v>
      </c>
      <c r="I49" s="91" t="s">
        <v>78</v>
      </c>
      <c r="J49" s="95" t="s">
        <v>120</v>
      </c>
      <c r="K49" s="91"/>
      <c r="L49" s="95"/>
      <c r="M49" s="91"/>
      <c r="N49" s="95"/>
      <c r="O49" s="91"/>
      <c r="P49" s="95"/>
      <c r="Q49" s="91" t="s">
        <v>78</v>
      </c>
      <c r="R49" s="95" t="s">
        <v>120</v>
      </c>
      <c r="S49" s="91"/>
      <c r="T49" s="95"/>
      <c r="U49" s="91"/>
      <c r="V49" s="95"/>
      <c r="W49" s="91"/>
      <c r="X49" s="95"/>
    </row>
    <row r="50" spans="4:24" x14ac:dyDescent="0.25">
      <c r="D50" s="137"/>
      <c r="E50" s="161" t="s">
        <v>289</v>
      </c>
      <c r="G50" s="68"/>
      <c r="H50" s="80">
        <v>9</v>
      </c>
      <c r="I50" s="93" t="s">
        <v>78</v>
      </c>
      <c r="J50" s="92" t="s">
        <v>95</v>
      </c>
      <c r="K50" s="93"/>
      <c r="L50" s="92"/>
      <c r="M50" s="93"/>
      <c r="N50" s="92"/>
      <c r="O50" s="93"/>
      <c r="P50" s="92"/>
      <c r="Q50" s="93" t="s">
        <v>78</v>
      </c>
      <c r="R50" s="92" t="s">
        <v>345</v>
      </c>
      <c r="S50" s="93"/>
      <c r="T50" s="92"/>
      <c r="U50" s="93"/>
      <c r="V50" s="92"/>
      <c r="W50" s="93"/>
      <c r="X50" s="92"/>
    </row>
    <row r="51" spans="4:24" x14ac:dyDescent="0.25">
      <c r="D51" s="137"/>
      <c r="E51" s="161" t="s">
        <v>268</v>
      </c>
    </row>
    <row r="52" spans="4:24" x14ac:dyDescent="0.25">
      <c r="D52" s="137"/>
      <c r="E52" s="161" t="s">
        <v>293</v>
      </c>
    </row>
    <row r="53" spans="4:24" x14ac:dyDescent="0.25">
      <c r="D53" s="138"/>
      <c r="E53" s="162" t="s">
        <v>297</v>
      </c>
    </row>
  </sheetData>
  <pageMargins left="0.7" right="0.7" top="0.75" bottom="0.75" header="0.3" footer="0.3"/>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C99"/>
  <sheetViews>
    <sheetView zoomScale="70" zoomScaleNormal="70" workbookViewId="0">
      <pane xSplit="5" ySplit="2" topLeftCell="F3" activePane="bottomRight" state="frozen"/>
      <selection activeCell="D7" sqref="D7"/>
      <selection pane="topRight" activeCell="D7" sqref="D7"/>
      <selection pane="bottomLeft" activeCell="D7" sqref="D7"/>
      <selection pane="bottomRight" activeCell="D7" sqref="D7"/>
    </sheetView>
  </sheetViews>
  <sheetFormatPr defaultRowHeight="15.75" x14ac:dyDescent="0.25"/>
  <cols>
    <col min="1" max="1" width="25.25" bestFit="1" customWidth="1"/>
    <col min="2" max="2" width="8.125" style="1" bestFit="1" customWidth="1"/>
    <col min="3" max="3" width="11.375" bestFit="1" customWidth="1"/>
    <col min="4" max="4" width="73.125" bestFit="1" customWidth="1"/>
    <col min="5" max="5" width="8.625" style="1" bestFit="1" customWidth="1"/>
    <col min="6" max="6" width="27.125" bestFit="1" customWidth="1"/>
    <col min="7" max="10" width="6.375" bestFit="1" customWidth="1"/>
    <col min="11" max="11" width="41.25" style="1" bestFit="1" customWidth="1"/>
    <col min="12" max="14" width="7.125" style="1" bestFit="1" customWidth="1"/>
    <col min="15" max="29" width="7.125" bestFit="1" customWidth="1"/>
  </cols>
  <sheetData>
    <row r="1" spans="1:29" x14ac:dyDescent="0.25">
      <c r="A1" s="243">
        <f>COLUMN()</f>
        <v>1</v>
      </c>
      <c r="B1" s="243">
        <f>COLUMN()</f>
        <v>2</v>
      </c>
      <c r="C1" s="243">
        <f>COLUMN()</f>
        <v>3</v>
      </c>
      <c r="D1" s="243">
        <f>COLUMN()</f>
        <v>4</v>
      </c>
      <c r="E1" s="243">
        <f>COLUMN()</f>
        <v>5</v>
      </c>
      <c r="F1" s="243">
        <f>COLUMN()</f>
        <v>6</v>
      </c>
      <c r="G1" s="243">
        <f>COLUMN()</f>
        <v>7</v>
      </c>
      <c r="H1" s="243">
        <f>COLUMN()</f>
        <v>8</v>
      </c>
      <c r="I1" s="243">
        <f>COLUMN()</f>
        <v>9</v>
      </c>
      <c r="J1" s="243">
        <f>COLUMN()</f>
        <v>10</v>
      </c>
      <c r="K1" s="243">
        <f>COLUMN()</f>
        <v>11</v>
      </c>
      <c r="L1" s="243">
        <f>COLUMN()</f>
        <v>12</v>
      </c>
      <c r="M1" s="243">
        <f>COLUMN()</f>
        <v>13</v>
      </c>
      <c r="N1" s="243">
        <f>COLUMN()</f>
        <v>14</v>
      </c>
      <c r="O1" s="243">
        <f>COLUMN()</f>
        <v>15</v>
      </c>
      <c r="P1" s="243">
        <f>COLUMN()</f>
        <v>16</v>
      </c>
      <c r="Q1" s="243">
        <f>COLUMN()</f>
        <v>17</v>
      </c>
      <c r="R1" s="243">
        <f>COLUMN()</f>
        <v>18</v>
      </c>
      <c r="S1" s="243">
        <f>COLUMN()</f>
        <v>19</v>
      </c>
      <c r="T1" s="243">
        <f>COLUMN()</f>
        <v>20</v>
      </c>
      <c r="U1" s="243">
        <f>COLUMN()</f>
        <v>21</v>
      </c>
      <c r="V1" s="243">
        <f>COLUMN()</f>
        <v>22</v>
      </c>
      <c r="W1" s="243">
        <f>COLUMN()</f>
        <v>23</v>
      </c>
      <c r="X1" s="243">
        <f>COLUMN()</f>
        <v>24</v>
      </c>
      <c r="Y1" s="243">
        <f>COLUMN()</f>
        <v>25</v>
      </c>
      <c r="Z1" s="243">
        <f>COLUMN()</f>
        <v>26</v>
      </c>
      <c r="AA1" s="243">
        <f>COLUMN()</f>
        <v>27</v>
      </c>
      <c r="AB1" s="243">
        <f>COLUMN()</f>
        <v>28</v>
      </c>
      <c r="AC1" s="243">
        <f>COLUMN()</f>
        <v>29</v>
      </c>
    </row>
    <row r="2" spans="1:29" ht="72" x14ac:dyDescent="0.25">
      <c r="A2" s="244" t="s">
        <v>0</v>
      </c>
      <c r="B2" s="244" t="s">
        <v>1</v>
      </c>
      <c r="C2" s="244" t="s">
        <v>2</v>
      </c>
      <c r="D2" s="244" t="s">
        <v>347</v>
      </c>
      <c r="E2" s="244" t="s">
        <v>5</v>
      </c>
      <c r="F2" s="244" t="s">
        <v>348</v>
      </c>
      <c r="G2" s="246" t="s">
        <v>25</v>
      </c>
      <c r="H2" s="246" t="s">
        <v>26</v>
      </c>
      <c r="I2" s="246" t="s">
        <v>27</v>
      </c>
      <c r="J2" s="246" t="s">
        <v>28</v>
      </c>
      <c r="K2" s="244" t="s">
        <v>349</v>
      </c>
      <c r="L2" s="249" t="s">
        <v>123</v>
      </c>
      <c r="M2" s="246" t="s">
        <v>127</v>
      </c>
      <c r="N2" s="246" t="s">
        <v>128</v>
      </c>
      <c r="O2" s="246" t="s">
        <v>132</v>
      </c>
      <c r="P2" s="249" t="s">
        <v>94</v>
      </c>
      <c r="Q2" s="246" t="s">
        <v>97</v>
      </c>
      <c r="R2" s="246" t="s">
        <v>109</v>
      </c>
      <c r="S2" s="249" t="s">
        <v>89</v>
      </c>
      <c r="T2" s="246" t="s">
        <v>90</v>
      </c>
      <c r="U2" s="246" t="s">
        <v>70</v>
      </c>
      <c r="V2" s="246" t="s">
        <v>82</v>
      </c>
      <c r="W2" s="246" t="s">
        <v>102</v>
      </c>
      <c r="X2" s="246" t="s">
        <v>141</v>
      </c>
      <c r="Y2" s="246" t="s">
        <v>160</v>
      </c>
      <c r="Z2" s="249" t="s">
        <v>117</v>
      </c>
      <c r="AA2" s="246" t="s">
        <v>182</v>
      </c>
      <c r="AB2" s="246" t="s">
        <v>185</v>
      </c>
      <c r="AC2" s="246" t="s">
        <v>187</v>
      </c>
    </row>
    <row r="3" spans="1:29" x14ac:dyDescent="0.25">
      <c r="A3" s="2" t="s">
        <v>183</v>
      </c>
      <c r="B3" s="3"/>
      <c r="C3" s="3"/>
      <c r="D3" s="2" t="s">
        <v>350</v>
      </c>
      <c r="E3" s="3"/>
      <c r="F3" s="245"/>
      <c r="G3" s="247" t="str">
        <f>IFERROR(IF(VLOOKUP(TableHandbook[[#This Row],[UDC]],TableAvailabilities[],2,FALSE)&gt;0,"Y",""),"")</f>
        <v/>
      </c>
      <c r="H3" s="247" t="str">
        <f>IFERROR(IF(VLOOKUP(TableHandbook[[#This Row],[UDC]],TableAvailabilities[],3,FALSE)&gt;0,"Y",""),"")</f>
        <v/>
      </c>
      <c r="I3" s="247" t="str">
        <f>IFERROR(IF(VLOOKUP(TableHandbook[[#This Row],[UDC]],TableAvailabilities[],4,FALSE)&gt;0,"Y",""),"")</f>
        <v/>
      </c>
      <c r="J3" s="247" t="str">
        <f>IFERROR(IF(VLOOKUP(TableHandbook[[#This Row],[UDC]],TableAvailabilities[],5,FALSE)&gt;0,"Y",""),"")</f>
        <v/>
      </c>
      <c r="K3" s="2"/>
      <c r="L3" s="250" t="str">
        <f>IFERROR(VLOOKUP(TableHandbook[[#This Row],[UDC]],TableOMTEACH1[],7,FALSE),"")</f>
        <v/>
      </c>
      <c r="M3" s="248" t="str">
        <f>IFERROR(VLOOKUP(TableHandbook[[#This Row],[UDC]],TableOUMPTCHEC[],7,FALSE),"")</f>
        <v/>
      </c>
      <c r="N3" s="248" t="str">
        <f>IFERROR(VLOOKUP(TableHandbook[[#This Row],[UDC]],TableOUMPTCHPE[],7,FALSE),"")</f>
        <v/>
      </c>
      <c r="O3" s="248" t="str">
        <f>IFERROR(VLOOKUP(TableHandbook[[#This Row],[UDC]],TableOUMPTCHSE[],7,FALSE),"")</f>
        <v/>
      </c>
      <c r="P3" s="250" t="str">
        <f>IFERROR(VLOOKUP(TableHandbook[[#This Row],[UDC]],TableOCTESOL1[],7,FALSE),"")</f>
        <v/>
      </c>
      <c r="Q3" s="248" t="str">
        <f>IFERROR(VLOOKUP(TableHandbook[[#This Row],[UDC]],TableOCTESOL[],7,FALSE),"")</f>
        <v/>
      </c>
      <c r="R3" s="248" t="str">
        <f>IFERROR(VLOOKUP(TableHandbook[[#This Row],[UDC]],TableOMAPLING[],7,FALSE),"")</f>
        <v/>
      </c>
      <c r="S3" s="250" t="str">
        <f>IFERROR(VLOOKUP(TableHandbook[[#This Row],[UDC]],TableOCEDHE1[],7,FALSE),"")</f>
        <v/>
      </c>
      <c r="T3" s="248" t="str">
        <f>IFERROR(VLOOKUP(TableHandbook[[#This Row],[UDC]],TableOCEDHE[],7,FALSE),"")</f>
        <v/>
      </c>
      <c r="U3" s="248" t="str">
        <f>IFERROR(VLOOKUP(TableHandbook[[#This Row],[UDC]],TableOCEDUCS1[],7,FALSE),"")</f>
        <v/>
      </c>
      <c r="V3" s="248" t="str">
        <f>IFERROR(VLOOKUP(TableHandbook[[#This Row],[UDC]],TableOCEDUC[],7,FALSE),"")</f>
        <v/>
      </c>
      <c r="W3" s="248" t="str">
        <f>IFERROR(VLOOKUP(TableHandbook[[#This Row],[UDC]],TableOGEDUC[],7,FALSE),"")</f>
        <v/>
      </c>
      <c r="X3" s="248" t="str">
        <f>IFERROR(VLOOKUP(TableHandbook[[#This Row],[UDC]],TableOUMPEDUPR[],7,FALSE),"")</f>
        <v/>
      </c>
      <c r="Y3" s="248" t="str">
        <f>IFERROR(VLOOKUP(TableHandbook[[#This Row],[UDC]],TableOUMPEDUSC[],7,FALSE),"")</f>
        <v/>
      </c>
      <c r="Z3" s="250" t="str">
        <f>IFERROR(VLOOKUP(TableHandbook[[#This Row],[UDC]],TableOMEDUC[],7,FALSE),"")</f>
        <v/>
      </c>
      <c r="AA3" s="248" t="str">
        <f>IFERROR(VLOOKUP(TableHandbook[[#This Row],[UDC]],TableOSEPCULIN[],7,FALSE),"")</f>
        <v/>
      </c>
      <c r="AB3" s="248" t="str">
        <f>IFERROR(VLOOKUP(TableHandbook[[#This Row],[UDC]],TableOSEPLNTCH[],7,FALSE),"")</f>
        <v/>
      </c>
      <c r="AC3" s="248" t="str">
        <f>IFERROR(VLOOKUP(TableHandbook[[#This Row],[UDC]],TableOSEPSTEME[],7,FALSE),"")</f>
        <v/>
      </c>
    </row>
    <row r="4" spans="1:29" x14ac:dyDescent="0.25">
      <c r="A4" s="2" t="s">
        <v>135</v>
      </c>
      <c r="B4" s="3"/>
      <c r="C4" s="3"/>
      <c r="D4" s="2" t="s">
        <v>351</v>
      </c>
      <c r="E4" s="3"/>
      <c r="F4" s="245"/>
      <c r="G4" s="247" t="str">
        <f>IFERROR(IF(VLOOKUP(TableHandbook[[#This Row],[UDC]],TableAvailabilities[],2,FALSE)&gt;0,"Y",""),"")</f>
        <v/>
      </c>
      <c r="H4" s="247" t="str">
        <f>IFERROR(IF(VLOOKUP(TableHandbook[[#This Row],[UDC]],TableAvailabilities[],3,FALSE)&gt;0,"Y",""),"")</f>
        <v/>
      </c>
      <c r="I4" s="247" t="str">
        <f>IFERROR(IF(VLOOKUP(TableHandbook[[#This Row],[UDC]],TableAvailabilities[],4,FALSE)&gt;0,"Y",""),"")</f>
        <v/>
      </c>
      <c r="J4" s="247" t="str">
        <f>IFERROR(IF(VLOOKUP(TableHandbook[[#This Row],[UDC]],TableAvailabilities[],5,FALSE)&gt;0,"Y",""),"")</f>
        <v/>
      </c>
      <c r="K4" s="2"/>
      <c r="L4" s="250" t="str">
        <f>IFERROR(VLOOKUP(TableHandbook[[#This Row],[UDC]],TableOMTEACH1[],7,FALSE),"")</f>
        <v/>
      </c>
      <c r="M4" s="248" t="str">
        <f>IFERROR(VLOOKUP(TableHandbook[[#This Row],[UDC]],TableOUMPTCHEC[],7,FALSE),"")</f>
        <v/>
      </c>
      <c r="N4" s="248" t="str">
        <f>IFERROR(VLOOKUP(TableHandbook[[#This Row],[UDC]],TableOUMPTCHPE[],7,FALSE),"")</f>
        <v/>
      </c>
      <c r="O4" s="248" t="str">
        <f>IFERROR(VLOOKUP(TableHandbook[[#This Row],[UDC]],TableOUMPTCHSE[],7,FALSE),"")</f>
        <v/>
      </c>
      <c r="P4" s="250" t="str">
        <f>IFERROR(VLOOKUP(TableHandbook[[#This Row],[UDC]],TableOCTESOL1[],7,FALSE),"")</f>
        <v/>
      </c>
      <c r="Q4" s="248" t="str">
        <f>IFERROR(VLOOKUP(TableHandbook[[#This Row],[UDC]],TableOCTESOL[],7,FALSE),"")</f>
        <v/>
      </c>
      <c r="R4" s="248" t="str">
        <f>IFERROR(VLOOKUP(TableHandbook[[#This Row],[UDC]],TableOMAPLING[],7,FALSE),"")</f>
        <v/>
      </c>
      <c r="S4" s="250" t="str">
        <f>IFERROR(VLOOKUP(TableHandbook[[#This Row],[UDC]],TableOCEDHE1[],7,FALSE),"")</f>
        <v/>
      </c>
      <c r="T4" s="248" t="str">
        <f>IFERROR(VLOOKUP(TableHandbook[[#This Row],[UDC]],TableOCEDHE[],7,FALSE),"")</f>
        <v/>
      </c>
      <c r="U4" s="248" t="str">
        <f>IFERROR(VLOOKUP(TableHandbook[[#This Row],[UDC]],TableOCEDUCS1[],7,FALSE),"")</f>
        <v/>
      </c>
      <c r="V4" s="248" t="str">
        <f>IFERROR(VLOOKUP(TableHandbook[[#This Row],[UDC]],TableOCEDUC[],7,FALSE),"")</f>
        <v/>
      </c>
      <c r="W4" s="248" t="str">
        <f>IFERROR(VLOOKUP(TableHandbook[[#This Row],[UDC]],TableOGEDUC[],7,FALSE),"")</f>
        <v/>
      </c>
      <c r="X4" s="248" t="str">
        <f>IFERROR(VLOOKUP(TableHandbook[[#This Row],[UDC]],TableOUMPEDUPR[],7,FALSE),"")</f>
        <v/>
      </c>
      <c r="Y4" s="248" t="str">
        <f>IFERROR(VLOOKUP(TableHandbook[[#This Row],[UDC]],TableOUMPEDUSC[],7,FALSE),"")</f>
        <v/>
      </c>
      <c r="Z4" s="250" t="str">
        <f>IFERROR(VLOOKUP(TableHandbook[[#This Row],[UDC]],TableOMEDUC[],7,FALSE),"")</f>
        <v/>
      </c>
      <c r="AA4" s="248" t="str">
        <f>IFERROR(VLOOKUP(TableHandbook[[#This Row],[UDC]],TableOSEPCULIN[],7,FALSE),"")</f>
        <v/>
      </c>
      <c r="AB4" s="248" t="str">
        <f>IFERROR(VLOOKUP(TableHandbook[[#This Row],[UDC]],TableOSEPLNTCH[],7,FALSE),"")</f>
        <v/>
      </c>
      <c r="AC4" s="248" t="str">
        <f>IFERROR(VLOOKUP(TableHandbook[[#This Row],[UDC]],TableOSEPSTEME[],7,FALSE),"")</f>
        <v/>
      </c>
    </row>
    <row r="5" spans="1:29" x14ac:dyDescent="0.25">
      <c r="A5" s="2" t="s">
        <v>130</v>
      </c>
      <c r="B5" s="3"/>
      <c r="C5" s="3"/>
      <c r="D5" s="2" t="s">
        <v>352</v>
      </c>
      <c r="E5" s="3"/>
      <c r="F5" s="245"/>
      <c r="G5" s="247" t="str">
        <f>IFERROR(IF(VLOOKUP(TableHandbook[[#This Row],[UDC]],TableAvailabilities[],2,FALSE)&gt;0,"Y",""),"")</f>
        <v/>
      </c>
      <c r="H5" s="247" t="str">
        <f>IFERROR(IF(VLOOKUP(TableHandbook[[#This Row],[UDC]],TableAvailabilities[],3,FALSE)&gt;0,"Y",""),"")</f>
        <v/>
      </c>
      <c r="I5" s="247" t="str">
        <f>IFERROR(IF(VLOOKUP(TableHandbook[[#This Row],[UDC]],TableAvailabilities[],4,FALSE)&gt;0,"Y",""),"")</f>
        <v/>
      </c>
      <c r="J5" s="247" t="str">
        <f>IFERROR(IF(VLOOKUP(TableHandbook[[#This Row],[UDC]],TableAvailabilities[],5,FALSE)&gt;0,"Y",""),"")</f>
        <v/>
      </c>
      <c r="K5" s="2"/>
      <c r="L5" s="250" t="str">
        <f>IFERROR(VLOOKUP(TableHandbook[[#This Row],[UDC]],TableOMTEACH1[],7,FALSE),"")</f>
        <v/>
      </c>
      <c r="M5" s="248" t="str">
        <f>IFERROR(VLOOKUP(TableHandbook[[#This Row],[UDC]],TableOUMPTCHEC[],7,FALSE),"")</f>
        <v/>
      </c>
      <c r="N5" s="248" t="str">
        <f>IFERROR(VLOOKUP(TableHandbook[[#This Row],[UDC]],TableOUMPTCHPE[],7,FALSE),"")</f>
        <v/>
      </c>
      <c r="O5" s="248" t="str">
        <f>IFERROR(VLOOKUP(TableHandbook[[#This Row],[UDC]],TableOUMPTCHSE[],7,FALSE),"")</f>
        <v/>
      </c>
      <c r="P5" s="250" t="str">
        <f>IFERROR(VLOOKUP(TableHandbook[[#This Row],[UDC]],TableOCTESOL1[],7,FALSE),"")</f>
        <v/>
      </c>
      <c r="Q5" s="248" t="str">
        <f>IFERROR(VLOOKUP(TableHandbook[[#This Row],[UDC]],TableOCTESOL[],7,FALSE),"")</f>
        <v/>
      </c>
      <c r="R5" s="248" t="str">
        <f>IFERROR(VLOOKUP(TableHandbook[[#This Row],[UDC]],TableOMAPLING[],7,FALSE),"")</f>
        <v/>
      </c>
      <c r="S5" s="250" t="str">
        <f>IFERROR(VLOOKUP(TableHandbook[[#This Row],[UDC]],TableOCEDHE1[],7,FALSE),"")</f>
        <v/>
      </c>
      <c r="T5" s="248" t="str">
        <f>IFERROR(VLOOKUP(TableHandbook[[#This Row],[UDC]],TableOCEDHE[],7,FALSE),"")</f>
        <v/>
      </c>
      <c r="U5" s="248" t="str">
        <f>IFERROR(VLOOKUP(TableHandbook[[#This Row],[UDC]],TableOCEDUCS1[],7,FALSE),"")</f>
        <v/>
      </c>
      <c r="V5" s="248" t="str">
        <f>IFERROR(VLOOKUP(TableHandbook[[#This Row],[UDC]],TableOCEDUC[],7,FALSE),"")</f>
        <v/>
      </c>
      <c r="W5" s="248" t="str">
        <f>IFERROR(VLOOKUP(TableHandbook[[#This Row],[UDC]],TableOGEDUC[],7,FALSE),"")</f>
        <v/>
      </c>
      <c r="X5" s="248" t="str">
        <f>IFERROR(VLOOKUP(TableHandbook[[#This Row],[UDC]],TableOUMPEDUPR[],7,FALSE),"")</f>
        <v/>
      </c>
      <c r="Y5" s="248" t="str">
        <f>IFERROR(VLOOKUP(TableHandbook[[#This Row],[UDC]],TableOUMPEDUSC[],7,FALSE),"")</f>
        <v/>
      </c>
      <c r="Z5" s="250" t="str">
        <f>IFERROR(VLOOKUP(TableHandbook[[#This Row],[UDC]],TableOMEDUC[],7,FALSE),"")</f>
        <v/>
      </c>
      <c r="AA5" s="248" t="str">
        <f>IFERROR(VLOOKUP(TableHandbook[[#This Row],[UDC]],TableOSEPCULIN[],7,FALSE),"")</f>
        <v/>
      </c>
      <c r="AB5" s="248" t="str">
        <f>IFERROR(VLOOKUP(TableHandbook[[#This Row],[UDC]],TableOSEPLNTCH[],7,FALSE),"")</f>
        <v/>
      </c>
      <c r="AC5" s="248" t="str">
        <f>IFERROR(VLOOKUP(TableHandbook[[#This Row],[UDC]],TableOSEPSTEME[],7,FALSE),"")</f>
        <v/>
      </c>
    </row>
    <row r="6" spans="1:29" x14ac:dyDescent="0.25">
      <c r="A6" s="2" t="s">
        <v>228</v>
      </c>
      <c r="B6" s="3"/>
      <c r="C6" s="3"/>
      <c r="D6" s="2" t="s">
        <v>353</v>
      </c>
      <c r="E6" s="3">
        <v>25</v>
      </c>
      <c r="F6" s="245" t="s">
        <v>354</v>
      </c>
      <c r="G6" s="247" t="str">
        <f>IFERROR(IF(VLOOKUP(TableHandbook[[#This Row],[UDC]],TableAvailabilities[],2,FALSE)&gt;0,"Y",""),"")</f>
        <v/>
      </c>
      <c r="H6" s="247" t="str">
        <f>IFERROR(IF(VLOOKUP(TableHandbook[[#This Row],[UDC]],TableAvailabilities[],3,FALSE)&gt;0,"Y",""),"")</f>
        <v/>
      </c>
      <c r="I6" s="247" t="str">
        <f>IFERROR(IF(VLOOKUP(TableHandbook[[#This Row],[UDC]],TableAvailabilities[],4,FALSE)&gt;0,"Y",""),"")</f>
        <v/>
      </c>
      <c r="J6" s="247" t="str">
        <f>IFERROR(IF(VLOOKUP(TableHandbook[[#This Row],[UDC]],TableAvailabilities[],5,FALSE)&gt;0,"Y",""),"")</f>
        <v/>
      </c>
      <c r="K6" s="2"/>
      <c r="L6" s="250" t="str">
        <f>IFERROR(VLOOKUP(TableHandbook[[#This Row],[UDC]],TableOMTEACH1[],7,FALSE),"")</f>
        <v/>
      </c>
      <c r="M6" s="248" t="str">
        <f>IFERROR(VLOOKUP(TableHandbook[[#This Row],[UDC]],TableOUMPTCHEC[],7,FALSE),"")</f>
        <v/>
      </c>
      <c r="N6" s="248" t="str">
        <f>IFERROR(VLOOKUP(TableHandbook[[#This Row],[UDC]],TableOUMPTCHPE[],7,FALSE),"")</f>
        <v/>
      </c>
      <c r="O6" s="248" t="str">
        <f>IFERROR(VLOOKUP(TableHandbook[[#This Row],[UDC]],TableOUMPTCHSE[],7,FALSE),"")</f>
        <v/>
      </c>
      <c r="P6" s="250" t="str">
        <f>IFERROR(VLOOKUP(TableHandbook[[#This Row],[UDC]],TableOCTESOL1[],7,FALSE),"")</f>
        <v>AltCore</v>
      </c>
      <c r="Q6" s="248" t="str">
        <f>IFERROR(VLOOKUP(TableHandbook[[#This Row],[UDC]],TableOCTESOL[],7,FALSE),"")</f>
        <v>AltCore</v>
      </c>
      <c r="R6" s="248" t="str">
        <f>IFERROR(VLOOKUP(TableHandbook[[#This Row],[UDC]],TableOMAPLING[],7,FALSE),"")</f>
        <v/>
      </c>
      <c r="S6" s="250" t="str">
        <f>IFERROR(VLOOKUP(TableHandbook[[#This Row],[UDC]],TableOCEDHE1[],7,FALSE),"")</f>
        <v/>
      </c>
      <c r="T6" s="248" t="str">
        <f>IFERROR(VLOOKUP(TableHandbook[[#This Row],[UDC]],TableOCEDHE[],7,FALSE),"")</f>
        <v/>
      </c>
      <c r="U6" s="248" t="str">
        <f>IFERROR(VLOOKUP(TableHandbook[[#This Row],[UDC]],TableOCEDUCS1[],7,FALSE),"")</f>
        <v/>
      </c>
      <c r="V6" s="248" t="str">
        <f>IFERROR(VLOOKUP(TableHandbook[[#This Row],[UDC]],TableOCEDUC[],7,FALSE),"")</f>
        <v/>
      </c>
      <c r="W6" s="248" t="str">
        <f>IFERROR(VLOOKUP(TableHandbook[[#This Row],[UDC]],TableOGEDUC[],7,FALSE),"")</f>
        <v/>
      </c>
      <c r="X6" s="248" t="str">
        <f>IFERROR(VLOOKUP(TableHandbook[[#This Row],[UDC]],TableOUMPEDUPR[],7,FALSE),"")</f>
        <v/>
      </c>
      <c r="Y6" s="248" t="str">
        <f>IFERROR(VLOOKUP(TableHandbook[[#This Row],[UDC]],TableOUMPEDUSC[],7,FALSE),"")</f>
        <v/>
      </c>
      <c r="Z6" s="250" t="str">
        <f>IFERROR(VLOOKUP(TableHandbook[[#This Row],[UDC]],TableOMEDUC[],7,FALSE),"")</f>
        <v/>
      </c>
      <c r="AA6" s="248" t="str">
        <f>IFERROR(VLOOKUP(TableHandbook[[#This Row],[UDC]],TableOSEPCULIN[],7,FALSE),"")</f>
        <v/>
      </c>
      <c r="AB6" s="248" t="str">
        <f>IFERROR(VLOOKUP(TableHandbook[[#This Row],[UDC]],TableOSEPLNTCH[],7,FALSE),"")</f>
        <v/>
      </c>
      <c r="AC6" s="248" t="str">
        <f>IFERROR(VLOOKUP(TableHandbook[[#This Row],[UDC]],TableOSEPSTEME[],7,FALSE),"")</f>
        <v/>
      </c>
    </row>
    <row r="7" spans="1:29" x14ac:dyDescent="0.25">
      <c r="A7" s="2" t="s">
        <v>118</v>
      </c>
      <c r="B7" s="3">
        <v>1</v>
      </c>
      <c r="C7" s="3" t="s">
        <v>355</v>
      </c>
      <c r="D7" s="2" t="s">
        <v>356</v>
      </c>
      <c r="E7" s="3">
        <v>25</v>
      </c>
      <c r="F7" s="245" t="s">
        <v>357</v>
      </c>
      <c r="G7" s="247" t="str">
        <f>IFERROR(IF(VLOOKUP(TableHandbook[[#This Row],[UDC]],TableAvailabilities[],2,FALSE)&gt;0,"Y",""),"")</f>
        <v/>
      </c>
      <c r="H7" s="247" t="str">
        <f>IFERROR(IF(VLOOKUP(TableHandbook[[#This Row],[UDC]],TableAvailabilities[],3,FALSE)&gt;0,"Y",""),"")</f>
        <v>Y</v>
      </c>
      <c r="I7" s="247" t="str">
        <f>IFERROR(IF(VLOOKUP(TableHandbook[[#This Row],[UDC]],TableAvailabilities[],4,FALSE)&gt;0,"Y",""),"")</f>
        <v/>
      </c>
      <c r="J7" s="247" t="str">
        <f>IFERROR(IF(VLOOKUP(TableHandbook[[#This Row],[UDC]],TableAvailabilities[],5,FALSE)&gt;0,"Y",""),"")</f>
        <v/>
      </c>
      <c r="K7" s="2"/>
      <c r="L7" s="250" t="str">
        <f>IFERROR(VLOOKUP(TableHandbook[[#This Row],[UDC]],TableOMTEACH1[],7,FALSE),"")</f>
        <v/>
      </c>
      <c r="M7" s="248" t="str">
        <f>IFERROR(VLOOKUP(TableHandbook[[#This Row],[UDC]],TableOUMPTCHEC[],7,FALSE),"")</f>
        <v>Core</v>
      </c>
      <c r="N7" s="248" t="str">
        <f>IFERROR(VLOOKUP(TableHandbook[[#This Row],[UDC]],TableOUMPTCHPE[],7,FALSE),"")</f>
        <v/>
      </c>
      <c r="O7" s="248" t="str">
        <f>IFERROR(VLOOKUP(TableHandbook[[#This Row],[UDC]],TableOUMPTCHSE[],7,FALSE),"")</f>
        <v/>
      </c>
      <c r="P7" s="250" t="str">
        <f>IFERROR(VLOOKUP(TableHandbook[[#This Row],[UDC]],TableOCTESOL1[],7,FALSE),"")</f>
        <v/>
      </c>
      <c r="Q7" s="248" t="str">
        <f>IFERROR(VLOOKUP(TableHandbook[[#This Row],[UDC]],TableOCTESOL[],7,FALSE),"")</f>
        <v/>
      </c>
      <c r="R7" s="248" t="str">
        <f>IFERROR(VLOOKUP(TableHandbook[[#This Row],[UDC]],TableOMAPLING[],7,FALSE),"")</f>
        <v/>
      </c>
      <c r="S7" s="250" t="str">
        <f>IFERROR(VLOOKUP(TableHandbook[[#This Row],[UDC]],TableOCEDHE1[],7,FALSE),"")</f>
        <v/>
      </c>
      <c r="T7" s="248" t="str">
        <f>IFERROR(VLOOKUP(TableHandbook[[#This Row],[UDC]],TableOCEDHE[],7,FALSE),"")</f>
        <v/>
      </c>
      <c r="U7" s="248" t="str">
        <f>IFERROR(VLOOKUP(TableHandbook[[#This Row],[UDC]],TableOCEDUCS1[],7,FALSE),"")</f>
        <v/>
      </c>
      <c r="V7" s="248" t="str">
        <f>IFERROR(VLOOKUP(TableHandbook[[#This Row],[UDC]],TableOCEDUC[],7,FALSE),"")</f>
        <v/>
      </c>
      <c r="W7" s="248" t="str">
        <f>IFERROR(VLOOKUP(TableHandbook[[#This Row],[UDC]],TableOGEDUC[],7,FALSE),"")</f>
        <v/>
      </c>
      <c r="X7" s="248" t="str">
        <f>IFERROR(VLOOKUP(TableHandbook[[#This Row],[UDC]],TableOUMPEDUPR[],7,FALSE),"")</f>
        <v/>
      </c>
      <c r="Y7" s="248" t="str">
        <f>IFERROR(VLOOKUP(TableHandbook[[#This Row],[UDC]],TableOUMPEDUSC[],7,FALSE),"")</f>
        <v/>
      </c>
      <c r="Z7" s="250" t="str">
        <f>IFERROR(VLOOKUP(TableHandbook[[#This Row],[UDC]],TableOMEDUC[],7,FALSE),"")</f>
        <v/>
      </c>
      <c r="AA7" s="248" t="str">
        <f>IFERROR(VLOOKUP(TableHandbook[[#This Row],[UDC]],TableOSEPCULIN[],7,FALSE),"")</f>
        <v/>
      </c>
      <c r="AB7" s="248" t="str">
        <f>IFERROR(VLOOKUP(TableHandbook[[#This Row],[UDC]],TableOSEPLNTCH[],7,FALSE),"")</f>
        <v/>
      </c>
      <c r="AC7" s="248" t="str">
        <f>IFERROR(VLOOKUP(TableHandbook[[#This Row],[UDC]],TableOSEPSTEME[],7,FALSE),"")</f>
        <v/>
      </c>
    </row>
    <row r="8" spans="1:29" x14ac:dyDescent="0.25">
      <c r="A8" s="2" t="s">
        <v>91</v>
      </c>
      <c r="B8" s="3">
        <v>1</v>
      </c>
      <c r="C8" s="3" t="s">
        <v>358</v>
      </c>
      <c r="D8" s="2" t="s">
        <v>359</v>
      </c>
      <c r="E8" s="3">
        <v>25</v>
      </c>
      <c r="F8" s="287" t="s">
        <v>360</v>
      </c>
      <c r="G8" s="247" t="str">
        <f>IFERROR(IF(VLOOKUP(TableHandbook[[#This Row],[UDC]],TableAvailabilities[],2,FALSE)&gt;0,"Y",""),"")</f>
        <v/>
      </c>
      <c r="H8" s="247" t="str">
        <f>IFERROR(IF(VLOOKUP(TableHandbook[[#This Row],[UDC]],TableAvailabilities[],3,FALSE)&gt;0,"Y",""),"")</f>
        <v>Y</v>
      </c>
      <c r="I8" s="247" t="str">
        <f>IFERROR(IF(VLOOKUP(TableHandbook[[#This Row],[UDC]],TableAvailabilities[],4,FALSE)&gt;0,"Y",""),"")</f>
        <v/>
      </c>
      <c r="J8" s="247" t="str">
        <f>IFERROR(IF(VLOOKUP(TableHandbook[[#This Row],[UDC]],TableAvailabilities[],5,FALSE)&gt;0,"Y",""),"")</f>
        <v/>
      </c>
      <c r="K8" s="2"/>
      <c r="L8" s="250" t="str">
        <f>IFERROR(VLOOKUP(TableHandbook[[#This Row],[UDC]],TableOMTEACH1[],7,FALSE),"")</f>
        <v/>
      </c>
      <c r="M8" s="248" t="str">
        <f>IFERROR(VLOOKUP(TableHandbook[[#This Row],[UDC]],TableOUMPTCHEC[],7,FALSE),"")</f>
        <v>Core</v>
      </c>
      <c r="N8" s="248" t="str">
        <f>IFERROR(VLOOKUP(TableHandbook[[#This Row],[UDC]],TableOUMPTCHPE[],7,FALSE),"")</f>
        <v/>
      </c>
      <c r="O8" s="248" t="str">
        <f>IFERROR(VLOOKUP(TableHandbook[[#This Row],[UDC]],TableOUMPTCHSE[],7,FALSE),"")</f>
        <v/>
      </c>
      <c r="P8" s="250" t="str">
        <f>IFERROR(VLOOKUP(TableHandbook[[#This Row],[UDC]],TableOCTESOL1[],7,FALSE),"")</f>
        <v/>
      </c>
      <c r="Q8" s="248" t="str">
        <f>IFERROR(VLOOKUP(TableHandbook[[#This Row],[UDC]],TableOCTESOL[],7,FALSE),"")</f>
        <v/>
      </c>
      <c r="R8" s="248" t="str">
        <f>IFERROR(VLOOKUP(TableHandbook[[#This Row],[UDC]],TableOMAPLING[],7,FALSE),"")</f>
        <v/>
      </c>
      <c r="S8" s="250" t="str">
        <f>IFERROR(VLOOKUP(TableHandbook[[#This Row],[UDC]],TableOCEDHE1[],7,FALSE),"")</f>
        <v/>
      </c>
      <c r="T8" s="248" t="str">
        <f>IFERROR(VLOOKUP(TableHandbook[[#This Row],[UDC]],TableOCEDHE[],7,FALSE),"")</f>
        <v/>
      </c>
      <c r="U8" s="248" t="str">
        <f>IFERROR(VLOOKUP(TableHandbook[[#This Row],[UDC]],TableOCEDUCS1[],7,FALSE),"")</f>
        <v/>
      </c>
      <c r="V8" s="248" t="str">
        <f>IFERROR(VLOOKUP(TableHandbook[[#This Row],[UDC]],TableOCEDUC[],7,FALSE),"")</f>
        <v/>
      </c>
      <c r="W8" s="248" t="str">
        <f>IFERROR(VLOOKUP(TableHandbook[[#This Row],[UDC]],TableOGEDUC[],7,FALSE),"")</f>
        <v/>
      </c>
      <c r="X8" s="248" t="str">
        <f>IFERROR(VLOOKUP(TableHandbook[[#This Row],[UDC]],TableOUMPEDUPR[],7,FALSE),"")</f>
        <v/>
      </c>
      <c r="Y8" s="248" t="str">
        <f>IFERROR(VLOOKUP(TableHandbook[[#This Row],[UDC]],TableOUMPEDUSC[],7,FALSE),"")</f>
        <v/>
      </c>
      <c r="Z8" s="250" t="str">
        <f>IFERROR(VLOOKUP(TableHandbook[[#This Row],[UDC]],TableOMEDUC[],7,FALSE),"")</f>
        <v/>
      </c>
      <c r="AA8" s="248" t="str">
        <f>IFERROR(VLOOKUP(TableHandbook[[#This Row],[UDC]],TableOSEPCULIN[],7,FALSE),"")</f>
        <v/>
      </c>
      <c r="AB8" s="248" t="str">
        <f>IFERROR(VLOOKUP(TableHandbook[[#This Row],[UDC]],TableOSEPLNTCH[],7,FALSE),"")</f>
        <v/>
      </c>
      <c r="AC8" s="248" t="str">
        <f>IFERROR(VLOOKUP(TableHandbook[[#This Row],[UDC]],TableOSEPSTEME[],7,FALSE),"")</f>
        <v/>
      </c>
    </row>
    <row r="9" spans="1:29" x14ac:dyDescent="0.25">
      <c r="A9" s="2" t="s">
        <v>99</v>
      </c>
      <c r="B9" s="3">
        <v>2</v>
      </c>
      <c r="C9" s="3" t="s">
        <v>361</v>
      </c>
      <c r="D9" s="2" t="s">
        <v>362</v>
      </c>
      <c r="E9" s="3">
        <v>25</v>
      </c>
      <c r="F9" s="287" t="s">
        <v>363</v>
      </c>
      <c r="G9" s="247" t="str">
        <f>IFERROR(IF(VLOOKUP(TableHandbook[[#This Row],[UDC]],TableAvailabilities[],2,FALSE)&gt;0,"Y",""),"")</f>
        <v/>
      </c>
      <c r="H9" s="247" t="str">
        <f>IFERROR(IF(VLOOKUP(TableHandbook[[#This Row],[UDC]],TableAvailabilities[],3,FALSE)&gt;0,"Y",""),"")</f>
        <v/>
      </c>
      <c r="I9" s="247" t="str">
        <f>IFERROR(IF(VLOOKUP(TableHandbook[[#This Row],[UDC]],TableAvailabilities[],4,FALSE)&gt;0,"Y",""),"")</f>
        <v>Y</v>
      </c>
      <c r="J9" s="247" t="str">
        <f>IFERROR(IF(VLOOKUP(TableHandbook[[#This Row],[UDC]],TableAvailabilities[],5,FALSE)&gt;0,"Y",""),"")</f>
        <v/>
      </c>
      <c r="K9" s="288" t="s">
        <v>364</v>
      </c>
      <c r="L9" s="250" t="str">
        <f>IFERROR(VLOOKUP(TableHandbook[[#This Row],[UDC]],TableOMTEACH1[],7,FALSE),"")</f>
        <v/>
      </c>
      <c r="M9" s="248" t="str">
        <f>IFERROR(VLOOKUP(TableHandbook[[#This Row],[UDC]],TableOUMPTCHEC[],7,FALSE),"")</f>
        <v>Core</v>
      </c>
      <c r="N9" s="248" t="str">
        <f>IFERROR(VLOOKUP(TableHandbook[[#This Row],[UDC]],TableOUMPTCHPE[],7,FALSE),"")</f>
        <v/>
      </c>
      <c r="O9" s="248" t="str">
        <f>IFERROR(VLOOKUP(TableHandbook[[#This Row],[UDC]],TableOUMPTCHSE[],7,FALSE),"")</f>
        <v/>
      </c>
      <c r="P9" s="250" t="str">
        <f>IFERROR(VLOOKUP(TableHandbook[[#This Row],[UDC]],TableOCTESOL1[],7,FALSE),"")</f>
        <v/>
      </c>
      <c r="Q9" s="248" t="str">
        <f>IFERROR(VLOOKUP(TableHandbook[[#This Row],[UDC]],TableOCTESOL[],7,FALSE),"")</f>
        <v/>
      </c>
      <c r="R9" s="248" t="str">
        <f>IFERROR(VLOOKUP(TableHandbook[[#This Row],[UDC]],TableOMAPLING[],7,FALSE),"")</f>
        <v/>
      </c>
      <c r="S9" s="250" t="str">
        <f>IFERROR(VLOOKUP(TableHandbook[[#This Row],[UDC]],TableOCEDHE1[],7,FALSE),"")</f>
        <v/>
      </c>
      <c r="T9" s="248" t="str">
        <f>IFERROR(VLOOKUP(TableHandbook[[#This Row],[UDC]],TableOCEDHE[],7,FALSE),"")</f>
        <v/>
      </c>
      <c r="U9" s="248" t="str">
        <f>IFERROR(VLOOKUP(TableHandbook[[#This Row],[UDC]],TableOCEDUCS1[],7,FALSE),"")</f>
        <v/>
      </c>
      <c r="V9" s="248" t="str">
        <f>IFERROR(VLOOKUP(TableHandbook[[#This Row],[UDC]],TableOCEDUC[],7,FALSE),"")</f>
        <v/>
      </c>
      <c r="W9" s="248" t="str">
        <f>IFERROR(VLOOKUP(TableHandbook[[#This Row],[UDC]],TableOGEDUC[],7,FALSE),"")</f>
        <v/>
      </c>
      <c r="X9" s="248" t="str">
        <f>IFERROR(VLOOKUP(TableHandbook[[#This Row],[UDC]],TableOUMPEDUPR[],7,FALSE),"")</f>
        <v/>
      </c>
      <c r="Y9" s="248" t="str">
        <f>IFERROR(VLOOKUP(TableHandbook[[#This Row],[UDC]],TableOUMPEDUSC[],7,FALSE),"")</f>
        <v/>
      </c>
      <c r="Z9" s="250" t="str">
        <f>IFERROR(VLOOKUP(TableHandbook[[#This Row],[UDC]],TableOMEDUC[],7,FALSE),"")</f>
        <v/>
      </c>
      <c r="AA9" s="248" t="str">
        <f>IFERROR(VLOOKUP(TableHandbook[[#This Row],[UDC]],TableOSEPCULIN[],7,FALSE),"")</f>
        <v/>
      </c>
      <c r="AB9" s="248" t="str">
        <f>IFERROR(VLOOKUP(TableHandbook[[#This Row],[UDC]],TableOSEPLNTCH[],7,FALSE),"")</f>
        <v/>
      </c>
      <c r="AC9" s="248" t="str">
        <f>IFERROR(VLOOKUP(TableHandbook[[#This Row],[UDC]],TableOSEPSTEME[],7,FALSE),"")</f>
        <v/>
      </c>
    </row>
    <row r="10" spans="1:29" x14ac:dyDescent="0.25">
      <c r="A10" s="2" t="s">
        <v>84</v>
      </c>
      <c r="B10" s="3">
        <v>1</v>
      </c>
      <c r="C10" s="3" t="s">
        <v>365</v>
      </c>
      <c r="D10" s="2" t="s">
        <v>366</v>
      </c>
      <c r="E10" s="3">
        <v>25</v>
      </c>
      <c r="F10" s="245" t="s">
        <v>357</v>
      </c>
      <c r="G10" s="247" t="str">
        <f>IFERROR(IF(VLOOKUP(TableHandbook[[#This Row],[UDC]],TableAvailabilities[],2,FALSE)&gt;0,"Y",""),"")</f>
        <v/>
      </c>
      <c r="H10" s="247" t="str">
        <f>IFERROR(IF(VLOOKUP(TableHandbook[[#This Row],[UDC]],TableAvailabilities[],3,FALSE)&gt;0,"Y",""),"")</f>
        <v/>
      </c>
      <c r="I10" s="247" t="str">
        <f>IFERROR(IF(VLOOKUP(TableHandbook[[#This Row],[UDC]],TableAvailabilities[],4,FALSE)&gt;0,"Y",""),"")</f>
        <v>Y</v>
      </c>
      <c r="J10" s="247" t="str">
        <f>IFERROR(IF(VLOOKUP(TableHandbook[[#This Row],[UDC]],TableAvailabilities[],5,FALSE)&gt;0,"Y",""),"")</f>
        <v/>
      </c>
      <c r="K10" s="2"/>
      <c r="L10" s="250" t="str">
        <f>IFERROR(VLOOKUP(TableHandbook[[#This Row],[UDC]],TableOMTEACH1[],7,FALSE),"")</f>
        <v/>
      </c>
      <c r="M10" s="248" t="str">
        <f>IFERROR(VLOOKUP(TableHandbook[[#This Row],[UDC]],TableOUMPTCHEC[],7,FALSE),"")</f>
        <v>Core</v>
      </c>
      <c r="N10" s="248" t="str">
        <f>IFERROR(VLOOKUP(TableHandbook[[#This Row],[UDC]],TableOUMPTCHPE[],7,FALSE),"")</f>
        <v/>
      </c>
      <c r="O10" s="248" t="str">
        <f>IFERROR(VLOOKUP(TableHandbook[[#This Row],[UDC]],TableOUMPTCHSE[],7,FALSE),"")</f>
        <v/>
      </c>
      <c r="P10" s="250" t="str">
        <f>IFERROR(VLOOKUP(TableHandbook[[#This Row],[UDC]],TableOCTESOL1[],7,FALSE),"")</f>
        <v/>
      </c>
      <c r="Q10" s="248" t="str">
        <f>IFERROR(VLOOKUP(TableHandbook[[#This Row],[UDC]],TableOCTESOL[],7,FALSE),"")</f>
        <v/>
      </c>
      <c r="R10" s="248" t="str">
        <f>IFERROR(VLOOKUP(TableHandbook[[#This Row],[UDC]],TableOMAPLING[],7,FALSE),"")</f>
        <v/>
      </c>
      <c r="S10" s="250" t="str">
        <f>IFERROR(VLOOKUP(TableHandbook[[#This Row],[UDC]],TableOCEDHE1[],7,FALSE),"")</f>
        <v/>
      </c>
      <c r="T10" s="248" t="str">
        <f>IFERROR(VLOOKUP(TableHandbook[[#This Row],[UDC]],TableOCEDHE[],7,FALSE),"")</f>
        <v/>
      </c>
      <c r="U10" s="248" t="str">
        <f>IFERROR(VLOOKUP(TableHandbook[[#This Row],[UDC]],TableOCEDUCS1[],7,FALSE),"")</f>
        <v>Option</v>
      </c>
      <c r="V10" s="248" t="str">
        <f>IFERROR(VLOOKUP(TableHandbook[[#This Row],[UDC]],TableOCEDUC[],7,FALSE),"")</f>
        <v>Option</v>
      </c>
      <c r="W10" s="248" t="str">
        <f>IFERROR(VLOOKUP(TableHandbook[[#This Row],[UDC]],TableOGEDUC[],7,FALSE),"")</f>
        <v/>
      </c>
      <c r="X10" s="248" t="str">
        <f>IFERROR(VLOOKUP(TableHandbook[[#This Row],[UDC]],TableOUMPEDUPR[],7,FALSE),"")</f>
        <v/>
      </c>
      <c r="Y10" s="248" t="str">
        <f>IFERROR(VLOOKUP(TableHandbook[[#This Row],[UDC]],TableOUMPEDUSC[],7,FALSE),"")</f>
        <v/>
      </c>
      <c r="Z10" s="250" t="str">
        <f>IFERROR(VLOOKUP(TableHandbook[[#This Row],[UDC]],TableOMEDUC[],7,FALSE),"")</f>
        <v/>
      </c>
      <c r="AA10" s="248" t="str">
        <f>IFERROR(VLOOKUP(TableHandbook[[#This Row],[UDC]],TableOSEPCULIN[],7,FALSE),"")</f>
        <v/>
      </c>
      <c r="AB10" s="248" t="str">
        <f>IFERROR(VLOOKUP(TableHandbook[[#This Row],[UDC]],TableOSEPLNTCH[],7,FALSE),"")</f>
        <v/>
      </c>
      <c r="AC10" s="248" t="str">
        <f>IFERROR(VLOOKUP(TableHandbook[[#This Row],[UDC]],TableOSEPSTEME[],7,FALSE),"")</f>
        <v/>
      </c>
    </row>
    <row r="11" spans="1:29" x14ac:dyDescent="0.25">
      <c r="A11" s="2" t="s">
        <v>77</v>
      </c>
      <c r="B11" s="3">
        <v>1</v>
      </c>
      <c r="C11" s="3" t="s">
        <v>367</v>
      </c>
      <c r="D11" s="2" t="s">
        <v>368</v>
      </c>
      <c r="E11" s="3">
        <v>25</v>
      </c>
      <c r="F11" s="245" t="s">
        <v>357</v>
      </c>
      <c r="G11" s="247" t="str">
        <f>IFERROR(IF(VLOOKUP(TableHandbook[[#This Row],[UDC]],TableAvailabilities[],2,FALSE)&gt;0,"Y",""),"")</f>
        <v>Y</v>
      </c>
      <c r="H11" s="247" t="str">
        <f>IFERROR(IF(VLOOKUP(TableHandbook[[#This Row],[UDC]],TableAvailabilities[],3,FALSE)&gt;0,"Y",""),"")</f>
        <v>Y</v>
      </c>
      <c r="I11" s="247" t="str">
        <f>IFERROR(IF(VLOOKUP(TableHandbook[[#This Row],[UDC]],TableAvailabilities[],4,FALSE)&gt;0,"Y",""),"")</f>
        <v/>
      </c>
      <c r="J11" s="247" t="str">
        <f>IFERROR(IF(VLOOKUP(TableHandbook[[#This Row],[UDC]],TableAvailabilities[],5,FALSE)&gt;0,"Y",""),"")</f>
        <v/>
      </c>
      <c r="K11" s="2"/>
      <c r="L11" s="250" t="str">
        <f>IFERROR(VLOOKUP(TableHandbook[[#This Row],[UDC]],TableOMTEACH1[],7,FALSE),"")</f>
        <v/>
      </c>
      <c r="M11" s="248" t="str">
        <f>IFERROR(VLOOKUP(TableHandbook[[#This Row],[UDC]],TableOUMPTCHEC[],7,FALSE),"")</f>
        <v>Core</v>
      </c>
      <c r="N11" s="248" t="str">
        <f>IFERROR(VLOOKUP(TableHandbook[[#This Row],[UDC]],TableOUMPTCHPE[],7,FALSE),"")</f>
        <v/>
      </c>
      <c r="O11" s="248" t="str">
        <f>IFERROR(VLOOKUP(TableHandbook[[#This Row],[UDC]],TableOUMPTCHSE[],7,FALSE),"")</f>
        <v/>
      </c>
      <c r="P11" s="250" t="str">
        <f>IFERROR(VLOOKUP(TableHandbook[[#This Row],[UDC]],TableOCTESOL1[],7,FALSE),"")</f>
        <v/>
      </c>
      <c r="Q11" s="248" t="str">
        <f>IFERROR(VLOOKUP(TableHandbook[[#This Row],[UDC]],TableOCTESOL[],7,FALSE),"")</f>
        <v/>
      </c>
      <c r="R11" s="248" t="str">
        <f>IFERROR(VLOOKUP(TableHandbook[[#This Row],[UDC]],TableOMAPLING[],7,FALSE),"")</f>
        <v/>
      </c>
      <c r="S11" s="250" t="str">
        <f>IFERROR(VLOOKUP(TableHandbook[[#This Row],[UDC]],TableOCEDHE1[],7,FALSE),"")</f>
        <v/>
      </c>
      <c r="T11" s="248" t="str">
        <f>IFERROR(VLOOKUP(TableHandbook[[#This Row],[UDC]],TableOCEDHE[],7,FALSE),"")</f>
        <v/>
      </c>
      <c r="U11" s="248" t="str">
        <f>IFERROR(VLOOKUP(TableHandbook[[#This Row],[UDC]],TableOCEDUCS1[],7,FALSE),"")</f>
        <v/>
      </c>
      <c r="V11" s="248" t="str">
        <f>IFERROR(VLOOKUP(TableHandbook[[#This Row],[UDC]],TableOCEDUC[],7,FALSE),"")</f>
        <v/>
      </c>
      <c r="W11" s="248" t="str">
        <f>IFERROR(VLOOKUP(TableHandbook[[#This Row],[UDC]],TableOGEDUC[],7,FALSE),"")</f>
        <v/>
      </c>
      <c r="X11" s="248" t="str">
        <f>IFERROR(VLOOKUP(TableHandbook[[#This Row],[UDC]],TableOUMPEDUPR[],7,FALSE),"")</f>
        <v/>
      </c>
      <c r="Y11" s="248" t="str">
        <f>IFERROR(VLOOKUP(TableHandbook[[#This Row],[UDC]],TableOUMPEDUSC[],7,FALSE),"")</f>
        <v/>
      </c>
      <c r="Z11" s="250" t="str">
        <f>IFERROR(VLOOKUP(TableHandbook[[#This Row],[UDC]],TableOMEDUC[],7,FALSE),"")</f>
        <v/>
      </c>
      <c r="AA11" s="248" t="str">
        <f>IFERROR(VLOOKUP(TableHandbook[[#This Row],[UDC]],TableOSEPCULIN[],7,FALSE),"")</f>
        <v/>
      </c>
      <c r="AB11" s="248" t="str">
        <f>IFERROR(VLOOKUP(TableHandbook[[#This Row],[UDC]],TableOSEPLNTCH[],7,FALSE),"")</f>
        <v/>
      </c>
      <c r="AC11" s="248" t="str">
        <f>IFERROR(VLOOKUP(TableHandbook[[#This Row],[UDC]],TableOSEPSTEME[],7,FALSE),"")</f>
        <v/>
      </c>
    </row>
    <row r="12" spans="1:29" x14ac:dyDescent="0.25">
      <c r="A12" s="2" t="s">
        <v>107</v>
      </c>
      <c r="B12" s="3">
        <v>1</v>
      </c>
      <c r="C12" s="3" t="s">
        <v>369</v>
      </c>
      <c r="D12" s="2" t="s">
        <v>370</v>
      </c>
      <c r="E12" s="3">
        <v>25</v>
      </c>
      <c r="F12" s="245" t="s">
        <v>357</v>
      </c>
      <c r="G12" s="247" t="str">
        <f>IFERROR(IF(VLOOKUP(TableHandbook[[#This Row],[UDC]],TableAvailabilities[],2,FALSE)&gt;0,"Y",""),"")</f>
        <v>Y</v>
      </c>
      <c r="H12" s="247" t="str">
        <f>IFERROR(IF(VLOOKUP(TableHandbook[[#This Row],[UDC]],TableAvailabilities[],3,FALSE)&gt;0,"Y",""),"")</f>
        <v/>
      </c>
      <c r="I12" s="247" t="str">
        <f>IFERROR(IF(VLOOKUP(TableHandbook[[#This Row],[UDC]],TableAvailabilities[],4,FALSE)&gt;0,"Y",""),"")</f>
        <v/>
      </c>
      <c r="J12" s="247" t="str">
        <f>IFERROR(IF(VLOOKUP(TableHandbook[[#This Row],[UDC]],TableAvailabilities[],5,FALSE)&gt;0,"Y",""),"")</f>
        <v/>
      </c>
      <c r="K12" s="2"/>
      <c r="L12" s="250" t="str">
        <f>IFERROR(VLOOKUP(TableHandbook[[#This Row],[UDC]],TableOMTEACH1[],7,FALSE),"")</f>
        <v/>
      </c>
      <c r="M12" s="248" t="str">
        <f>IFERROR(VLOOKUP(TableHandbook[[#This Row],[UDC]],TableOUMPTCHEC[],7,FALSE),"")</f>
        <v>Core</v>
      </c>
      <c r="N12" s="248" t="str">
        <f>IFERROR(VLOOKUP(TableHandbook[[#This Row],[UDC]],TableOUMPTCHPE[],7,FALSE),"")</f>
        <v/>
      </c>
      <c r="O12" s="248" t="str">
        <f>IFERROR(VLOOKUP(TableHandbook[[#This Row],[UDC]],TableOUMPTCHSE[],7,FALSE),"")</f>
        <v/>
      </c>
      <c r="P12" s="250" t="str">
        <f>IFERROR(VLOOKUP(TableHandbook[[#This Row],[UDC]],TableOCTESOL1[],7,FALSE),"")</f>
        <v/>
      </c>
      <c r="Q12" s="248" t="str">
        <f>IFERROR(VLOOKUP(TableHandbook[[#This Row],[UDC]],TableOCTESOL[],7,FALSE),"")</f>
        <v/>
      </c>
      <c r="R12" s="248" t="str">
        <f>IFERROR(VLOOKUP(TableHandbook[[#This Row],[UDC]],TableOMAPLING[],7,FALSE),"")</f>
        <v/>
      </c>
      <c r="S12" s="250" t="str">
        <f>IFERROR(VLOOKUP(TableHandbook[[#This Row],[UDC]],TableOCEDHE1[],7,FALSE),"")</f>
        <v/>
      </c>
      <c r="T12" s="248" t="str">
        <f>IFERROR(VLOOKUP(TableHandbook[[#This Row],[UDC]],TableOCEDHE[],7,FALSE),"")</f>
        <v/>
      </c>
      <c r="U12" s="248" t="str">
        <f>IFERROR(VLOOKUP(TableHandbook[[#This Row],[UDC]],TableOCEDUCS1[],7,FALSE),"")</f>
        <v>Option</v>
      </c>
      <c r="V12" s="248" t="str">
        <f>IFERROR(VLOOKUP(TableHandbook[[#This Row],[UDC]],TableOCEDUC[],7,FALSE),"")</f>
        <v>Option</v>
      </c>
      <c r="W12" s="248" t="str">
        <f>IFERROR(VLOOKUP(TableHandbook[[#This Row],[UDC]],TableOGEDUC[],7,FALSE),"")</f>
        <v/>
      </c>
      <c r="X12" s="248" t="str">
        <f>IFERROR(VLOOKUP(TableHandbook[[#This Row],[UDC]],TableOUMPEDUPR[],7,FALSE),"")</f>
        <v/>
      </c>
      <c r="Y12" s="248" t="str">
        <f>IFERROR(VLOOKUP(TableHandbook[[#This Row],[UDC]],TableOUMPEDUSC[],7,FALSE),"")</f>
        <v/>
      </c>
      <c r="Z12" s="250" t="str">
        <f>IFERROR(VLOOKUP(TableHandbook[[#This Row],[UDC]],TableOMEDUC[],7,FALSE),"")</f>
        <v/>
      </c>
      <c r="AA12" s="248" t="str">
        <f>IFERROR(VLOOKUP(TableHandbook[[#This Row],[UDC]],TableOSEPCULIN[],7,FALSE),"")</f>
        <v/>
      </c>
      <c r="AB12" s="248" t="str">
        <f>IFERROR(VLOOKUP(TableHandbook[[#This Row],[UDC]],TableOSEPLNTCH[],7,FALSE),"")</f>
        <v/>
      </c>
      <c r="AC12" s="248" t="str">
        <f>IFERROR(VLOOKUP(TableHandbook[[#This Row],[UDC]],TableOSEPSTEME[],7,FALSE),"")</f>
        <v/>
      </c>
    </row>
    <row r="13" spans="1:29" x14ac:dyDescent="0.25">
      <c r="A13" s="2" t="s">
        <v>83</v>
      </c>
      <c r="B13" s="3">
        <v>1</v>
      </c>
      <c r="C13" s="3" t="s">
        <v>371</v>
      </c>
      <c r="D13" s="2" t="s">
        <v>372</v>
      </c>
      <c r="E13" s="3">
        <v>25</v>
      </c>
      <c r="F13" s="245" t="s">
        <v>357</v>
      </c>
      <c r="G13" s="247" t="str">
        <f>IFERROR(IF(VLOOKUP(TableHandbook[[#This Row],[UDC]],TableAvailabilities[],2,FALSE)&gt;0,"Y",""),"")</f>
        <v/>
      </c>
      <c r="H13" s="247" t="str">
        <f>IFERROR(IF(VLOOKUP(TableHandbook[[#This Row],[UDC]],TableAvailabilities[],3,FALSE)&gt;0,"Y",""),"")</f>
        <v>Y</v>
      </c>
      <c r="I13" s="247" t="str">
        <f>IFERROR(IF(VLOOKUP(TableHandbook[[#This Row],[UDC]],TableAvailabilities[],4,FALSE)&gt;0,"Y",""),"")</f>
        <v/>
      </c>
      <c r="J13" s="247" t="str">
        <f>IFERROR(IF(VLOOKUP(TableHandbook[[#This Row],[UDC]],TableAvailabilities[],5,FALSE)&gt;0,"Y",""),"")</f>
        <v/>
      </c>
      <c r="K13" s="2"/>
      <c r="L13" s="250" t="str">
        <f>IFERROR(VLOOKUP(TableHandbook[[#This Row],[UDC]],TableOMTEACH1[],7,FALSE),"")</f>
        <v/>
      </c>
      <c r="M13" s="248" t="str">
        <f>IFERROR(VLOOKUP(TableHandbook[[#This Row],[UDC]],TableOUMPTCHEC[],7,FALSE),"")</f>
        <v>Core</v>
      </c>
      <c r="N13" s="248" t="str">
        <f>IFERROR(VLOOKUP(TableHandbook[[#This Row],[UDC]],TableOUMPTCHPE[],7,FALSE),"")</f>
        <v/>
      </c>
      <c r="O13" s="248" t="str">
        <f>IFERROR(VLOOKUP(TableHandbook[[#This Row],[UDC]],TableOUMPTCHSE[],7,FALSE),"")</f>
        <v/>
      </c>
      <c r="P13" s="250" t="str">
        <f>IFERROR(VLOOKUP(TableHandbook[[#This Row],[UDC]],TableOCTESOL1[],7,FALSE),"")</f>
        <v/>
      </c>
      <c r="Q13" s="248" t="str">
        <f>IFERROR(VLOOKUP(TableHandbook[[#This Row],[UDC]],TableOCTESOL[],7,FALSE),"")</f>
        <v/>
      </c>
      <c r="R13" s="248" t="str">
        <f>IFERROR(VLOOKUP(TableHandbook[[#This Row],[UDC]],TableOMAPLING[],7,FALSE),"")</f>
        <v/>
      </c>
      <c r="S13" s="250" t="str">
        <f>IFERROR(VLOOKUP(TableHandbook[[#This Row],[UDC]],TableOCEDHE1[],7,FALSE),"")</f>
        <v/>
      </c>
      <c r="T13" s="248" t="str">
        <f>IFERROR(VLOOKUP(TableHandbook[[#This Row],[UDC]],TableOCEDHE[],7,FALSE),"")</f>
        <v/>
      </c>
      <c r="U13" s="248" t="str">
        <f>IFERROR(VLOOKUP(TableHandbook[[#This Row],[UDC]],TableOCEDUCS1[],7,FALSE),"")</f>
        <v>Option</v>
      </c>
      <c r="V13" s="248" t="str">
        <f>IFERROR(VLOOKUP(TableHandbook[[#This Row],[UDC]],TableOCEDUC[],7,FALSE),"")</f>
        <v>Option</v>
      </c>
      <c r="W13" s="248" t="str">
        <f>IFERROR(VLOOKUP(TableHandbook[[#This Row],[UDC]],TableOGEDUC[],7,FALSE),"")</f>
        <v/>
      </c>
      <c r="X13" s="248" t="str">
        <f>IFERROR(VLOOKUP(TableHandbook[[#This Row],[UDC]],TableOUMPEDUPR[],7,FALSE),"")</f>
        <v/>
      </c>
      <c r="Y13" s="248" t="str">
        <f>IFERROR(VLOOKUP(TableHandbook[[#This Row],[UDC]],TableOUMPEDUSC[],7,FALSE),"")</f>
        <v/>
      </c>
      <c r="Z13" s="250" t="str">
        <f>IFERROR(VLOOKUP(TableHandbook[[#This Row],[UDC]],TableOMEDUC[],7,FALSE),"")</f>
        <v/>
      </c>
      <c r="AA13" s="248" t="str">
        <f>IFERROR(VLOOKUP(TableHandbook[[#This Row],[UDC]],TableOSEPCULIN[],7,FALSE),"")</f>
        <v/>
      </c>
      <c r="AB13" s="248" t="str">
        <f>IFERROR(VLOOKUP(TableHandbook[[#This Row],[UDC]],TableOSEPLNTCH[],7,FALSE),"")</f>
        <v/>
      </c>
      <c r="AC13" s="248" t="str">
        <f>IFERROR(VLOOKUP(TableHandbook[[#This Row],[UDC]],TableOSEPSTEME[],7,FALSE),"")</f>
        <v/>
      </c>
    </row>
    <row r="14" spans="1:29" x14ac:dyDescent="0.25">
      <c r="A14" s="2" t="s">
        <v>85</v>
      </c>
      <c r="B14" s="3">
        <v>1</v>
      </c>
      <c r="C14" s="3" t="s">
        <v>373</v>
      </c>
      <c r="D14" s="2" t="s">
        <v>374</v>
      </c>
      <c r="E14" s="3">
        <v>25</v>
      </c>
      <c r="F14" s="245" t="s">
        <v>357</v>
      </c>
      <c r="G14" s="247" t="str">
        <f>IFERROR(IF(VLOOKUP(TableHandbook[[#This Row],[UDC]],TableAvailabilities[],2,FALSE)&gt;0,"Y",""),"")</f>
        <v/>
      </c>
      <c r="H14" s="247" t="str">
        <f>IFERROR(IF(VLOOKUP(TableHandbook[[#This Row],[UDC]],TableAvailabilities[],3,FALSE)&gt;0,"Y",""),"")</f>
        <v/>
      </c>
      <c r="I14" s="247" t="str">
        <f>IFERROR(IF(VLOOKUP(TableHandbook[[#This Row],[UDC]],TableAvailabilities[],4,FALSE)&gt;0,"Y",""),"")</f>
        <v/>
      </c>
      <c r="J14" s="247" t="str">
        <f>IFERROR(IF(VLOOKUP(TableHandbook[[#This Row],[UDC]],TableAvailabilities[],5,FALSE)&gt;0,"Y",""),"")</f>
        <v>Y</v>
      </c>
      <c r="K14" s="2"/>
      <c r="L14" s="250" t="str">
        <f>IFERROR(VLOOKUP(TableHandbook[[#This Row],[UDC]],TableOMTEACH1[],7,FALSE),"")</f>
        <v/>
      </c>
      <c r="M14" s="248" t="str">
        <f>IFERROR(VLOOKUP(TableHandbook[[#This Row],[UDC]],TableOUMPTCHEC[],7,FALSE),"")</f>
        <v>Core</v>
      </c>
      <c r="N14" s="248" t="str">
        <f>IFERROR(VLOOKUP(TableHandbook[[#This Row],[UDC]],TableOUMPTCHPE[],7,FALSE),"")</f>
        <v/>
      </c>
      <c r="O14" s="248" t="str">
        <f>IFERROR(VLOOKUP(TableHandbook[[#This Row],[UDC]],TableOUMPTCHSE[],7,FALSE),"")</f>
        <v/>
      </c>
      <c r="P14" s="250" t="str">
        <f>IFERROR(VLOOKUP(TableHandbook[[#This Row],[UDC]],TableOCTESOL1[],7,FALSE),"")</f>
        <v/>
      </c>
      <c r="Q14" s="248" t="str">
        <f>IFERROR(VLOOKUP(TableHandbook[[#This Row],[UDC]],TableOCTESOL[],7,FALSE),"")</f>
        <v/>
      </c>
      <c r="R14" s="248" t="str">
        <f>IFERROR(VLOOKUP(TableHandbook[[#This Row],[UDC]],TableOMAPLING[],7,FALSE),"")</f>
        <v/>
      </c>
      <c r="S14" s="250" t="str">
        <f>IFERROR(VLOOKUP(TableHandbook[[#This Row],[UDC]],TableOCEDHE1[],7,FALSE),"")</f>
        <v/>
      </c>
      <c r="T14" s="248" t="str">
        <f>IFERROR(VLOOKUP(TableHandbook[[#This Row],[UDC]],TableOCEDHE[],7,FALSE),"")</f>
        <v/>
      </c>
      <c r="U14" s="248" t="str">
        <f>IFERROR(VLOOKUP(TableHandbook[[#This Row],[UDC]],TableOCEDUCS1[],7,FALSE),"")</f>
        <v/>
      </c>
      <c r="V14" s="248" t="str">
        <f>IFERROR(VLOOKUP(TableHandbook[[#This Row],[UDC]],TableOCEDUC[],7,FALSE),"")</f>
        <v/>
      </c>
      <c r="W14" s="248" t="str">
        <f>IFERROR(VLOOKUP(TableHandbook[[#This Row],[UDC]],TableOGEDUC[],7,FALSE),"")</f>
        <v/>
      </c>
      <c r="X14" s="248" t="str">
        <f>IFERROR(VLOOKUP(TableHandbook[[#This Row],[UDC]],TableOUMPEDUPR[],7,FALSE),"")</f>
        <v/>
      </c>
      <c r="Y14" s="248" t="str">
        <f>IFERROR(VLOOKUP(TableHandbook[[#This Row],[UDC]],TableOUMPEDUSC[],7,FALSE),"")</f>
        <v/>
      </c>
      <c r="Z14" s="250" t="str">
        <f>IFERROR(VLOOKUP(TableHandbook[[#This Row],[UDC]],TableOMEDUC[],7,FALSE),"")</f>
        <v/>
      </c>
      <c r="AA14" s="248" t="str">
        <f>IFERROR(VLOOKUP(TableHandbook[[#This Row],[UDC]],TableOSEPCULIN[],7,FALSE),"")</f>
        <v/>
      </c>
      <c r="AB14" s="248" t="str">
        <f>IFERROR(VLOOKUP(TableHandbook[[#This Row],[UDC]],TableOSEPLNTCH[],7,FALSE),"")</f>
        <v/>
      </c>
      <c r="AC14" s="248" t="str">
        <f>IFERROR(VLOOKUP(TableHandbook[[#This Row],[UDC]],TableOSEPSTEME[],7,FALSE),"")</f>
        <v/>
      </c>
    </row>
    <row r="15" spans="1:29" x14ac:dyDescent="0.25">
      <c r="A15" s="2" t="s">
        <v>114</v>
      </c>
      <c r="B15" s="3">
        <v>1</v>
      </c>
      <c r="C15" s="3" t="s">
        <v>375</v>
      </c>
      <c r="D15" s="2" t="s">
        <v>376</v>
      </c>
      <c r="E15" s="3">
        <v>25</v>
      </c>
      <c r="F15" s="245" t="s">
        <v>357</v>
      </c>
      <c r="G15" s="247" t="str">
        <f>IFERROR(IF(VLOOKUP(TableHandbook[[#This Row],[UDC]],TableAvailabilities[],2,FALSE)&gt;0,"Y",""),"")</f>
        <v/>
      </c>
      <c r="H15" s="247" t="str">
        <f>IFERROR(IF(VLOOKUP(TableHandbook[[#This Row],[UDC]],TableAvailabilities[],3,FALSE)&gt;0,"Y",""),"")</f>
        <v/>
      </c>
      <c r="I15" s="247" t="str">
        <f>IFERROR(IF(VLOOKUP(TableHandbook[[#This Row],[UDC]],TableAvailabilities[],4,FALSE)&gt;0,"Y",""),"")</f>
        <v/>
      </c>
      <c r="J15" s="247" t="str">
        <f>IFERROR(IF(VLOOKUP(TableHandbook[[#This Row],[UDC]],TableAvailabilities[],5,FALSE)&gt;0,"Y",""),"")</f>
        <v>Y</v>
      </c>
      <c r="K15" s="2"/>
      <c r="L15" s="250" t="str">
        <f>IFERROR(VLOOKUP(TableHandbook[[#This Row],[UDC]],TableOMTEACH1[],7,FALSE),"")</f>
        <v/>
      </c>
      <c r="M15" s="248" t="str">
        <f>IFERROR(VLOOKUP(TableHandbook[[#This Row],[UDC]],TableOUMPTCHEC[],7,FALSE),"")</f>
        <v>Core</v>
      </c>
      <c r="N15" s="248" t="str">
        <f>IFERROR(VLOOKUP(TableHandbook[[#This Row],[UDC]],TableOUMPTCHPE[],7,FALSE),"")</f>
        <v/>
      </c>
      <c r="O15" s="248" t="str">
        <f>IFERROR(VLOOKUP(TableHandbook[[#This Row],[UDC]],TableOUMPTCHSE[],7,FALSE),"")</f>
        <v/>
      </c>
      <c r="P15" s="250" t="str">
        <f>IFERROR(VLOOKUP(TableHandbook[[#This Row],[UDC]],TableOCTESOL1[],7,FALSE),"")</f>
        <v/>
      </c>
      <c r="Q15" s="248" t="str">
        <f>IFERROR(VLOOKUP(TableHandbook[[#This Row],[UDC]],TableOCTESOL[],7,FALSE),"")</f>
        <v/>
      </c>
      <c r="R15" s="248" t="str">
        <f>IFERROR(VLOOKUP(TableHandbook[[#This Row],[UDC]],TableOMAPLING[],7,FALSE),"")</f>
        <v/>
      </c>
      <c r="S15" s="250" t="str">
        <f>IFERROR(VLOOKUP(TableHandbook[[#This Row],[UDC]],TableOCEDHE1[],7,FALSE),"")</f>
        <v/>
      </c>
      <c r="T15" s="248" t="str">
        <f>IFERROR(VLOOKUP(TableHandbook[[#This Row],[UDC]],TableOCEDHE[],7,FALSE),"")</f>
        <v/>
      </c>
      <c r="U15" s="248" t="str">
        <f>IFERROR(VLOOKUP(TableHandbook[[#This Row],[UDC]],TableOCEDUCS1[],7,FALSE),"")</f>
        <v/>
      </c>
      <c r="V15" s="248" t="str">
        <f>IFERROR(VLOOKUP(TableHandbook[[#This Row],[UDC]],TableOCEDUC[],7,FALSE),"")</f>
        <v/>
      </c>
      <c r="W15" s="248" t="str">
        <f>IFERROR(VLOOKUP(TableHandbook[[#This Row],[UDC]],TableOGEDUC[],7,FALSE),"")</f>
        <v/>
      </c>
      <c r="X15" s="248" t="str">
        <f>IFERROR(VLOOKUP(TableHandbook[[#This Row],[UDC]],TableOUMPEDUPR[],7,FALSE),"")</f>
        <v/>
      </c>
      <c r="Y15" s="248" t="str">
        <f>IFERROR(VLOOKUP(TableHandbook[[#This Row],[UDC]],TableOUMPEDUSC[],7,FALSE),"")</f>
        <v/>
      </c>
      <c r="Z15" s="250" t="str">
        <f>IFERROR(VLOOKUP(TableHandbook[[#This Row],[UDC]],TableOMEDUC[],7,FALSE),"")</f>
        <v/>
      </c>
      <c r="AA15" s="248" t="str">
        <f>IFERROR(VLOOKUP(TableHandbook[[#This Row],[UDC]],TableOSEPCULIN[],7,FALSE),"")</f>
        <v/>
      </c>
      <c r="AB15" s="248" t="str">
        <f>IFERROR(VLOOKUP(TableHandbook[[#This Row],[UDC]],TableOSEPLNTCH[],7,FALSE),"")</f>
        <v/>
      </c>
      <c r="AC15" s="248" t="str">
        <f>IFERROR(VLOOKUP(TableHandbook[[#This Row],[UDC]],TableOSEPSTEME[],7,FALSE),"")</f>
        <v/>
      </c>
    </row>
    <row r="16" spans="1:29" x14ac:dyDescent="0.25">
      <c r="A16" s="2" t="s">
        <v>119</v>
      </c>
      <c r="B16" s="3">
        <v>1</v>
      </c>
      <c r="C16" s="3" t="s">
        <v>377</v>
      </c>
      <c r="D16" s="2" t="s">
        <v>378</v>
      </c>
      <c r="E16" s="3">
        <v>25</v>
      </c>
      <c r="F16" s="245" t="s">
        <v>357</v>
      </c>
      <c r="G16" s="247" t="str">
        <f>IFERROR(IF(VLOOKUP(TableHandbook[[#This Row],[UDC]],TableAvailabilities[],2,FALSE)&gt;0,"Y",""),"")</f>
        <v/>
      </c>
      <c r="H16" s="247" t="str">
        <f>IFERROR(IF(VLOOKUP(TableHandbook[[#This Row],[UDC]],TableAvailabilities[],3,FALSE)&gt;0,"Y",""),"")</f>
        <v/>
      </c>
      <c r="I16" s="247" t="str">
        <f>IFERROR(IF(VLOOKUP(TableHandbook[[#This Row],[UDC]],TableAvailabilities[],4,FALSE)&gt;0,"Y",""),"")</f>
        <v>Y</v>
      </c>
      <c r="J16" s="247" t="str">
        <f>IFERROR(IF(VLOOKUP(TableHandbook[[#This Row],[UDC]],TableAvailabilities[],5,FALSE)&gt;0,"Y",""),"")</f>
        <v/>
      </c>
      <c r="K16" s="2"/>
      <c r="L16" s="250" t="str">
        <f>IFERROR(VLOOKUP(TableHandbook[[#This Row],[UDC]],TableOMTEACH1[],7,FALSE),"")</f>
        <v/>
      </c>
      <c r="M16" s="248" t="str">
        <f>IFERROR(VLOOKUP(TableHandbook[[#This Row],[UDC]],TableOUMPTCHEC[],7,FALSE),"")</f>
        <v>Core</v>
      </c>
      <c r="N16" s="248" t="str">
        <f>IFERROR(VLOOKUP(TableHandbook[[#This Row],[UDC]],TableOUMPTCHPE[],7,FALSE),"")</f>
        <v/>
      </c>
      <c r="O16" s="248" t="str">
        <f>IFERROR(VLOOKUP(TableHandbook[[#This Row],[UDC]],TableOUMPTCHSE[],7,FALSE),"")</f>
        <v/>
      </c>
      <c r="P16" s="250" t="str">
        <f>IFERROR(VLOOKUP(TableHandbook[[#This Row],[UDC]],TableOCTESOL1[],7,FALSE),"")</f>
        <v/>
      </c>
      <c r="Q16" s="248" t="str">
        <f>IFERROR(VLOOKUP(TableHandbook[[#This Row],[UDC]],TableOCTESOL[],7,FALSE),"")</f>
        <v/>
      </c>
      <c r="R16" s="248" t="str">
        <f>IFERROR(VLOOKUP(TableHandbook[[#This Row],[UDC]],TableOMAPLING[],7,FALSE),"")</f>
        <v/>
      </c>
      <c r="S16" s="250" t="str">
        <f>IFERROR(VLOOKUP(TableHandbook[[#This Row],[UDC]],TableOCEDHE1[],7,FALSE),"")</f>
        <v/>
      </c>
      <c r="T16" s="248" t="str">
        <f>IFERROR(VLOOKUP(TableHandbook[[#This Row],[UDC]],TableOCEDHE[],7,FALSE),"")</f>
        <v/>
      </c>
      <c r="U16" s="248" t="str">
        <f>IFERROR(VLOOKUP(TableHandbook[[#This Row],[UDC]],TableOCEDUCS1[],7,FALSE),"")</f>
        <v/>
      </c>
      <c r="V16" s="248" t="str">
        <f>IFERROR(VLOOKUP(TableHandbook[[#This Row],[UDC]],TableOCEDUC[],7,FALSE),"")</f>
        <v/>
      </c>
      <c r="W16" s="248" t="str">
        <f>IFERROR(VLOOKUP(TableHandbook[[#This Row],[UDC]],TableOGEDUC[],7,FALSE),"")</f>
        <v/>
      </c>
      <c r="X16" s="248" t="str">
        <f>IFERROR(VLOOKUP(TableHandbook[[#This Row],[UDC]],TableOUMPEDUPR[],7,FALSE),"")</f>
        <v/>
      </c>
      <c r="Y16" s="248" t="str">
        <f>IFERROR(VLOOKUP(TableHandbook[[#This Row],[UDC]],TableOUMPEDUSC[],7,FALSE),"")</f>
        <v/>
      </c>
      <c r="Z16" s="250" t="str">
        <f>IFERROR(VLOOKUP(TableHandbook[[#This Row],[UDC]],TableOMEDUC[],7,FALSE),"")</f>
        <v/>
      </c>
      <c r="AA16" s="248" t="str">
        <f>IFERROR(VLOOKUP(TableHandbook[[#This Row],[UDC]],TableOSEPCULIN[],7,FALSE),"")</f>
        <v/>
      </c>
      <c r="AB16" s="248" t="str">
        <f>IFERROR(VLOOKUP(TableHandbook[[#This Row],[UDC]],TableOSEPLNTCH[],7,FALSE),"")</f>
        <v/>
      </c>
      <c r="AC16" s="248" t="str">
        <f>IFERROR(VLOOKUP(TableHandbook[[#This Row],[UDC]],TableOSEPSTEME[],7,FALSE),"")</f>
        <v/>
      </c>
    </row>
    <row r="17" spans="1:29" x14ac:dyDescent="0.25">
      <c r="A17" s="2" t="s">
        <v>252</v>
      </c>
      <c r="B17" s="3">
        <v>1</v>
      </c>
      <c r="C17" s="3" t="s">
        <v>379</v>
      </c>
      <c r="D17" s="2" t="s">
        <v>380</v>
      </c>
      <c r="E17" s="3">
        <v>25</v>
      </c>
      <c r="F17" s="245" t="s">
        <v>357</v>
      </c>
      <c r="G17" s="247" t="str">
        <f>IFERROR(IF(VLOOKUP(TableHandbook[[#This Row],[UDC]],TableAvailabilities[],2,FALSE)&gt;0,"Y",""),"")</f>
        <v>Y</v>
      </c>
      <c r="H17" s="247" t="str">
        <f>IFERROR(IF(VLOOKUP(TableHandbook[[#This Row],[UDC]],TableAvailabilities[],3,FALSE)&gt;0,"Y",""),"")</f>
        <v/>
      </c>
      <c r="I17" s="247" t="str">
        <f>IFERROR(IF(VLOOKUP(TableHandbook[[#This Row],[UDC]],TableAvailabilities[],4,FALSE)&gt;0,"Y",""),"")</f>
        <v>Y</v>
      </c>
      <c r="J17" s="247" t="str">
        <f>IFERROR(IF(VLOOKUP(TableHandbook[[#This Row],[UDC]],TableAvailabilities[],5,FALSE)&gt;0,"Y",""),"")</f>
        <v/>
      </c>
      <c r="K17" s="2"/>
      <c r="L17" s="250" t="str">
        <f>IFERROR(VLOOKUP(TableHandbook[[#This Row],[UDC]],TableOMTEACH1[],7,FALSE),"")</f>
        <v/>
      </c>
      <c r="M17" s="248" t="str">
        <f>IFERROR(VLOOKUP(TableHandbook[[#This Row],[UDC]],TableOUMPTCHEC[],7,FALSE),"")</f>
        <v/>
      </c>
      <c r="N17" s="248" t="str">
        <f>IFERROR(VLOOKUP(TableHandbook[[#This Row],[UDC]],TableOUMPTCHPE[],7,FALSE),"")</f>
        <v/>
      </c>
      <c r="O17" s="248" t="str">
        <f>IFERROR(VLOOKUP(TableHandbook[[#This Row],[UDC]],TableOUMPTCHSE[],7,FALSE),"")</f>
        <v/>
      </c>
      <c r="P17" s="250" t="str">
        <f>IFERROR(VLOOKUP(TableHandbook[[#This Row],[UDC]],TableOCTESOL1[],7,FALSE),"")</f>
        <v/>
      </c>
      <c r="Q17" s="248" t="str">
        <f>IFERROR(VLOOKUP(TableHandbook[[#This Row],[UDC]],TableOCTESOL[],7,FALSE),"")</f>
        <v/>
      </c>
      <c r="R17" s="248" t="str">
        <f>IFERROR(VLOOKUP(TableHandbook[[#This Row],[UDC]],TableOMAPLING[],7,FALSE),"")</f>
        <v/>
      </c>
      <c r="S17" s="250" t="str">
        <f>IFERROR(VLOOKUP(TableHandbook[[#This Row],[UDC]],TableOCEDHE1[],7,FALSE),"")</f>
        <v>Core</v>
      </c>
      <c r="T17" s="248" t="str">
        <f>IFERROR(VLOOKUP(TableHandbook[[#This Row],[UDC]],TableOCEDHE[],7,FALSE),"")</f>
        <v>Core</v>
      </c>
      <c r="U17" s="248" t="str">
        <f>IFERROR(VLOOKUP(TableHandbook[[#This Row],[UDC]],TableOCEDUCS1[],7,FALSE),"")</f>
        <v/>
      </c>
      <c r="V17" s="248" t="str">
        <f>IFERROR(VLOOKUP(TableHandbook[[#This Row],[UDC]],TableOCEDUC[],7,FALSE),"")</f>
        <v/>
      </c>
      <c r="W17" s="248" t="str">
        <f>IFERROR(VLOOKUP(TableHandbook[[#This Row],[UDC]],TableOGEDUC[],7,FALSE),"")</f>
        <v/>
      </c>
      <c r="X17" s="248" t="str">
        <f>IFERROR(VLOOKUP(TableHandbook[[#This Row],[UDC]],TableOUMPEDUPR[],7,FALSE),"")</f>
        <v/>
      </c>
      <c r="Y17" s="248" t="str">
        <f>IFERROR(VLOOKUP(TableHandbook[[#This Row],[UDC]],TableOUMPEDUSC[],7,FALSE),"")</f>
        <v/>
      </c>
      <c r="Z17" s="250" t="str">
        <f>IFERROR(VLOOKUP(TableHandbook[[#This Row],[UDC]],TableOMEDUC[],7,FALSE),"")</f>
        <v/>
      </c>
      <c r="AA17" s="248" t="str">
        <f>IFERROR(VLOOKUP(TableHandbook[[#This Row],[UDC]],TableOSEPCULIN[],7,FALSE),"")</f>
        <v/>
      </c>
      <c r="AB17" s="248" t="str">
        <f>IFERROR(VLOOKUP(TableHandbook[[#This Row],[UDC]],TableOSEPLNTCH[],7,FALSE),"")</f>
        <v/>
      </c>
      <c r="AC17" s="248" t="str">
        <f>IFERROR(VLOOKUP(TableHandbook[[#This Row],[UDC]],TableOSEPSTEME[],7,FALSE),"")</f>
        <v/>
      </c>
    </row>
    <row r="18" spans="1:29" x14ac:dyDescent="0.25">
      <c r="A18" s="2" t="s">
        <v>253</v>
      </c>
      <c r="B18" s="3">
        <v>1</v>
      </c>
      <c r="C18" s="3" t="s">
        <v>381</v>
      </c>
      <c r="D18" s="2" t="s">
        <v>382</v>
      </c>
      <c r="E18" s="3">
        <v>25</v>
      </c>
      <c r="F18" s="245" t="s">
        <v>357</v>
      </c>
      <c r="G18" s="247" t="str">
        <f>IFERROR(IF(VLOOKUP(TableHandbook[[#This Row],[UDC]],TableAvailabilities[],2,FALSE)&gt;0,"Y",""),"")</f>
        <v/>
      </c>
      <c r="H18" s="247" t="str">
        <f>IFERROR(IF(VLOOKUP(TableHandbook[[#This Row],[UDC]],TableAvailabilities[],3,FALSE)&gt;0,"Y",""),"")</f>
        <v>Y</v>
      </c>
      <c r="I18" s="247" t="str">
        <f>IFERROR(IF(VLOOKUP(TableHandbook[[#This Row],[UDC]],TableAvailabilities[],4,FALSE)&gt;0,"Y",""),"")</f>
        <v/>
      </c>
      <c r="J18" s="247" t="str">
        <f>IFERROR(IF(VLOOKUP(TableHandbook[[#This Row],[UDC]],TableAvailabilities[],5,FALSE)&gt;0,"Y",""),"")</f>
        <v>Y</v>
      </c>
      <c r="K18" s="2"/>
      <c r="L18" s="250" t="str">
        <f>IFERROR(VLOOKUP(TableHandbook[[#This Row],[UDC]],TableOMTEACH1[],7,FALSE),"")</f>
        <v/>
      </c>
      <c r="M18" s="248" t="str">
        <f>IFERROR(VLOOKUP(TableHandbook[[#This Row],[UDC]],TableOUMPTCHEC[],7,FALSE),"")</f>
        <v/>
      </c>
      <c r="N18" s="248" t="str">
        <f>IFERROR(VLOOKUP(TableHandbook[[#This Row],[UDC]],TableOUMPTCHPE[],7,FALSE),"")</f>
        <v/>
      </c>
      <c r="O18" s="248" t="str">
        <f>IFERROR(VLOOKUP(TableHandbook[[#This Row],[UDC]],TableOUMPTCHSE[],7,FALSE),"")</f>
        <v/>
      </c>
      <c r="P18" s="250" t="str">
        <f>IFERROR(VLOOKUP(TableHandbook[[#This Row],[UDC]],TableOCTESOL1[],7,FALSE),"")</f>
        <v/>
      </c>
      <c r="Q18" s="248" t="str">
        <f>IFERROR(VLOOKUP(TableHandbook[[#This Row],[UDC]],TableOCTESOL[],7,FALSE),"")</f>
        <v/>
      </c>
      <c r="R18" s="248" t="str">
        <f>IFERROR(VLOOKUP(TableHandbook[[#This Row],[UDC]],TableOMAPLING[],7,FALSE),"")</f>
        <v/>
      </c>
      <c r="S18" s="250" t="str">
        <f>IFERROR(VLOOKUP(TableHandbook[[#This Row],[UDC]],TableOCEDHE1[],7,FALSE),"")</f>
        <v>Core</v>
      </c>
      <c r="T18" s="248" t="str">
        <f>IFERROR(VLOOKUP(TableHandbook[[#This Row],[UDC]],TableOCEDHE[],7,FALSE),"")</f>
        <v>Core</v>
      </c>
      <c r="U18" s="248" t="str">
        <f>IFERROR(VLOOKUP(TableHandbook[[#This Row],[UDC]],TableOCEDUCS1[],7,FALSE),"")</f>
        <v/>
      </c>
      <c r="V18" s="248" t="str">
        <f>IFERROR(VLOOKUP(TableHandbook[[#This Row],[UDC]],TableOCEDUC[],7,FALSE),"")</f>
        <v/>
      </c>
      <c r="W18" s="248" t="str">
        <f>IFERROR(VLOOKUP(TableHandbook[[#This Row],[UDC]],TableOGEDUC[],7,FALSE),"")</f>
        <v/>
      </c>
      <c r="X18" s="248" t="str">
        <f>IFERROR(VLOOKUP(TableHandbook[[#This Row],[UDC]],TableOUMPEDUPR[],7,FALSE),"")</f>
        <v/>
      </c>
      <c r="Y18" s="248" t="str">
        <f>IFERROR(VLOOKUP(TableHandbook[[#This Row],[UDC]],TableOUMPEDUSC[],7,FALSE),"")</f>
        <v/>
      </c>
      <c r="Z18" s="250" t="str">
        <f>IFERROR(VLOOKUP(TableHandbook[[#This Row],[UDC]],TableOMEDUC[],7,FALSE),"")</f>
        <v/>
      </c>
      <c r="AA18" s="248" t="str">
        <f>IFERROR(VLOOKUP(TableHandbook[[#This Row],[UDC]],TableOSEPCULIN[],7,FALSE),"")</f>
        <v/>
      </c>
      <c r="AB18" s="248" t="str">
        <f>IFERROR(VLOOKUP(TableHandbook[[#This Row],[UDC]],TableOSEPLNTCH[],7,FALSE),"")</f>
        <v/>
      </c>
      <c r="AC18" s="248" t="str">
        <f>IFERROR(VLOOKUP(TableHandbook[[#This Row],[UDC]],TableOSEPSTEME[],7,FALSE),"")</f>
        <v/>
      </c>
    </row>
    <row r="19" spans="1:29" x14ac:dyDescent="0.25">
      <c r="A19" s="2" t="s">
        <v>254</v>
      </c>
      <c r="B19" s="3">
        <v>1</v>
      </c>
      <c r="C19" s="3" t="s">
        <v>383</v>
      </c>
      <c r="D19" s="2" t="s">
        <v>384</v>
      </c>
      <c r="E19" s="3">
        <v>25</v>
      </c>
      <c r="F19" s="245" t="s">
        <v>357</v>
      </c>
      <c r="G19" s="247" t="str">
        <f>IFERROR(IF(VLOOKUP(TableHandbook[[#This Row],[UDC]],TableAvailabilities[],2,FALSE)&gt;0,"Y",""),"")</f>
        <v>Y</v>
      </c>
      <c r="H19" s="247" t="str">
        <f>IFERROR(IF(VLOOKUP(TableHandbook[[#This Row],[UDC]],TableAvailabilities[],3,FALSE)&gt;0,"Y",""),"")</f>
        <v/>
      </c>
      <c r="I19" s="247" t="str">
        <f>IFERROR(IF(VLOOKUP(TableHandbook[[#This Row],[UDC]],TableAvailabilities[],4,FALSE)&gt;0,"Y",""),"")</f>
        <v>Y</v>
      </c>
      <c r="J19" s="247" t="str">
        <f>IFERROR(IF(VLOOKUP(TableHandbook[[#This Row],[UDC]],TableAvailabilities[],5,FALSE)&gt;0,"Y",""),"")</f>
        <v/>
      </c>
      <c r="K19" s="2"/>
      <c r="L19" s="250" t="str">
        <f>IFERROR(VLOOKUP(TableHandbook[[#This Row],[UDC]],TableOMTEACH1[],7,FALSE),"")</f>
        <v/>
      </c>
      <c r="M19" s="248" t="str">
        <f>IFERROR(VLOOKUP(TableHandbook[[#This Row],[UDC]],TableOUMPTCHEC[],7,FALSE),"")</f>
        <v/>
      </c>
      <c r="N19" s="248" t="str">
        <f>IFERROR(VLOOKUP(TableHandbook[[#This Row],[UDC]],TableOUMPTCHPE[],7,FALSE),"")</f>
        <v/>
      </c>
      <c r="O19" s="248" t="str">
        <f>IFERROR(VLOOKUP(TableHandbook[[#This Row],[UDC]],TableOUMPTCHSE[],7,FALSE),"")</f>
        <v/>
      </c>
      <c r="P19" s="250" t="str">
        <f>IFERROR(VLOOKUP(TableHandbook[[#This Row],[UDC]],TableOCTESOL1[],7,FALSE),"")</f>
        <v/>
      </c>
      <c r="Q19" s="248" t="str">
        <f>IFERROR(VLOOKUP(TableHandbook[[#This Row],[UDC]],TableOCTESOL[],7,FALSE),"")</f>
        <v/>
      </c>
      <c r="R19" s="248" t="str">
        <f>IFERROR(VLOOKUP(TableHandbook[[#This Row],[UDC]],TableOMAPLING[],7,FALSE),"")</f>
        <v/>
      </c>
      <c r="S19" s="250" t="str">
        <f>IFERROR(VLOOKUP(TableHandbook[[#This Row],[UDC]],TableOCEDHE1[],7,FALSE),"")</f>
        <v>Core</v>
      </c>
      <c r="T19" s="248" t="str">
        <f>IFERROR(VLOOKUP(TableHandbook[[#This Row],[UDC]],TableOCEDHE[],7,FALSE),"")</f>
        <v>Core</v>
      </c>
      <c r="U19" s="248" t="str">
        <f>IFERROR(VLOOKUP(TableHandbook[[#This Row],[UDC]],TableOCEDUCS1[],7,FALSE),"")</f>
        <v/>
      </c>
      <c r="V19" s="248" t="str">
        <f>IFERROR(VLOOKUP(TableHandbook[[#This Row],[UDC]],TableOCEDUC[],7,FALSE),"")</f>
        <v/>
      </c>
      <c r="W19" s="248" t="str">
        <f>IFERROR(VLOOKUP(TableHandbook[[#This Row],[UDC]],TableOGEDUC[],7,FALSE),"")</f>
        <v/>
      </c>
      <c r="X19" s="248" t="str">
        <f>IFERROR(VLOOKUP(TableHandbook[[#This Row],[UDC]],TableOUMPEDUPR[],7,FALSE),"")</f>
        <v/>
      </c>
      <c r="Y19" s="248" t="str">
        <f>IFERROR(VLOOKUP(TableHandbook[[#This Row],[UDC]],TableOUMPEDUSC[],7,FALSE),"")</f>
        <v/>
      </c>
      <c r="Z19" s="250" t="str">
        <f>IFERROR(VLOOKUP(TableHandbook[[#This Row],[UDC]],TableOMEDUC[],7,FALSE),"")</f>
        <v/>
      </c>
      <c r="AA19" s="248" t="str">
        <f>IFERROR(VLOOKUP(TableHandbook[[#This Row],[UDC]],TableOSEPCULIN[],7,FALSE),"")</f>
        <v/>
      </c>
      <c r="AB19" s="248" t="str">
        <f>IFERROR(VLOOKUP(TableHandbook[[#This Row],[UDC]],TableOSEPLNTCH[],7,FALSE),"")</f>
        <v/>
      </c>
      <c r="AC19" s="248" t="str">
        <f>IFERROR(VLOOKUP(TableHandbook[[#This Row],[UDC]],TableOSEPSTEME[],7,FALSE),"")</f>
        <v/>
      </c>
    </row>
    <row r="20" spans="1:29" x14ac:dyDescent="0.25">
      <c r="A20" s="2" t="s">
        <v>255</v>
      </c>
      <c r="B20" s="3">
        <v>1</v>
      </c>
      <c r="C20" s="3" t="s">
        <v>385</v>
      </c>
      <c r="D20" s="2" t="s">
        <v>386</v>
      </c>
      <c r="E20" s="3">
        <v>25</v>
      </c>
      <c r="F20" s="245" t="s">
        <v>357</v>
      </c>
      <c r="G20" s="247" t="str">
        <f>IFERROR(IF(VLOOKUP(TableHandbook[[#This Row],[UDC]],TableAvailabilities[],2,FALSE)&gt;0,"Y",""),"")</f>
        <v/>
      </c>
      <c r="H20" s="247" t="str">
        <f>IFERROR(IF(VLOOKUP(TableHandbook[[#This Row],[UDC]],TableAvailabilities[],3,FALSE)&gt;0,"Y",""),"")</f>
        <v>Y</v>
      </c>
      <c r="I20" s="247" t="str">
        <f>IFERROR(IF(VLOOKUP(TableHandbook[[#This Row],[UDC]],TableAvailabilities[],4,FALSE)&gt;0,"Y",""),"")</f>
        <v/>
      </c>
      <c r="J20" s="247" t="str">
        <f>IFERROR(IF(VLOOKUP(TableHandbook[[#This Row],[UDC]],TableAvailabilities[],5,FALSE)&gt;0,"Y",""),"")</f>
        <v>Y</v>
      </c>
      <c r="K20" s="2"/>
      <c r="L20" s="250" t="str">
        <f>IFERROR(VLOOKUP(TableHandbook[[#This Row],[UDC]],TableOMTEACH1[],7,FALSE),"")</f>
        <v/>
      </c>
      <c r="M20" s="248" t="str">
        <f>IFERROR(VLOOKUP(TableHandbook[[#This Row],[UDC]],TableOUMPTCHEC[],7,FALSE),"")</f>
        <v/>
      </c>
      <c r="N20" s="248" t="str">
        <f>IFERROR(VLOOKUP(TableHandbook[[#This Row],[UDC]],TableOUMPTCHPE[],7,FALSE),"")</f>
        <v/>
      </c>
      <c r="O20" s="248" t="str">
        <f>IFERROR(VLOOKUP(TableHandbook[[#This Row],[UDC]],TableOUMPTCHSE[],7,FALSE),"")</f>
        <v/>
      </c>
      <c r="P20" s="250" t="str">
        <f>IFERROR(VLOOKUP(TableHandbook[[#This Row],[UDC]],TableOCTESOL1[],7,FALSE),"")</f>
        <v/>
      </c>
      <c r="Q20" s="248" t="str">
        <f>IFERROR(VLOOKUP(TableHandbook[[#This Row],[UDC]],TableOCTESOL[],7,FALSE),"")</f>
        <v/>
      </c>
      <c r="R20" s="248" t="str">
        <f>IFERROR(VLOOKUP(TableHandbook[[#This Row],[UDC]],TableOMAPLING[],7,FALSE),"")</f>
        <v/>
      </c>
      <c r="S20" s="250" t="str">
        <f>IFERROR(VLOOKUP(TableHandbook[[#This Row],[UDC]],TableOCEDHE1[],7,FALSE),"")</f>
        <v>Core</v>
      </c>
      <c r="T20" s="248" t="str">
        <f>IFERROR(VLOOKUP(TableHandbook[[#This Row],[UDC]],TableOCEDHE[],7,FALSE),"")</f>
        <v>Core</v>
      </c>
      <c r="U20" s="248" t="str">
        <f>IFERROR(VLOOKUP(TableHandbook[[#This Row],[UDC]],TableOCEDUCS1[],7,FALSE),"")</f>
        <v/>
      </c>
      <c r="V20" s="248" t="str">
        <f>IFERROR(VLOOKUP(TableHandbook[[#This Row],[UDC]],TableOCEDUC[],7,FALSE),"")</f>
        <v/>
      </c>
      <c r="W20" s="248" t="str">
        <f>IFERROR(VLOOKUP(TableHandbook[[#This Row],[UDC]],TableOGEDUC[],7,FALSE),"")</f>
        <v/>
      </c>
      <c r="X20" s="248" t="str">
        <f>IFERROR(VLOOKUP(TableHandbook[[#This Row],[UDC]],TableOUMPEDUPR[],7,FALSE),"")</f>
        <v/>
      </c>
      <c r="Y20" s="248" t="str">
        <f>IFERROR(VLOOKUP(TableHandbook[[#This Row],[UDC]],TableOUMPEDUSC[],7,FALSE),"")</f>
        <v/>
      </c>
      <c r="Z20" s="250" t="str">
        <f>IFERROR(VLOOKUP(TableHandbook[[#This Row],[UDC]],TableOMEDUC[],7,FALSE),"")</f>
        <v/>
      </c>
      <c r="AA20" s="248" t="str">
        <f>IFERROR(VLOOKUP(TableHandbook[[#This Row],[UDC]],TableOSEPCULIN[],7,FALSE),"")</f>
        <v/>
      </c>
      <c r="AB20" s="248" t="str">
        <f>IFERROR(VLOOKUP(TableHandbook[[#This Row],[UDC]],TableOSEPLNTCH[],7,FALSE),"")</f>
        <v/>
      </c>
      <c r="AC20" s="248" t="str">
        <f>IFERROR(VLOOKUP(TableHandbook[[#This Row],[UDC]],TableOSEPSTEME[],7,FALSE),"")</f>
        <v/>
      </c>
    </row>
    <row r="21" spans="1:29" x14ac:dyDescent="0.25">
      <c r="A21" s="2" t="s">
        <v>87</v>
      </c>
      <c r="B21" s="3">
        <v>1</v>
      </c>
      <c r="C21" s="3" t="s">
        <v>387</v>
      </c>
      <c r="D21" s="2" t="s">
        <v>388</v>
      </c>
      <c r="E21" s="3">
        <v>25</v>
      </c>
      <c r="F21" s="245" t="s">
        <v>357</v>
      </c>
      <c r="G21" s="247" t="str">
        <f>IFERROR(IF(VLOOKUP(TableHandbook[[#This Row],[UDC]],TableAvailabilities[],2,FALSE)&gt;0,"Y",""),"")</f>
        <v/>
      </c>
      <c r="H21" s="247" t="str">
        <f>IFERROR(IF(VLOOKUP(TableHandbook[[#This Row],[UDC]],TableAvailabilities[],3,FALSE)&gt;0,"Y",""),"")</f>
        <v>Y</v>
      </c>
      <c r="I21" s="247" t="str">
        <f>IFERROR(IF(VLOOKUP(TableHandbook[[#This Row],[UDC]],TableAvailabilities[],4,FALSE)&gt;0,"Y",""),"")</f>
        <v/>
      </c>
      <c r="J21" s="247" t="str">
        <f>IFERROR(IF(VLOOKUP(TableHandbook[[#This Row],[UDC]],TableAvailabilities[],5,FALSE)&gt;0,"Y",""),"")</f>
        <v>Y</v>
      </c>
      <c r="K21" s="2"/>
      <c r="L21" s="250" t="str">
        <f>IFERROR(VLOOKUP(TableHandbook[[#This Row],[UDC]],TableOMTEACH1[],7,FALSE),"")</f>
        <v/>
      </c>
      <c r="M21" s="248" t="str">
        <f>IFERROR(VLOOKUP(TableHandbook[[#This Row],[UDC]],TableOUMPTCHEC[],7,FALSE),"")</f>
        <v/>
      </c>
      <c r="N21" s="248" t="str">
        <f>IFERROR(VLOOKUP(TableHandbook[[#This Row],[UDC]],TableOUMPTCHPE[],7,FALSE),"")</f>
        <v>Core</v>
      </c>
      <c r="O21" s="248" t="str">
        <f>IFERROR(VLOOKUP(TableHandbook[[#This Row],[UDC]],TableOUMPTCHSE[],7,FALSE),"")</f>
        <v/>
      </c>
      <c r="P21" s="250" t="str">
        <f>IFERROR(VLOOKUP(TableHandbook[[#This Row],[UDC]],TableOCTESOL1[],7,FALSE),"")</f>
        <v/>
      </c>
      <c r="Q21" s="248" t="str">
        <f>IFERROR(VLOOKUP(TableHandbook[[#This Row],[UDC]],TableOCTESOL[],7,FALSE),"")</f>
        <v/>
      </c>
      <c r="R21" s="248" t="str">
        <f>IFERROR(VLOOKUP(TableHandbook[[#This Row],[UDC]],TableOMAPLING[],7,FALSE),"")</f>
        <v/>
      </c>
      <c r="S21" s="250" t="str">
        <f>IFERROR(VLOOKUP(TableHandbook[[#This Row],[UDC]],TableOCEDHE1[],7,FALSE),"")</f>
        <v/>
      </c>
      <c r="T21" s="248" t="str">
        <f>IFERROR(VLOOKUP(TableHandbook[[#This Row],[UDC]],TableOCEDHE[],7,FALSE),"")</f>
        <v/>
      </c>
      <c r="U21" s="248" t="str">
        <f>IFERROR(VLOOKUP(TableHandbook[[#This Row],[UDC]],TableOCEDUCS1[],7,FALSE),"")</f>
        <v>Option</v>
      </c>
      <c r="V21" s="248" t="str">
        <f>IFERROR(VLOOKUP(TableHandbook[[#This Row],[UDC]],TableOCEDUC[],7,FALSE),"")</f>
        <v>Option</v>
      </c>
      <c r="W21" s="248" t="str">
        <f>IFERROR(VLOOKUP(TableHandbook[[#This Row],[UDC]],TableOGEDUC[],7,FALSE),"")</f>
        <v/>
      </c>
      <c r="X21" s="248" t="str">
        <f>IFERROR(VLOOKUP(TableHandbook[[#This Row],[UDC]],TableOUMPEDUPR[],7,FALSE),"")</f>
        <v>Core</v>
      </c>
      <c r="Y21" s="248" t="str">
        <f>IFERROR(VLOOKUP(TableHandbook[[#This Row],[UDC]],TableOUMPEDUSC[],7,FALSE),"")</f>
        <v/>
      </c>
      <c r="Z21" s="250" t="str">
        <f>IFERROR(VLOOKUP(TableHandbook[[#This Row],[UDC]],TableOMEDUC[],7,FALSE),"")</f>
        <v/>
      </c>
      <c r="AA21" s="248" t="str">
        <f>IFERROR(VLOOKUP(TableHandbook[[#This Row],[UDC]],TableOSEPCULIN[],7,FALSE),"")</f>
        <v/>
      </c>
      <c r="AB21" s="248" t="str">
        <f>IFERROR(VLOOKUP(TableHandbook[[#This Row],[UDC]],TableOSEPLNTCH[],7,FALSE),"")</f>
        <v/>
      </c>
      <c r="AC21" s="248" t="str">
        <f>IFERROR(VLOOKUP(TableHandbook[[#This Row],[UDC]],TableOSEPSTEME[],7,FALSE),"")</f>
        <v/>
      </c>
    </row>
    <row r="22" spans="1:29" x14ac:dyDescent="0.25">
      <c r="A22" s="2" t="s">
        <v>92</v>
      </c>
      <c r="B22" s="3">
        <v>3</v>
      </c>
      <c r="C22" s="3" t="s">
        <v>389</v>
      </c>
      <c r="D22" s="2" t="s">
        <v>390</v>
      </c>
      <c r="E22" s="3">
        <v>25</v>
      </c>
      <c r="F22" s="245" t="s">
        <v>357</v>
      </c>
      <c r="G22" s="247" t="str">
        <f>IFERROR(IF(VLOOKUP(TableHandbook[[#This Row],[UDC]],TableAvailabilities[],2,FALSE)&gt;0,"Y",""),"")</f>
        <v>Y</v>
      </c>
      <c r="H22" s="247" t="str">
        <f>IFERROR(IF(VLOOKUP(TableHandbook[[#This Row],[UDC]],TableAvailabilities[],3,FALSE)&gt;0,"Y",""),"")</f>
        <v>Y</v>
      </c>
      <c r="I22" s="247" t="str">
        <f>IFERROR(IF(VLOOKUP(TableHandbook[[#This Row],[UDC]],TableAvailabilities[],4,FALSE)&gt;0,"Y",""),"")</f>
        <v/>
      </c>
      <c r="J22" s="247" t="str">
        <f>IFERROR(IF(VLOOKUP(TableHandbook[[#This Row],[UDC]],TableAvailabilities[],5,FALSE)&gt;0,"Y",""),"")</f>
        <v/>
      </c>
      <c r="K22" s="2"/>
      <c r="L22" s="250" t="str">
        <f>IFERROR(VLOOKUP(TableHandbook[[#This Row],[UDC]],TableOMTEACH1[],7,FALSE),"")</f>
        <v/>
      </c>
      <c r="M22" s="248" t="str">
        <f>IFERROR(VLOOKUP(TableHandbook[[#This Row],[UDC]],TableOUMPTCHEC[],7,FALSE),"")</f>
        <v/>
      </c>
      <c r="N22" s="248" t="str">
        <f>IFERROR(VLOOKUP(TableHandbook[[#This Row],[UDC]],TableOUMPTCHPE[],7,FALSE),"")</f>
        <v>Core</v>
      </c>
      <c r="O22" s="248" t="str">
        <f>IFERROR(VLOOKUP(TableHandbook[[#This Row],[UDC]],TableOUMPTCHSE[],7,FALSE),"")</f>
        <v/>
      </c>
      <c r="P22" s="250" t="str">
        <f>IFERROR(VLOOKUP(TableHandbook[[#This Row],[UDC]],TableOCTESOL1[],7,FALSE),"")</f>
        <v/>
      </c>
      <c r="Q22" s="248" t="str">
        <f>IFERROR(VLOOKUP(TableHandbook[[#This Row],[UDC]],TableOCTESOL[],7,FALSE),"")</f>
        <v/>
      </c>
      <c r="R22" s="248" t="str">
        <f>IFERROR(VLOOKUP(TableHandbook[[#This Row],[UDC]],TableOMAPLING[],7,FALSE),"")</f>
        <v/>
      </c>
      <c r="S22" s="250" t="str">
        <f>IFERROR(VLOOKUP(TableHandbook[[#This Row],[UDC]],TableOCEDHE1[],7,FALSE),"")</f>
        <v/>
      </c>
      <c r="T22" s="248" t="str">
        <f>IFERROR(VLOOKUP(TableHandbook[[#This Row],[UDC]],TableOCEDHE[],7,FALSE),"")</f>
        <v/>
      </c>
      <c r="U22" s="248" t="str">
        <f>IFERROR(VLOOKUP(TableHandbook[[#This Row],[UDC]],TableOCEDUCS1[],7,FALSE),"")</f>
        <v/>
      </c>
      <c r="V22" s="248" t="str">
        <f>IFERROR(VLOOKUP(TableHandbook[[#This Row],[UDC]],TableOCEDUC[],7,FALSE),"")</f>
        <v/>
      </c>
      <c r="W22" s="248" t="str">
        <f>IFERROR(VLOOKUP(TableHandbook[[#This Row],[UDC]],TableOGEDUC[],7,FALSE),"")</f>
        <v/>
      </c>
      <c r="X22" s="248" t="str">
        <f>IFERROR(VLOOKUP(TableHandbook[[#This Row],[UDC]],TableOUMPEDUPR[],7,FALSE),"")</f>
        <v>Core</v>
      </c>
      <c r="Y22" s="248" t="str">
        <f>IFERROR(VLOOKUP(TableHandbook[[#This Row],[UDC]],TableOUMPEDUSC[],7,FALSE),"")</f>
        <v/>
      </c>
      <c r="Z22" s="250" t="str">
        <f>IFERROR(VLOOKUP(TableHandbook[[#This Row],[UDC]],TableOMEDUC[],7,FALSE),"")</f>
        <v/>
      </c>
      <c r="AA22" s="248" t="str">
        <f>IFERROR(VLOOKUP(TableHandbook[[#This Row],[UDC]],TableOSEPCULIN[],7,FALSE),"")</f>
        <v/>
      </c>
      <c r="AB22" s="248" t="str">
        <f>IFERROR(VLOOKUP(TableHandbook[[#This Row],[UDC]],TableOSEPLNTCH[],7,FALSE),"")</f>
        <v/>
      </c>
      <c r="AC22" s="248" t="str">
        <f>IFERROR(VLOOKUP(TableHandbook[[#This Row],[UDC]],TableOSEPSTEME[],7,FALSE),"")</f>
        <v/>
      </c>
    </row>
    <row r="23" spans="1:29" x14ac:dyDescent="0.25">
      <c r="A23" s="2" t="s">
        <v>86</v>
      </c>
      <c r="B23" s="3">
        <v>1</v>
      </c>
      <c r="C23" s="3" t="s">
        <v>391</v>
      </c>
      <c r="D23" s="2" t="s">
        <v>392</v>
      </c>
      <c r="E23" s="3">
        <v>25</v>
      </c>
      <c r="F23" s="245" t="s">
        <v>357</v>
      </c>
      <c r="G23" s="247" t="str">
        <f>IFERROR(IF(VLOOKUP(TableHandbook[[#This Row],[UDC]],TableAvailabilities[],2,FALSE)&gt;0,"Y",""),"")</f>
        <v/>
      </c>
      <c r="H23" s="247" t="str">
        <f>IFERROR(IF(VLOOKUP(TableHandbook[[#This Row],[UDC]],TableAvailabilities[],3,FALSE)&gt;0,"Y",""),"")</f>
        <v>Y</v>
      </c>
      <c r="I23" s="247" t="str">
        <f>IFERROR(IF(VLOOKUP(TableHandbook[[#This Row],[UDC]],TableAvailabilities[],4,FALSE)&gt;0,"Y",""),"")</f>
        <v/>
      </c>
      <c r="J23" s="247" t="str">
        <f>IFERROR(IF(VLOOKUP(TableHandbook[[#This Row],[UDC]],TableAvailabilities[],5,FALSE)&gt;0,"Y",""),"")</f>
        <v/>
      </c>
      <c r="K23" s="2"/>
      <c r="L23" s="250" t="str">
        <f>IFERROR(VLOOKUP(TableHandbook[[#This Row],[UDC]],TableOMTEACH1[],7,FALSE),"")</f>
        <v/>
      </c>
      <c r="M23" s="248" t="str">
        <f>IFERROR(VLOOKUP(TableHandbook[[#This Row],[UDC]],TableOUMPTCHEC[],7,FALSE),"")</f>
        <v/>
      </c>
      <c r="N23" s="248" t="str">
        <f>IFERROR(VLOOKUP(TableHandbook[[#This Row],[UDC]],TableOUMPTCHPE[],7,FALSE),"")</f>
        <v>Core</v>
      </c>
      <c r="O23" s="248" t="str">
        <f>IFERROR(VLOOKUP(TableHandbook[[#This Row],[UDC]],TableOUMPTCHSE[],7,FALSE),"")</f>
        <v/>
      </c>
      <c r="P23" s="250" t="str">
        <f>IFERROR(VLOOKUP(TableHandbook[[#This Row],[UDC]],TableOCTESOL1[],7,FALSE),"")</f>
        <v/>
      </c>
      <c r="Q23" s="248" t="str">
        <f>IFERROR(VLOOKUP(TableHandbook[[#This Row],[UDC]],TableOCTESOL[],7,FALSE),"")</f>
        <v/>
      </c>
      <c r="R23" s="248" t="str">
        <f>IFERROR(VLOOKUP(TableHandbook[[#This Row],[UDC]],TableOMAPLING[],7,FALSE),"")</f>
        <v/>
      </c>
      <c r="S23" s="250" t="str">
        <f>IFERROR(VLOOKUP(TableHandbook[[#This Row],[UDC]],TableOCEDHE1[],7,FALSE),"")</f>
        <v/>
      </c>
      <c r="T23" s="248" t="str">
        <f>IFERROR(VLOOKUP(TableHandbook[[#This Row],[UDC]],TableOCEDHE[],7,FALSE),"")</f>
        <v/>
      </c>
      <c r="U23" s="248" t="str">
        <f>IFERROR(VLOOKUP(TableHandbook[[#This Row],[UDC]],TableOCEDUCS1[],7,FALSE),"")</f>
        <v>Option</v>
      </c>
      <c r="V23" s="248" t="str">
        <f>IFERROR(VLOOKUP(TableHandbook[[#This Row],[UDC]],TableOCEDUC[],7,FALSE),"")</f>
        <v>Option</v>
      </c>
      <c r="W23" s="248" t="str">
        <f>IFERROR(VLOOKUP(TableHandbook[[#This Row],[UDC]],TableOGEDUC[],7,FALSE),"")</f>
        <v/>
      </c>
      <c r="X23" s="248" t="str">
        <f>IFERROR(VLOOKUP(TableHandbook[[#This Row],[UDC]],TableOUMPEDUPR[],7,FALSE),"")</f>
        <v>Core</v>
      </c>
      <c r="Y23" s="248" t="str">
        <f>IFERROR(VLOOKUP(TableHandbook[[#This Row],[UDC]],TableOUMPEDUSC[],7,FALSE),"")</f>
        <v/>
      </c>
      <c r="Z23" s="250" t="str">
        <f>IFERROR(VLOOKUP(TableHandbook[[#This Row],[UDC]],TableOMEDUC[],7,FALSE),"")</f>
        <v/>
      </c>
      <c r="AA23" s="248" t="str">
        <f>IFERROR(VLOOKUP(TableHandbook[[#This Row],[UDC]],TableOSEPCULIN[],7,FALSE),"")</f>
        <v/>
      </c>
      <c r="AB23" s="248" t="str">
        <f>IFERROR(VLOOKUP(TableHandbook[[#This Row],[UDC]],TableOSEPLNTCH[],7,FALSE),"")</f>
        <v/>
      </c>
      <c r="AC23" s="248" t="str">
        <f>IFERROR(VLOOKUP(TableHandbook[[#This Row],[UDC]],TableOSEPSTEME[],7,FALSE),"")</f>
        <v/>
      </c>
    </row>
    <row r="24" spans="1:29" x14ac:dyDescent="0.25">
      <c r="A24" s="2" t="s">
        <v>100</v>
      </c>
      <c r="B24" s="3">
        <v>1</v>
      </c>
      <c r="C24" s="3" t="s">
        <v>393</v>
      </c>
      <c r="D24" s="2" t="s">
        <v>394</v>
      </c>
      <c r="E24" s="3">
        <v>25</v>
      </c>
      <c r="F24" s="287" t="s">
        <v>389</v>
      </c>
      <c r="G24" s="247" t="str">
        <f>IFERROR(IF(VLOOKUP(TableHandbook[[#This Row],[UDC]],TableAvailabilities[],2,FALSE)&gt;0,"Y",""),"")</f>
        <v/>
      </c>
      <c r="H24" s="247" t="str">
        <f>IFERROR(IF(VLOOKUP(TableHandbook[[#This Row],[UDC]],TableAvailabilities[],3,FALSE)&gt;0,"Y",""),"")</f>
        <v>Y</v>
      </c>
      <c r="I24" s="247" t="str">
        <f>IFERROR(IF(VLOOKUP(TableHandbook[[#This Row],[UDC]],TableAvailabilities[],4,FALSE)&gt;0,"Y",""),"")</f>
        <v>Y</v>
      </c>
      <c r="J24" s="247" t="str">
        <f>IFERROR(IF(VLOOKUP(TableHandbook[[#This Row],[UDC]],TableAvailabilities[],5,FALSE)&gt;0,"Y",""),"")</f>
        <v/>
      </c>
      <c r="K24" s="2"/>
      <c r="L24" s="250" t="str">
        <f>IFERROR(VLOOKUP(TableHandbook[[#This Row],[UDC]],TableOMTEACH1[],7,FALSE),"")</f>
        <v/>
      </c>
      <c r="M24" s="248" t="str">
        <f>IFERROR(VLOOKUP(TableHandbook[[#This Row],[UDC]],TableOUMPTCHEC[],7,FALSE),"")</f>
        <v/>
      </c>
      <c r="N24" s="248" t="str">
        <f>IFERROR(VLOOKUP(TableHandbook[[#This Row],[UDC]],TableOUMPTCHPE[],7,FALSE),"")</f>
        <v>Core</v>
      </c>
      <c r="O24" s="248" t="str">
        <f>IFERROR(VLOOKUP(TableHandbook[[#This Row],[UDC]],TableOUMPTCHSE[],7,FALSE),"")</f>
        <v/>
      </c>
      <c r="P24" s="250" t="str">
        <f>IFERROR(VLOOKUP(TableHandbook[[#This Row],[UDC]],TableOCTESOL1[],7,FALSE),"")</f>
        <v/>
      </c>
      <c r="Q24" s="248" t="str">
        <f>IFERROR(VLOOKUP(TableHandbook[[#This Row],[UDC]],TableOCTESOL[],7,FALSE),"")</f>
        <v/>
      </c>
      <c r="R24" s="248" t="str">
        <f>IFERROR(VLOOKUP(TableHandbook[[#This Row],[UDC]],TableOMAPLING[],7,FALSE),"")</f>
        <v/>
      </c>
      <c r="S24" s="250" t="str">
        <f>IFERROR(VLOOKUP(TableHandbook[[#This Row],[UDC]],TableOCEDHE1[],7,FALSE),"")</f>
        <v/>
      </c>
      <c r="T24" s="248" t="str">
        <f>IFERROR(VLOOKUP(TableHandbook[[#This Row],[UDC]],TableOCEDHE[],7,FALSE),"")</f>
        <v/>
      </c>
      <c r="U24" s="248" t="str">
        <f>IFERROR(VLOOKUP(TableHandbook[[#This Row],[UDC]],TableOCEDUCS1[],7,FALSE),"")</f>
        <v/>
      </c>
      <c r="V24" s="248" t="str">
        <f>IFERROR(VLOOKUP(TableHandbook[[#This Row],[UDC]],TableOCEDUC[],7,FALSE),"")</f>
        <v/>
      </c>
      <c r="W24" s="248" t="str">
        <f>IFERROR(VLOOKUP(TableHandbook[[#This Row],[UDC]],TableOGEDUC[],7,FALSE),"")</f>
        <v/>
      </c>
      <c r="X24" s="248" t="str">
        <f>IFERROR(VLOOKUP(TableHandbook[[#This Row],[UDC]],TableOUMPEDUPR[],7,FALSE),"")</f>
        <v>Core</v>
      </c>
      <c r="Y24" s="248" t="str">
        <f>IFERROR(VLOOKUP(TableHandbook[[#This Row],[UDC]],TableOUMPEDUSC[],7,FALSE),"")</f>
        <v/>
      </c>
      <c r="Z24" s="250" t="str">
        <f>IFERROR(VLOOKUP(TableHandbook[[#This Row],[UDC]],TableOMEDUC[],7,FALSE),"")</f>
        <v/>
      </c>
      <c r="AA24" s="248" t="str">
        <f>IFERROR(VLOOKUP(TableHandbook[[#This Row],[UDC]],TableOSEPCULIN[],7,FALSE),"")</f>
        <v/>
      </c>
      <c r="AB24" s="248" t="str">
        <f>IFERROR(VLOOKUP(TableHandbook[[#This Row],[UDC]],TableOSEPLNTCH[],7,FALSE),"")</f>
        <v/>
      </c>
      <c r="AC24" s="248" t="str">
        <f>IFERROR(VLOOKUP(TableHandbook[[#This Row],[UDC]],TableOSEPSTEME[],7,FALSE),"")</f>
        <v/>
      </c>
    </row>
    <row r="25" spans="1:29" x14ac:dyDescent="0.25">
      <c r="A25" s="2" t="s">
        <v>116</v>
      </c>
      <c r="B25" s="3">
        <v>2</v>
      </c>
      <c r="C25" s="3" t="s">
        <v>395</v>
      </c>
      <c r="D25" s="2" t="s">
        <v>396</v>
      </c>
      <c r="E25" s="3">
        <v>25</v>
      </c>
      <c r="F25" s="245" t="s">
        <v>357</v>
      </c>
      <c r="G25" s="247" t="str">
        <f>IFERROR(IF(VLOOKUP(TableHandbook[[#This Row],[UDC]],TableAvailabilities[],2,FALSE)&gt;0,"Y",""),"")</f>
        <v/>
      </c>
      <c r="H25" s="247" t="str">
        <f>IFERROR(IF(VLOOKUP(TableHandbook[[#This Row],[UDC]],TableAvailabilities[],3,FALSE)&gt;0,"Y",""),"")</f>
        <v>Y</v>
      </c>
      <c r="I25" s="247" t="str">
        <f>IFERROR(IF(VLOOKUP(TableHandbook[[#This Row],[UDC]],TableAvailabilities[],4,FALSE)&gt;0,"Y",""),"")</f>
        <v/>
      </c>
      <c r="J25" s="247" t="str">
        <f>IFERROR(IF(VLOOKUP(TableHandbook[[#This Row],[UDC]],TableAvailabilities[],5,FALSE)&gt;0,"Y",""),"")</f>
        <v/>
      </c>
      <c r="K25" s="2"/>
      <c r="L25" s="250" t="str">
        <f>IFERROR(VLOOKUP(TableHandbook[[#This Row],[UDC]],TableOMTEACH1[],7,FALSE),"")</f>
        <v/>
      </c>
      <c r="M25" s="248" t="str">
        <f>IFERROR(VLOOKUP(TableHandbook[[#This Row],[UDC]],TableOUMPTCHEC[],7,FALSE),"")</f>
        <v/>
      </c>
      <c r="N25" s="248" t="str">
        <f>IFERROR(VLOOKUP(TableHandbook[[#This Row],[UDC]],TableOUMPTCHPE[],7,FALSE),"")</f>
        <v>Core</v>
      </c>
      <c r="O25" s="248" t="str">
        <f>IFERROR(VLOOKUP(TableHandbook[[#This Row],[UDC]],TableOUMPTCHSE[],7,FALSE),"")</f>
        <v/>
      </c>
      <c r="P25" s="250" t="str">
        <f>IFERROR(VLOOKUP(TableHandbook[[#This Row],[UDC]],TableOCTESOL1[],7,FALSE),"")</f>
        <v/>
      </c>
      <c r="Q25" s="248" t="str">
        <f>IFERROR(VLOOKUP(TableHandbook[[#This Row],[UDC]],TableOCTESOL[],7,FALSE),"")</f>
        <v/>
      </c>
      <c r="R25" s="248" t="str">
        <f>IFERROR(VLOOKUP(TableHandbook[[#This Row],[UDC]],TableOMAPLING[],7,FALSE),"")</f>
        <v/>
      </c>
      <c r="S25" s="250" t="str">
        <f>IFERROR(VLOOKUP(TableHandbook[[#This Row],[UDC]],TableOCEDHE1[],7,FALSE),"")</f>
        <v/>
      </c>
      <c r="T25" s="248" t="str">
        <f>IFERROR(VLOOKUP(TableHandbook[[#This Row],[UDC]],TableOCEDHE[],7,FALSE),"")</f>
        <v/>
      </c>
      <c r="U25" s="248" t="str">
        <f>IFERROR(VLOOKUP(TableHandbook[[#This Row],[UDC]],TableOCEDUCS1[],7,FALSE),"")</f>
        <v/>
      </c>
      <c r="V25" s="248" t="str">
        <f>IFERROR(VLOOKUP(TableHandbook[[#This Row],[UDC]],TableOCEDUC[],7,FALSE),"")</f>
        <v/>
      </c>
      <c r="W25" s="248" t="str">
        <f>IFERROR(VLOOKUP(TableHandbook[[#This Row],[UDC]],TableOGEDUC[],7,FALSE),"")</f>
        <v/>
      </c>
      <c r="X25" s="248" t="str">
        <f>IFERROR(VLOOKUP(TableHandbook[[#This Row],[UDC]],TableOUMPEDUPR[],7,FALSE),"")</f>
        <v/>
      </c>
      <c r="Y25" s="248" t="str">
        <f>IFERROR(VLOOKUP(TableHandbook[[#This Row],[UDC]],TableOUMPEDUSC[],7,FALSE),"")</f>
        <v/>
      </c>
      <c r="Z25" s="250" t="str">
        <f>IFERROR(VLOOKUP(TableHandbook[[#This Row],[UDC]],TableOMEDUC[],7,FALSE),"")</f>
        <v/>
      </c>
      <c r="AA25" s="248" t="str">
        <f>IFERROR(VLOOKUP(TableHandbook[[#This Row],[UDC]],TableOSEPCULIN[],7,FALSE),"")</f>
        <v/>
      </c>
      <c r="AB25" s="248" t="str">
        <f>IFERROR(VLOOKUP(TableHandbook[[#This Row],[UDC]],TableOSEPLNTCH[],7,FALSE),"")</f>
        <v/>
      </c>
      <c r="AC25" s="248" t="str">
        <f>IFERROR(VLOOKUP(TableHandbook[[#This Row],[UDC]],TableOSEPSTEME[],7,FALSE),"")</f>
        <v/>
      </c>
    </row>
    <row r="26" spans="1:29" x14ac:dyDescent="0.25">
      <c r="A26" s="2" t="s">
        <v>115</v>
      </c>
      <c r="B26" s="3">
        <v>1</v>
      </c>
      <c r="C26" s="3" t="s">
        <v>397</v>
      </c>
      <c r="D26" s="2" t="s">
        <v>398</v>
      </c>
      <c r="E26" s="3">
        <v>25</v>
      </c>
      <c r="F26" s="245" t="s">
        <v>357</v>
      </c>
      <c r="G26" s="247" t="str">
        <f>IFERROR(IF(VLOOKUP(TableHandbook[[#This Row],[UDC]],TableAvailabilities[],2,FALSE)&gt;0,"Y",""),"")</f>
        <v>Y</v>
      </c>
      <c r="H26" s="247" t="str">
        <f>IFERROR(IF(VLOOKUP(TableHandbook[[#This Row],[UDC]],TableAvailabilities[],3,FALSE)&gt;0,"Y",""),"")</f>
        <v/>
      </c>
      <c r="I26" s="247" t="str">
        <f>IFERROR(IF(VLOOKUP(TableHandbook[[#This Row],[UDC]],TableAvailabilities[],4,FALSE)&gt;0,"Y",""),"")</f>
        <v/>
      </c>
      <c r="J26" s="247" t="str">
        <f>IFERROR(IF(VLOOKUP(TableHandbook[[#This Row],[UDC]],TableAvailabilities[],5,FALSE)&gt;0,"Y",""),"")</f>
        <v/>
      </c>
      <c r="K26" s="2"/>
      <c r="L26" s="250" t="str">
        <f>IFERROR(VLOOKUP(TableHandbook[[#This Row],[UDC]],TableOMTEACH1[],7,FALSE),"")</f>
        <v/>
      </c>
      <c r="M26" s="248" t="str">
        <f>IFERROR(VLOOKUP(TableHandbook[[#This Row],[UDC]],TableOUMPTCHEC[],7,FALSE),"")</f>
        <v/>
      </c>
      <c r="N26" s="248" t="str">
        <f>IFERROR(VLOOKUP(TableHandbook[[#This Row],[UDC]],TableOUMPTCHPE[],7,FALSE),"")</f>
        <v>Core</v>
      </c>
      <c r="O26" s="248" t="str">
        <f>IFERROR(VLOOKUP(TableHandbook[[#This Row],[UDC]],TableOUMPTCHSE[],7,FALSE),"")</f>
        <v/>
      </c>
      <c r="P26" s="250" t="str">
        <f>IFERROR(VLOOKUP(TableHandbook[[#This Row],[UDC]],TableOCTESOL1[],7,FALSE),"")</f>
        <v/>
      </c>
      <c r="Q26" s="248" t="str">
        <f>IFERROR(VLOOKUP(TableHandbook[[#This Row],[UDC]],TableOCTESOL[],7,FALSE),"")</f>
        <v/>
      </c>
      <c r="R26" s="248" t="str">
        <f>IFERROR(VLOOKUP(TableHandbook[[#This Row],[UDC]],TableOMAPLING[],7,FALSE),"")</f>
        <v/>
      </c>
      <c r="S26" s="250" t="str">
        <f>IFERROR(VLOOKUP(TableHandbook[[#This Row],[UDC]],TableOCEDHE1[],7,FALSE),"")</f>
        <v/>
      </c>
      <c r="T26" s="248" t="str">
        <f>IFERROR(VLOOKUP(TableHandbook[[#This Row],[UDC]],TableOCEDHE[],7,FALSE),"")</f>
        <v/>
      </c>
      <c r="U26" s="248" t="str">
        <f>IFERROR(VLOOKUP(TableHandbook[[#This Row],[UDC]],TableOCEDUCS1[],7,FALSE),"")</f>
        <v>Option</v>
      </c>
      <c r="V26" s="248" t="str">
        <f>IFERROR(VLOOKUP(TableHandbook[[#This Row],[UDC]],TableOCEDUC[],7,FALSE),"")</f>
        <v>Option</v>
      </c>
      <c r="W26" s="248" t="str">
        <f>IFERROR(VLOOKUP(TableHandbook[[#This Row],[UDC]],TableOGEDUC[],7,FALSE),"")</f>
        <v/>
      </c>
      <c r="X26" s="248" t="str">
        <f>IFERROR(VLOOKUP(TableHandbook[[#This Row],[UDC]],TableOUMPEDUPR[],7,FALSE),"")</f>
        <v/>
      </c>
      <c r="Y26" s="248" t="str">
        <f>IFERROR(VLOOKUP(TableHandbook[[#This Row],[UDC]],TableOUMPEDUSC[],7,FALSE),"")</f>
        <v/>
      </c>
      <c r="Z26" s="250" t="str">
        <f>IFERROR(VLOOKUP(TableHandbook[[#This Row],[UDC]],TableOMEDUC[],7,FALSE),"")</f>
        <v/>
      </c>
      <c r="AA26" s="248" t="str">
        <f>IFERROR(VLOOKUP(TableHandbook[[#This Row],[UDC]],TableOSEPCULIN[],7,FALSE),"")</f>
        <v/>
      </c>
      <c r="AB26" s="248" t="str">
        <f>IFERROR(VLOOKUP(TableHandbook[[#This Row],[UDC]],TableOSEPLNTCH[],7,FALSE),"")</f>
        <v/>
      </c>
      <c r="AC26" s="248" t="str">
        <f>IFERROR(VLOOKUP(TableHandbook[[#This Row],[UDC]],TableOSEPSTEME[],7,FALSE),"")</f>
        <v/>
      </c>
    </row>
    <row r="27" spans="1:29" x14ac:dyDescent="0.25">
      <c r="A27" s="2" t="s">
        <v>108</v>
      </c>
      <c r="B27" s="3">
        <v>1</v>
      </c>
      <c r="C27" s="3" t="s">
        <v>399</v>
      </c>
      <c r="D27" s="2" t="s">
        <v>400</v>
      </c>
      <c r="E27" s="3">
        <v>25</v>
      </c>
      <c r="F27" s="245" t="s">
        <v>357</v>
      </c>
      <c r="G27" s="247" t="str">
        <f>IFERROR(IF(VLOOKUP(TableHandbook[[#This Row],[UDC]],TableAvailabilities[],2,FALSE)&gt;0,"Y",""),"")</f>
        <v/>
      </c>
      <c r="H27" s="247" t="str">
        <f>IFERROR(IF(VLOOKUP(TableHandbook[[#This Row],[UDC]],TableAvailabilities[],3,FALSE)&gt;0,"Y",""),"")</f>
        <v/>
      </c>
      <c r="I27" s="247" t="str">
        <f>IFERROR(IF(VLOOKUP(TableHandbook[[#This Row],[UDC]],TableAvailabilities[],4,FALSE)&gt;0,"Y",""),"")</f>
        <v/>
      </c>
      <c r="J27" s="247" t="str">
        <f>IFERROR(IF(VLOOKUP(TableHandbook[[#This Row],[UDC]],TableAvailabilities[],5,FALSE)&gt;0,"Y",""),"")</f>
        <v>Y</v>
      </c>
      <c r="K27" s="2"/>
      <c r="L27" s="250" t="str">
        <f>IFERROR(VLOOKUP(TableHandbook[[#This Row],[UDC]],TableOMTEACH1[],7,FALSE),"")</f>
        <v/>
      </c>
      <c r="M27" s="248" t="str">
        <f>IFERROR(VLOOKUP(TableHandbook[[#This Row],[UDC]],TableOUMPTCHEC[],7,FALSE),"")</f>
        <v/>
      </c>
      <c r="N27" s="248" t="str">
        <f>IFERROR(VLOOKUP(TableHandbook[[#This Row],[UDC]],TableOUMPTCHPE[],7,FALSE),"")</f>
        <v>Core</v>
      </c>
      <c r="O27" s="248" t="str">
        <f>IFERROR(VLOOKUP(TableHandbook[[#This Row],[UDC]],TableOUMPTCHSE[],7,FALSE),"")</f>
        <v/>
      </c>
      <c r="P27" s="250" t="str">
        <f>IFERROR(VLOOKUP(TableHandbook[[#This Row],[UDC]],TableOCTESOL1[],7,FALSE),"")</f>
        <v/>
      </c>
      <c r="Q27" s="248" t="str">
        <f>IFERROR(VLOOKUP(TableHandbook[[#This Row],[UDC]],TableOCTESOL[],7,FALSE),"")</f>
        <v/>
      </c>
      <c r="R27" s="248" t="str">
        <f>IFERROR(VLOOKUP(TableHandbook[[#This Row],[UDC]],TableOMAPLING[],7,FALSE),"")</f>
        <v/>
      </c>
      <c r="S27" s="250" t="str">
        <f>IFERROR(VLOOKUP(TableHandbook[[#This Row],[UDC]],TableOCEDHE1[],7,FALSE),"")</f>
        <v/>
      </c>
      <c r="T27" s="248" t="str">
        <f>IFERROR(VLOOKUP(TableHandbook[[#This Row],[UDC]],TableOCEDHE[],7,FALSE),"")</f>
        <v/>
      </c>
      <c r="U27" s="248" t="str">
        <f>IFERROR(VLOOKUP(TableHandbook[[#This Row],[UDC]],TableOCEDUCS1[],7,FALSE),"")</f>
        <v>Option</v>
      </c>
      <c r="V27" s="248" t="str">
        <f>IFERROR(VLOOKUP(TableHandbook[[#This Row],[UDC]],TableOCEDUC[],7,FALSE),"")</f>
        <v>Option</v>
      </c>
      <c r="W27" s="248" t="str">
        <f>IFERROR(VLOOKUP(TableHandbook[[#This Row],[UDC]],TableOGEDUC[],7,FALSE),"")</f>
        <v/>
      </c>
      <c r="X27" s="248" t="str">
        <f>IFERROR(VLOOKUP(TableHandbook[[#This Row],[UDC]],TableOUMPEDUPR[],7,FALSE),"")</f>
        <v/>
      </c>
      <c r="Y27" s="248" t="str">
        <f>IFERROR(VLOOKUP(TableHandbook[[#This Row],[UDC]],TableOUMPEDUSC[],7,FALSE),"")</f>
        <v/>
      </c>
      <c r="Z27" s="250" t="str">
        <f>IFERROR(VLOOKUP(TableHandbook[[#This Row],[UDC]],TableOMEDUC[],7,FALSE),"")</f>
        <v/>
      </c>
      <c r="AA27" s="248" t="str">
        <f>IFERROR(VLOOKUP(TableHandbook[[#This Row],[UDC]],TableOSEPCULIN[],7,FALSE),"")</f>
        <v/>
      </c>
      <c r="AB27" s="248" t="str">
        <f>IFERROR(VLOOKUP(TableHandbook[[#This Row],[UDC]],TableOSEPLNTCH[],7,FALSE),"")</f>
        <v/>
      </c>
      <c r="AC27" s="248" t="str">
        <f>IFERROR(VLOOKUP(TableHandbook[[#This Row],[UDC]],TableOSEPSTEME[],7,FALSE),"")</f>
        <v/>
      </c>
    </row>
    <row r="28" spans="1:29" x14ac:dyDescent="0.25">
      <c r="A28" s="2" t="s">
        <v>121</v>
      </c>
      <c r="B28" s="3">
        <v>1</v>
      </c>
      <c r="C28" s="3" t="s">
        <v>401</v>
      </c>
      <c r="D28" s="2" t="s">
        <v>402</v>
      </c>
      <c r="E28" s="3">
        <v>25</v>
      </c>
      <c r="F28" s="287" t="s">
        <v>389</v>
      </c>
      <c r="G28" s="247" t="str">
        <f>IFERROR(IF(VLOOKUP(TableHandbook[[#This Row],[UDC]],TableAvailabilities[],2,FALSE)&gt;0,"Y",""),"")</f>
        <v/>
      </c>
      <c r="H28" s="247" t="str">
        <f>IFERROR(IF(VLOOKUP(TableHandbook[[#This Row],[UDC]],TableAvailabilities[],3,FALSE)&gt;0,"Y",""),"")</f>
        <v/>
      </c>
      <c r="I28" s="247" t="str">
        <f>IFERROR(IF(VLOOKUP(TableHandbook[[#This Row],[UDC]],TableAvailabilities[],4,FALSE)&gt;0,"Y",""),"")</f>
        <v>Y</v>
      </c>
      <c r="J28" s="247" t="str">
        <f>IFERROR(IF(VLOOKUP(TableHandbook[[#This Row],[UDC]],TableAvailabilities[],5,FALSE)&gt;0,"Y",""),"")</f>
        <v/>
      </c>
      <c r="K28" s="2"/>
      <c r="L28" s="250" t="str">
        <f>IFERROR(VLOOKUP(TableHandbook[[#This Row],[UDC]],TableOMTEACH1[],7,FALSE),"")</f>
        <v/>
      </c>
      <c r="M28" s="248" t="str">
        <f>IFERROR(VLOOKUP(TableHandbook[[#This Row],[UDC]],TableOUMPTCHEC[],7,FALSE),"")</f>
        <v/>
      </c>
      <c r="N28" s="248" t="str">
        <f>IFERROR(VLOOKUP(TableHandbook[[#This Row],[UDC]],TableOUMPTCHPE[],7,FALSE),"")</f>
        <v>Core</v>
      </c>
      <c r="O28" s="248" t="str">
        <f>IFERROR(VLOOKUP(TableHandbook[[#This Row],[UDC]],TableOUMPTCHSE[],7,FALSE),"")</f>
        <v/>
      </c>
      <c r="P28" s="250" t="str">
        <f>IFERROR(VLOOKUP(TableHandbook[[#This Row],[UDC]],TableOCTESOL1[],7,FALSE),"")</f>
        <v/>
      </c>
      <c r="Q28" s="248" t="str">
        <f>IFERROR(VLOOKUP(TableHandbook[[#This Row],[UDC]],TableOCTESOL[],7,FALSE),"")</f>
        <v/>
      </c>
      <c r="R28" s="248" t="str">
        <f>IFERROR(VLOOKUP(TableHandbook[[#This Row],[UDC]],TableOMAPLING[],7,FALSE),"")</f>
        <v/>
      </c>
      <c r="S28" s="250" t="str">
        <f>IFERROR(VLOOKUP(TableHandbook[[#This Row],[UDC]],TableOCEDHE1[],7,FALSE),"")</f>
        <v/>
      </c>
      <c r="T28" s="248" t="str">
        <f>IFERROR(VLOOKUP(TableHandbook[[#This Row],[UDC]],TableOCEDHE[],7,FALSE),"")</f>
        <v/>
      </c>
      <c r="U28" s="248" t="str">
        <f>IFERROR(VLOOKUP(TableHandbook[[#This Row],[UDC]],TableOCEDUCS1[],7,FALSE),"")</f>
        <v/>
      </c>
      <c r="V28" s="248" t="str">
        <f>IFERROR(VLOOKUP(TableHandbook[[#This Row],[UDC]],TableOCEDUC[],7,FALSE),"")</f>
        <v/>
      </c>
      <c r="W28" s="248" t="str">
        <f>IFERROR(VLOOKUP(TableHandbook[[#This Row],[UDC]],TableOGEDUC[],7,FALSE),"")</f>
        <v/>
      </c>
      <c r="X28" s="248" t="str">
        <f>IFERROR(VLOOKUP(TableHandbook[[#This Row],[UDC]],TableOUMPEDUPR[],7,FALSE),"")</f>
        <v/>
      </c>
      <c r="Y28" s="248" t="str">
        <f>IFERROR(VLOOKUP(TableHandbook[[#This Row],[UDC]],TableOUMPEDUSC[],7,FALSE),"")</f>
        <v/>
      </c>
      <c r="Z28" s="250" t="str">
        <f>IFERROR(VLOOKUP(TableHandbook[[#This Row],[UDC]],TableOMEDUC[],7,FALSE),"")</f>
        <v/>
      </c>
      <c r="AA28" s="248" t="str">
        <f>IFERROR(VLOOKUP(TableHandbook[[#This Row],[UDC]],TableOSEPCULIN[],7,FALSE),"")</f>
        <v/>
      </c>
      <c r="AB28" s="248" t="str">
        <f>IFERROR(VLOOKUP(TableHandbook[[#This Row],[UDC]],TableOSEPLNTCH[],7,FALSE),"")</f>
        <v/>
      </c>
      <c r="AC28" s="248" t="str">
        <f>IFERROR(VLOOKUP(TableHandbook[[#This Row],[UDC]],TableOSEPSTEME[],7,FALSE),"")</f>
        <v/>
      </c>
    </row>
    <row r="29" spans="1:29" x14ac:dyDescent="0.25">
      <c r="A29" s="2" t="s">
        <v>281</v>
      </c>
      <c r="B29" s="3">
        <v>1</v>
      </c>
      <c r="C29" s="3" t="s">
        <v>403</v>
      </c>
      <c r="D29" s="2" t="s">
        <v>404</v>
      </c>
      <c r="E29" s="3">
        <v>25</v>
      </c>
      <c r="F29" s="245" t="s">
        <v>357</v>
      </c>
      <c r="G29" s="247" t="str">
        <f>IFERROR(IF(VLOOKUP(TableHandbook[[#This Row],[UDC]],TableAvailabilities[],2,FALSE)&gt;0,"Y",""),"")</f>
        <v>Y</v>
      </c>
      <c r="H29" s="247" t="str">
        <f>IFERROR(IF(VLOOKUP(TableHandbook[[#This Row],[UDC]],TableAvailabilities[],3,FALSE)&gt;0,"Y",""),"")</f>
        <v>Y</v>
      </c>
      <c r="I29" s="247" t="str">
        <f>IFERROR(IF(VLOOKUP(TableHandbook[[#This Row],[UDC]],TableAvailabilities[],4,FALSE)&gt;0,"Y",""),"")</f>
        <v/>
      </c>
      <c r="J29" s="247" t="str">
        <f>IFERROR(IF(VLOOKUP(TableHandbook[[#This Row],[UDC]],TableAvailabilities[],5,FALSE)&gt;0,"Y",""),"")</f>
        <v/>
      </c>
      <c r="K29" s="2"/>
      <c r="L29" s="250" t="str">
        <f>IFERROR(VLOOKUP(TableHandbook[[#This Row],[UDC]],TableOMTEACH1[],7,FALSE),"")</f>
        <v/>
      </c>
      <c r="M29" s="248" t="str">
        <f>IFERROR(VLOOKUP(TableHandbook[[#This Row],[UDC]],TableOUMPTCHEC[],7,FALSE),"")</f>
        <v/>
      </c>
      <c r="N29" s="248" t="str">
        <f>IFERROR(VLOOKUP(TableHandbook[[#This Row],[UDC]],TableOUMPTCHPE[],7,FALSE),"")</f>
        <v/>
      </c>
      <c r="O29" s="248" t="str">
        <f>IFERROR(VLOOKUP(TableHandbook[[#This Row],[UDC]],TableOUMPTCHSE[],7,FALSE),"")</f>
        <v>Core</v>
      </c>
      <c r="P29" s="250" t="str">
        <f>IFERROR(VLOOKUP(TableHandbook[[#This Row],[UDC]],TableOCTESOL1[],7,FALSE),"")</f>
        <v/>
      </c>
      <c r="Q29" s="248" t="str">
        <f>IFERROR(VLOOKUP(TableHandbook[[#This Row],[UDC]],TableOCTESOL[],7,FALSE),"")</f>
        <v/>
      </c>
      <c r="R29" s="248" t="str">
        <f>IFERROR(VLOOKUP(TableHandbook[[#This Row],[UDC]],TableOMAPLING[],7,FALSE),"")</f>
        <v/>
      </c>
      <c r="S29" s="250" t="str">
        <f>IFERROR(VLOOKUP(TableHandbook[[#This Row],[UDC]],TableOCEDHE1[],7,FALSE),"")</f>
        <v/>
      </c>
      <c r="T29" s="248" t="str">
        <f>IFERROR(VLOOKUP(TableHandbook[[#This Row],[UDC]],TableOCEDHE[],7,FALSE),"")</f>
        <v/>
      </c>
      <c r="U29" s="248" t="str">
        <f>IFERROR(VLOOKUP(TableHandbook[[#This Row],[UDC]],TableOCEDUCS1[],7,FALSE),"")</f>
        <v/>
      </c>
      <c r="V29" s="248" t="str">
        <f>IFERROR(VLOOKUP(TableHandbook[[#This Row],[UDC]],TableOCEDUC[],7,FALSE),"")</f>
        <v/>
      </c>
      <c r="W29" s="248" t="str">
        <f>IFERROR(VLOOKUP(TableHandbook[[#This Row],[UDC]],TableOGEDUC[],7,FALSE),"")</f>
        <v/>
      </c>
      <c r="X29" s="248" t="str">
        <f>IFERROR(VLOOKUP(TableHandbook[[#This Row],[UDC]],TableOUMPEDUPR[],7,FALSE),"")</f>
        <v/>
      </c>
      <c r="Y29" s="248" t="str">
        <f>IFERROR(VLOOKUP(TableHandbook[[#This Row],[UDC]],TableOUMPEDUSC[],7,FALSE),"")</f>
        <v>Core</v>
      </c>
      <c r="Z29" s="250" t="str">
        <f>IFERROR(VLOOKUP(TableHandbook[[#This Row],[UDC]],TableOMEDUC[],7,FALSE),"")</f>
        <v/>
      </c>
      <c r="AA29" s="248" t="str">
        <f>IFERROR(VLOOKUP(TableHandbook[[#This Row],[UDC]],TableOSEPCULIN[],7,FALSE),"")</f>
        <v/>
      </c>
      <c r="AB29" s="248" t="str">
        <f>IFERROR(VLOOKUP(TableHandbook[[#This Row],[UDC]],TableOSEPLNTCH[],7,FALSE),"")</f>
        <v/>
      </c>
      <c r="AC29" s="248" t="str">
        <f>IFERROR(VLOOKUP(TableHandbook[[#This Row],[UDC]],TableOSEPSTEME[],7,FALSE),"")</f>
        <v/>
      </c>
    </row>
    <row r="30" spans="1:29" x14ac:dyDescent="0.25">
      <c r="A30" s="2" t="s">
        <v>282</v>
      </c>
      <c r="B30" s="3">
        <v>1</v>
      </c>
      <c r="C30" s="3" t="s">
        <v>405</v>
      </c>
      <c r="D30" s="2" t="s">
        <v>406</v>
      </c>
      <c r="E30" s="3">
        <v>25</v>
      </c>
      <c r="F30" s="245" t="s">
        <v>357</v>
      </c>
      <c r="G30" s="247" t="str">
        <f>IFERROR(IF(VLOOKUP(TableHandbook[[#This Row],[UDC]],TableAvailabilities[],2,FALSE)&gt;0,"Y",""),"")</f>
        <v/>
      </c>
      <c r="H30" s="247" t="str">
        <f>IFERROR(IF(VLOOKUP(TableHandbook[[#This Row],[UDC]],TableAvailabilities[],3,FALSE)&gt;0,"Y",""),"")</f>
        <v>Y</v>
      </c>
      <c r="I30" s="247" t="str">
        <f>IFERROR(IF(VLOOKUP(TableHandbook[[#This Row],[UDC]],TableAvailabilities[],4,FALSE)&gt;0,"Y",""),"")</f>
        <v/>
      </c>
      <c r="J30" s="247" t="str">
        <f>IFERROR(IF(VLOOKUP(TableHandbook[[#This Row],[UDC]],TableAvailabilities[],5,FALSE)&gt;0,"Y",""),"")</f>
        <v>Y</v>
      </c>
      <c r="K30" s="2"/>
      <c r="L30" s="250" t="str">
        <f>IFERROR(VLOOKUP(TableHandbook[[#This Row],[UDC]],TableOMTEACH1[],7,FALSE),"")</f>
        <v/>
      </c>
      <c r="M30" s="248" t="str">
        <f>IFERROR(VLOOKUP(TableHandbook[[#This Row],[UDC]],TableOUMPTCHEC[],7,FALSE),"")</f>
        <v/>
      </c>
      <c r="N30" s="248" t="str">
        <f>IFERROR(VLOOKUP(TableHandbook[[#This Row],[UDC]],TableOUMPTCHPE[],7,FALSE),"")</f>
        <v/>
      </c>
      <c r="O30" s="248" t="str">
        <f>IFERROR(VLOOKUP(TableHandbook[[#This Row],[UDC]],TableOUMPTCHSE[],7,FALSE),"")</f>
        <v>Core</v>
      </c>
      <c r="P30" s="250" t="str">
        <f>IFERROR(VLOOKUP(TableHandbook[[#This Row],[UDC]],TableOCTESOL1[],7,FALSE),"")</f>
        <v/>
      </c>
      <c r="Q30" s="248" t="str">
        <f>IFERROR(VLOOKUP(TableHandbook[[#This Row],[UDC]],TableOCTESOL[],7,FALSE),"")</f>
        <v/>
      </c>
      <c r="R30" s="248" t="str">
        <f>IFERROR(VLOOKUP(TableHandbook[[#This Row],[UDC]],TableOMAPLING[],7,FALSE),"")</f>
        <v/>
      </c>
      <c r="S30" s="250" t="str">
        <f>IFERROR(VLOOKUP(TableHandbook[[#This Row],[UDC]],TableOCEDHE1[],7,FALSE),"")</f>
        <v/>
      </c>
      <c r="T30" s="248" t="str">
        <f>IFERROR(VLOOKUP(TableHandbook[[#This Row],[UDC]],TableOCEDHE[],7,FALSE),"")</f>
        <v/>
      </c>
      <c r="U30" s="248" t="str">
        <f>IFERROR(VLOOKUP(TableHandbook[[#This Row],[UDC]],TableOCEDUCS1[],7,FALSE),"")</f>
        <v/>
      </c>
      <c r="V30" s="248" t="str">
        <f>IFERROR(VLOOKUP(TableHandbook[[#This Row],[UDC]],TableOCEDUC[],7,FALSE),"")</f>
        <v/>
      </c>
      <c r="W30" s="248" t="str">
        <f>IFERROR(VLOOKUP(TableHandbook[[#This Row],[UDC]],TableOGEDUC[],7,FALSE),"")</f>
        <v/>
      </c>
      <c r="X30" s="248" t="str">
        <f>IFERROR(VLOOKUP(TableHandbook[[#This Row],[UDC]],TableOUMPEDUPR[],7,FALSE),"")</f>
        <v/>
      </c>
      <c r="Y30" s="248" t="str">
        <f>IFERROR(VLOOKUP(TableHandbook[[#This Row],[UDC]],TableOUMPEDUSC[],7,FALSE),"")</f>
        <v/>
      </c>
      <c r="Z30" s="250" t="str">
        <f>IFERROR(VLOOKUP(TableHandbook[[#This Row],[UDC]],TableOMEDUC[],7,FALSE),"")</f>
        <v/>
      </c>
      <c r="AA30" s="248" t="str">
        <f>IFERROR(VLOOKUP(TableHandbook[[#This Row],[UDC]],TableOSEPCULIN[],7,FALSE),"")</f>
        <v/>
      </c>
      <c r="AB30" s="248" t="str">
        <f>IFERROR(VLOOKUP(TableHandbook[[#This Row],[UDC]],TableOSEPLNTCH[],7,FALSE),"")</f>
        <v/>
      </c>
      <c r="AC30" s="248" t="str">
        <f>IFERROR(VLOOKUP(TableHandbook[[#This Row],[UDC]],TableOSEPSTEME[],7,FALSE),"")</f>
        <v/>
      </c>
    </row>
    <row r="31" spans="1:29" x14ac:dyDescent="0.25">
      <c r="A31" s="2" t="s">
        <v>290</v>
      </c>
      <c r="B31" s="3">
        <v>1</v>
      </c>
      <c r="C31" s="3" t="s">
        <v>407</v>
      </c>
      <c r="D31" s="2" t="s">
        <v>408</v>
      </c>
      <c r="E31" s="3">
        <v>25</v>
      </c>
      <c r="F31" s="245" t="s">
        <v>357</v>
      </c>
      <c r="G31" s="247" t="str">
        <f>IFERROR(IF(VLOOKUP(TableHandbook[[#This Row],[UDC]],TableAvailabilities[],2,FALSE)&gt;0,"Y",""),"")</f>
        <v>Y</v>
      </c>
      <c r="H31" s="247" t="str">
        <f>IFERROR(IF(VLOOKUP(TableHandbook[[#This Row],[UDC]],TableAvailabilities[],3,FALSE)&gt;0,"Y",""),"")</f>
        <v>Y</v>
      </c>
      <c r="I31" s="247" t="str">
        <f>IFERROR(IF(VLOOKUP(TableHandbook[[#This Row],[UDC]],TableAvailabilities[],4,FALSE)&gt;0,"Y",""),"")</f>
        <v/>
      </c>
      <c r="J31" s="247" t="str">
        <f>IFERROR(IF(VLOOKUP(TableHandbook[[#This Row],[UDC]],TableAvailabilities[],5,FALSE)&gt;0,"Y",""),"")</f>
        <v/>
      </c>
      <c r="K31" s="2"/>
      <c r="L31" s="250" t="str">
        <f>IFERROR(VLOOKUP(TableHandbook[[#This Row],[UDC]],TableOMTEACH1[],7,FALSE),"")</f>
        <v/>
      </c>
      <c r="M31" s="248" t="str">
        <f>IFERROR(VLOOKUP(TableHandbook[[#This Row],[UDC]],TableOUMPTCHEC[],7,FALSE),"")</f>
        <v/>
      </c>
      <c r="N31" s="248" t="str">
        <f>IFERROR(VLOOKUP(TableHandbook[[#This Row],[UDC]],TableOUMPTCHPE[],7,FALSE),"")</f>
        <v/>
      </c>
      <c r="O31" s="248" t="str">
        <f>IFERROR(VLOOKUP(TableHandbook[[#This Row],[UDC]],TableOUMPTCHSE[],7,FALSE),"")</f>
        <v>Core</v>
      </c>
      <c r="P31" s="250" t="str">
        <f>IFERROR(VLOOKUP(TableHandbook[[#This Row],[UDC]],TableOCTESOL1[],7,FALSE),"")</f>
        <v/>
      </c>
      <c r="Q31" s="248" t="str">
        <f>IFERROR(VLOOKUP(TableHandbook[[#This Row],[UDC]],TableOCTESOL[],7,FALSE),"")</f>
        <v/>
      </c>
      <c r="R31" s="248" t="str">
        <f>IFERROR(VLOOKUP(TableHandbook[[#This Row],[UDC]],TableOMAPLING[],7,FALSE),"")</f>
        <v/>
      </c>
      <c r="S31" s="250" t="str">
        <f>IFERROR(VLOOKUP(TableHandbook[[#This Row],[UDC]],TableOCEDHE1[],7,FALSE),"")</f>
        <v/>
      </c>
      <c r="T31" s="248" t="str">
        <f>IFERROR(VLOOKUP(TableHandbook[[#This Row],[UDC]],TableOCEDHE[],7,FALSE),"")</f>
        <v/>
      </c>
      <c r="U31" s="248" t="str">
        <f>IFERROR(VLOOKUP(TableHandbook[[#This Row],[UDC]],TableOCEDUCS1[],7,FALSE),"")</f>
        <v/>
      </c>
      <c r="V31" s="248" t="str">
        <f>IFERROR(VLOOKUP(TableHandbook[[#This Row],[UDC]],TableOCEDUC[],7,FALSE),"")</f>
        <v/>
      </c>
      <c r="W31" s="248" t="str">
        <f>IFERROR(VLOOKUP(TableHandbook[[#This Row],[UDC]],TableOGEDUC[],7,FALSE),"")</f>
        <v/>
      </c>
      <c r="X31" s="248" t="str">
        <f>IFERROR(VLOOKUP(TableHandbook[[#This Row],[UDC]],TableOUMPEDUPR[],7,FALSE),"")</f>
        <v/>
      </c>
      <c r="Y31" s="248" t="str">
        <f>IFERROR(VLOOKUP(TableHandbook[[#This Row],[UDC]],TableOUMPEDUSC[],7,FALSE),"")</f>
        <v>Core</v>
      </c>
      <c r="Z31" s="250" t="str">
        <f>IFERROR(VLOOKUP(TableHandbook[[#This Row],[UDC]],TableOMEDUC[],7,FALSE),"")</f>
        <v/>
      </c>
      <c r="AA31" s="248" t="str">
        <f>IFERROR(VLOOKUP(TableHandbook[[#This Row],[UDC]],TableOSEPCULIN[],7,FALSE),"")</f>
        <v/>
      </c>
      <c r="AB31" s="248" t="str">
        <f>IFERROR(VLOOKUP(TableHandbook[[#This Row],[UDC]],TableOSEPLNTCH[],7,FALSE),"")</f>
        <v/>
      </c>
      <c r="AC31" s="248" t="str">
        <f>IFERROR(VLOOKUP(TableHandbook[[#This Row],[UDC]],TableOSEPSTEME[],7,FALSE),"")</f>
        <v/>
      </c>
    </row>
    <row r="32" spans="1:29" x14ac:dyDescent="0.25">
      <c r="A32" s="2" t="s">
        <v>262</v>
      </c>
      <c r="B32" s="3">
        <v>1</v>
      </c>
      <c r="C32" s="3" t="s">
        <v>409</v>
      </c>
      <c r="D32" s="2" t="s">
        <v>410</v>
      </c>
      <c r="E32" s="3">
        <v>25</v>
      </c>
      <c r="F32" s="245" t="s">
        <v>357</v>
      </c>
      <c r="G32" s="247" t="str">
        <f>IFERROR(IF(VLOOKUP(TableHandbook[[#This Row],[UDC]],TableAvailabilities[],2,FALSE)&gt;0,"Y",""),"")</f>
        <v>Y</v>
      </c>
      <c r="H32" s="247" t="str">
        <f>IFERROR(IF(VLOOKUP(TableHandbook[[#This Row],[UDC]],TableAvailabilities[],3,FALSE)&gt;0,"Y",""),"")</f>
        <v/>
      </c>
      <c r="I32" s="247" t="str">
        <f>IFERROR(IF(VLOOKUP(TableHandbook[[#This Row],[UDC]],TableAvailabilities[],4,FALSE)&gt;0,"Y",""),"")</f>
        <v>Y</v>
      </c>
      <c r="J32" s="247" t="str">
        <f>IFERROR(IF(VLOOKUP(TableHandbook[[#This Row],[UDC]],TableAvailabilities[],5,FALSE)&gt;0,"Y",""),"")</f>
        <v/>
      </c>
      <c r="K32" s="2"/>
      <c r="L32" s="250" t="str">
        <f>IFERROR(VLOOKUP(TableHandbook[[#This Row],[UDC]],TableOMTEACH1[],7,FALSE),"")</f>
        <v/>
      </c>
      <c r="M32" s="248" t="str">
        <f>IFERROR(VLOOKUP(TableHandbook[[#This Row],[UDC]],TableOUMPTCHEC[],7,FALSE),"")</f>
        <v/>
      </c>
      <c r="N32" s="248" t="str">
        <f>IFERROR(VLOOKUP(TableHandbook[[#This Row],[UDC]],TableOUMPTCHPE[],7,FALSE),"")</f>
        <v/>
      </c>
      <c r="O32" s="248" t="str">
        <f>IFERROR(VLOOKUP(TableHandbook[[#This Row],[UDC]],TableOUMPTCHSE[],7,FALSE),"")</f>
        <v>Core</v>
      </c>
      <c r="P32" s="250" t="str">
        <f>IFERROR(VLOOKUP(TableHandbook[[#This Row],[UDC]],TableOCTESOL1[],7,FALSE),"")</f>
        <v/>
      </c>
      <c r="Q32" s="248" t="str">
        <f>IFERROR(VLOOKUP(TableHandbook[[#This Row],[UDC]],TableOCTESOL[],7,FALSE),"")</f>
        <v/>
      </c>
      <c r="R32" s="248" t="str">
        <f>IFERROR(VLOOKUP(TableHandbook[[#This Row],[UDC]],TableOMAPLING[],7,FALSE),"")</f>
        <v/>
      </c>
      <c r="S32" s="250" t="str">
        <f>IFERROR(VLOOKUP(TableHandbook[[#This Row],[UDC]],TableOCEDHE1[],7,FALSE),"")</f>
        <v/>
      </c>
      <c r="T32" s="248" t="str">
        <f>IFERROR(VLOOKUP(TableHandbook[[#This Row],[UDC]],TableOCEDHE[],7,FALSE),"")</f>
        <v/>
      </c>
      <c r="U32" s="248" t="str">
        <f>IFERROR(VLOOKUP(TableHandbook[[#This Row],[UDC]],TableOCEDUCS1[],7,FALSE),"")</f>
        <v>Option</v>
      </c>
      <c r="V32" s="248" t="str">
        <f>IFERROR(VLOOKUP(TableHandbook[[#This Row],[UDC]],TableOCEDUC[],7,FALSE),"")</f>
        <v>Option</v>
      </c>
      <c r="W32" s="248" t="str">
        <f>IFERROR(VLOOKUP(TableHandbook[[#This Row],[UDC]],TableOGEDUC[],7,FALSE),"")</f>
        <v/>
      </c>
      <c r="X32" s="248" t="str">
        <f>IFERROR(VLOOKUP(TableHandbook[[#This Row],[UDC]],TableOUMPEDUPR[],7,FALSE),"")</f>
        <v/>
      </c>
      <c r="Y32" s="248" t="str">
        <f>IFERROR(VLOOKUP(TableHandbook[[#This Row],[UDC]],TableOUMPEDUSC[],7,FALSE),"")</f>
        <v/>
      </c>
      <c r="Z32" s="250" t="str">
        <f>IFERROR(VLOOKUP(TableHandbook[[#This Row],[UDC]],TableOMEDUC[],7,FALSE),"")</f>
        <v/>
      </c>
      <c r="AA32" s="248" t="str">
        <f>IFERROR(VLOOKUP(TableHandbook[[#This Row],[UDC]],TableOSEPCULIN[],7,FALSE),"")</f>
        <v/>
      </c>
      <c r="AB32" s="248" t="str">
        <f>IFERROR(VLOOKUP(TableHandbook[[#This Row],[UDC]],TableOSEPLNTCH[],7,FALSE),"")</f>
        <v/>
      </c>
      <c r="AC32" s="248" t="str">
        <f>IFERROR(VLOOKUP(TableHandbook[[#This Row],[UDC]],TableOSEPSTEME[],7,FALSE),"")</f>
        <v/>
      </c>
    </row>
    <row r="33" spans="1:29" x14ac:dyDescent="0.25">
      <c r="A33" s="2" t="s">
        <v>315</v>
      </c>
      <c r="B33" s="3">
        <v>1</v>
      </c>
      <c r="C33" s="3" t="s">
        <v>411</v>
      </c>
      <c r="D33" s="2" t="s">
        <v>412</v>
      </c>
      <c r="E33" s="3">
        <v>25</v>
      </c>
      <c r="F33" s="245" t="s">
        <v>357</v>
      </c>
      <c r="G33" s="247" t="str">
        <f>IFERROR(IF(VLOOKUP(TableHandbook[[#This Row],[UDC]],TableAvailabilities[],2,FALSE)&gt;0,"Y",""),"")</f>
        <v/>
      </c>
      <c r="H33" s="247" t="str">
        <f>IFERROR(IF(VLOOKUP(TableHandbook[[#This Row],[UDC]],TableAvailabilities[],3,FALSE)&gt;0,"Y",""),"")</f>
        <v>Y</v>
      </c>
      <c r="I33" s="247" t="str">
        <f>IFERROR(IF(VLOOKUP(TableHandbook[[#This Row],[UDC]],TableAvailabilities[],4,FALSE)&gt;0,"Y",""),"")</f>
        <v/>
      </c>
      <c r="J33" s="247" t="str">
        <f>IFERROR(IF(VLOOKUP(TableHandbook[[#This Row],[UDC]],TableAvailabilities[],5,FALSE)&gt;0,"Y",""),"")</f>
        <v>Y</v>
      </c>
      <c r="K33" s="2"/>
      <c r="L33" s="250" t="str">
        <f>IFERROR(VLOOKUP(TableHandbook[[#This Row],[UDC]],TableOMTEACH1[],7,FALSE),"")</f>
        <v/>
      </c>
      <c r="M33" s="248" t="str">
        <f>IFERROR(VLOOKUP(TableHandbook[[#This Row],[UDC]],TableOUMPTCHEC[],7,FALSE),"")</f>
        <v/>
      </c>
      <c r="N33" s="248" t="str">
        <f>IFERROR(VLOOKUP(TableHandbook[[#This Row],[UDC]],TableOUMPTCHPE[],7,FALSE),"")</f>
        <v/>
      </c>
      <c r="O33" s="248" t="str">
        <f>IFERROR(VLOOKUP(TableHandbook[[#This Row],[UDC]],TableOUMPTCHSE[],7,FALSE),"")</f>
        <v>Option</v>
      </c>
      <c r="P33" s="250" t="str">
        <f>IFERROR(VLOOKUP(TableHandbook[[#This Row],[UDC]],TableOCTESOL1[],7,FALSE),"")</f>
        <v/>
      </c>
      <c r="Q33" s="248" t="str">
        <f>IFERROR(VLOOKUP(TableHandbook[[#This Row],[UDC]],TableOCTESOL[],7,FALSE),"")</f>
        <v/>
      </c>
      <c r="R33" s="248" t="str">
        <f>IFERROR(VLOOKUP(TableHandbook[[#This Row],[UDC]],TableOMAPLING[],7,FALSE),"")</f>
        <v/>
      </c>
      <c r="S33" s="250" t="str">
        <f>IFERROR(VLOOKUP(TableHandbook[[#This Row],[UDC]],TableOCEDHE1[],7,FALSE),"")</f>
        <v/>
      </c>
      <c r="T33" s="248" t="str">
        <f>IFERROR(VLOOKUP(TableHandbook[[#This Row],[UDC]],TableOCEDHE[],7,FALSE),"")</f>
        <v/>
      </c>
      <c r="U33" s="248" t="str">
        <f>IFERROR(VLOOKUP(TableHandbook[[#This Row],[UDC]],TableOCEDUCS1[],7,FALSE),"")</f>
        <v/>
      </c>
      <c r="V33" s="248" t="str">
        <f>IFERROR(VLOOKUP(TableHandbook[[#This Row],[UDC]],TableOCEDUC[],7,FALSE),"")</f>
        <v/>
      </c>
      <c r="W33" s="248" t="str">
        <f>IFERROR(VLOOKUP(TableHandbook[[#This Row],[UDC]],TableOGEDUC[],7,FALSE),"")</f>
        <v/>
      </c>
      <c r="X33" s="248" t="str">
        <f>IFERROR(VLOOKUP(TableHandbook[[#This Row],[UDC]],TableOUMPEDUPR[],7,FALSE),"")</f>
        <v/>
      </c>
      <c r="Y33" s="248" t="str">
        <f>IFERROR(VLOOKUP(TableHandbook[[#This Row],[UDC]],TableOUMPEDUSC[],7,FALSE),"")</f>
        <v>Option</v>
      </c>
      <c r="Z33" s="250" t="str">
        <f>IFERROR(VLOOKUP(TableHandbook[[#This Row],[UDC]],TableOMEDUC[],7,FALSE),"")</f>
        <v/>
      </c>
      <c r="AA33" s="248" t="str">
        <f>IFERROR(VLOOKUP(TableHandbook[[#This Row],[UDC]],TableOSEPCULIN[],7,FALSE),"")</f>
        <v/>
      </c>
      <c r="AB33" s="248" t="str">
        <f>IFERROR(VLOOKUP(TableHandbook[[#This Row],[UDC]],TableOSEPLNTCH[],7,FALSE),"")</f>
        <v/>
      </c>
      <c r="AC33" s="248" t="str">
        <f>IFERROR(VLOOKUP(TableHandbook[[#This Row],[UDC]],TableOSEPSTEME[],7,FALSE),"")</f>
        <v/>
      </c>
    </row>
    <row r="34" spans="1:29" x14ac:dyDescent="0.25">
      <c r="A34" s="2" t="s">
        <v>316</v>
      </c>
      <c r="B34" s="3">
        <v>1</v>
      </c>
      <c r="C34" s="3" t="s">
        <v>413</v>
      </c>
      <c r="D34" s="2" t="s">
        <v>414</v>
      </c>
      <c r="E34" s="3">
        <v>25</v>
      </c>
      <c r="F34" s="245" t="s">
        <v>357</v>
      </c>
      <c r="G34" s="247" t="str">
        <f>IFERROR(IF(VLOOKUP(TableHandbook[[#This Row],[UDC]],TableAvailabilities[],2,FALSE)&gt;0,"Y",""),"")</f>
        <v/>
      </c>
      <c r="H34" s="247" t="str">
        <f>IFERROR(IF(VLOOKUP(TableHandbook[[#This Row],[UDC]],TableAvailabilities[],3,FALSE)&gt;0,"Y",""),"")</f>
        <v>Y</v>
      </c>
      <c r="I34" s="247" t="str">
        <f>IFERROR(IF(VLOOKUP(TableHandbook[[#This Row],[UDC]],TableAvailabilities[],4,FALSE)&gt;0,"Y",""),"")</f>
        <v/>
      </c>
      <c r="J34" s="247" t="str">
        <f>IFERROR(IF(VLOOKUP(TableHandbook[[#This Row],[UDC]],TableAvailabilities[],5,FALSE)&gt;0,"Y",""),"")</f>
        <v>Y</v>
      </c>
      <c r="K34" s="2"/>
      <c r="L34" s="250" t="str">
        <f>IFERROR(VLOOKUP(TableHandbook[[#This Row],[UDC]],TableOMTEACH1[],7,FALSE),"")</f>
        <v/>
      </c>
      <c r="M34" s="248" t="str">
        <f>IFERROR(VLOOKUP(TableHandbook[[#This Row],[UDC]],TableOUMPTCHEC[],7,FALSE),"")</f>
        <v/>
      </c>
      <c r="N34" s="248" t="str">
        <f>IFERROR(VLOOKUP(TableHandbook[[#This Row],[UDC]],TableOUMPTCHPE[],7,FALSE),"")</f>
        <v/>
      </c>
      <c r="O34" s="248" t="str">
        <f>IFERROR(VLOOKUP(TableHandbook[[#This Row],[UDC]],TableOUMPTCHSE[],7,FALSE),"")</f>
        <v>Option</v>
      </c>
      <c r="P34" s="250" t="str">
        <f>IFERROR(VLOOKUP(TableHandbook[[#This Row],[UDC]],TableOCTESOL1[],7,FALSE),"")</f>
        <v/>
      </c>
      <c r="Q34" s="248" t="str">
        <f>IFERROR(VLOOKUP(TableHandbook[[#This Row],[UDC]],TableOCTESOL[],7,FALSE),"")</f>
        <v/>
      </c>
      <c r="R34" s="248" t="str">
        <f>IFERROR(VLOOKUP(TableHandbook[[#This Row],[UDC]],TableOMAPLING[],7,FALSE),"")</f>
        <v/>
      </c>
      <c r="S34" s="250" t="str">
        <f>IFERROR(VLOOKUP(TableHandbook[[#This Row],[UDC]],TableOCEDHE1[],7,FALSE),"")</f>
        <v/>
      </c>
      <c r="T34" s="248" t="str">
        <f>IFERROR(VLOOKUP(TableHandbook[[#This Row],[UDC]],TableOCEDHE[],7,FALSE),"")</f>
        <v/>
      </c>
      <c r="U34" s="248" t="str">
        <f>IFERROR(VLOOKUP(TableHandbook[[#This Row],[UDC]],TableOCEDUCS1[],7,FALSE),"")</f>
        <v/>
      </c>
      <c r="V34" s="248" t="str">
        <f>IFERROR(VLOOKUP(TableHandbook[[#This Row],[UDC]],TableOCEDUC[],7,FALSE),"")</f>
        <v/>
      </c>
      <c r="W34" s="248" t="str">
        <f>IFERROR(VLOOKUP(TableHandbook[[#This Row],[UDC]],TableOGEDUC[],7,FALSE),"")</f>
        <v/>
      </c>
      <c r="X34" s="248" t="str">
        <f>IFERROR(VLOOKUP(TableHandbook[[#This Row],[UDC]],TableOUMPEDUPR[],7,FALSE),"")</f>
        <v/>
      </c>
      <c r="Y34" s="248" t="str">
        <f>IFERROR(VLOOKUP(TableHandbook[[#This Row],[UDC]],TableOUMPEDUSC[],7,FALSE),"")</f>
        <v>Option</v>
      </c>
      <c r="Z34" s="250" t="str">
        <f>IFERROR(VLOOKUP(TableHandbook[[#This Row],[UDC]],TableOMEDUC[],7,FALSE),"")</f>
        <v/>
      </c>
      <c r="AA34" s="248" t="str">
        <f>IFERROR(VLOOKUP(TableHandbook[[#This Row],[UDC]],TableOSEPCULIN[],7,FALSE),"")</f>
        <v/>
      </c>
      <c r="AB34" s="248" t="str">
        <f>IFERROR(VLOOKUP(TableHandbook[[#This Row],[UDC]],TableOSEPLNTCH[],7,FALSE),"")</f>
        <v/>
      </c>
      <c r="AC34" s="248" t="str">
        <f>IFERROR(VLOOKUP(TableHandbook[[#This Row],[UDC]],TableOSEPSTEME[],7,FALSE),"")</f>
        <v/>
      </c>
    </row>
    <row r="35" spans="1:29" x14ac:dyDescent="0.25">
      <c r="A35" s="2" t="s">
        <v>318</v>
      </c>
      <c r="B35" s="3">
        <v>1</v>
      </c>
      <c r="C35" s="3" t="s">
        <v>415</v>
      </c>
      <c r="D35" s="2" t="s">
        <v>416</v>
      </c>
      <c r="E35" s="3">
        <v>25</v>
      </c>
      <c r="F35" s="245" t="s">
        <v>357</v>
      </c>
      <c r="G35" s="247" t="str">
        <f>IFERROR(IF(VLOOKUP(TableHandbook[[#This Row],[UDC]],TableAvailabilities[],2,FALSE)&gt;0,"Y",""),"")</f>
        <v/>
      </c>
      <c r="H35" s="247" t="str">
        <f>IFERROR(IF(VLOOKUP(TableHandbook[[#This Row],[UDC]],TableAvailabilities[],3,FALSE)&gt;0,"Y",""),"")</f>
        <v>Y</v>
      </c>
      <c r="I35" s="247" t="str">
        <f>IFERROR(IF(VLOOKUP(TableHandbook[[#This Row],[UDC]],TableAvailabilities[],4,FALSE)&gt;0,"Y",""),"")</f>
        <v/>
      </c>
      <c r="J35" s="247" t="str">
        <f>IFERROR(IF(VLOOKUP(TableHandbook[[#This Row],[UDC]],TableAvailabilities[],5,FALSE)&gt;0,"Y",""),"")</f>
        <v>Y</v>
      </c>
      <c r="K35" s="2"/>
      <c r="L35" s="250" t="str">
        <f>IFERROR(VLOOKUP(TableHandbook[[#This Row],[UDC]],TableOMTEACH1[],7,FALSE),"")</f>
        <v/>
      </c>
      <c r="M35" s="248" t="str">
        <f>IFERROR(VLOOKUP(TableHandbook[[#This Row],[UDC]],TableOUMPTCHEC[],7,FALSE),"")</f>
        <v/>
      </c>
      <c r="N35" s="248" t="str">
        <f>IFERROR(VLOOKUP(TableHandbook[[#This Row],[UDC]],TableOUMPTCHPE[],7,FALSE),"")</f>
        <v/>
      </c>
      <c r="O35" s="248" t="str">
        <f>IFERROR(VLOOKUP(TableHandbook[[#This Row],[UDC]],TableOUMPTCHSE[],7,FALSE),"")</f>
        <v>Option</v>
      </c>
      <c r="P35" s="250" t="str">
        <f>IFERROR(VLOOKUP(TableHandbook[[#This Row],[UDC]],TableOCTESOL1[],7,FALSE),"")</f>
        <v/>
      </c>
      <c r="Q35" s="248" t="str">
        <f>IFERROR(VLOOKUP(TableHandbook[[#This Row],[UDC]],TableOCTESOL[],7,FALSE),"")</f>
        <v/>
      </c>
      <c r="R35" s="248" t="str">
        <f>IFERROR(VLOOKUP(TableHandbook[[#This Row],[UDC]],TableOMAPLING[],7,FALSE),"")</f>
        <v/>
      </c>
      <c r="S35" s="250" t="str">
        <f>IFERROR(VLOOKUP(TableHandbook[[#This Row],[UDC]],TableOCEDHE1[],7,FALSE),"")</f>
        <v/>
      </c>
      <c r="T35" s="248" t="str">
        <f>IFERROR(VLOOKUP(TableHandbook[[#This Row],[UDC]],TableOCEDHE[],7,FALSE),"")</f>
        <v/>
      </c>
      <c r="U35" s="248" t="str">
        <f>IFERROR(VLOOKUP(TableHandbook[[#This Row],[UDC]],TableOCEDUCS1[],7,FALSE),"")</f>
        <v/>
      </c>
      <c r="V35" s="248" t="str">
        <f>IFERROR(VLOOKUP(TableHandbook[[#This Row],[UDC]],TableOCEDUC[],7,FALSE),"")</f>
        <v/>
      </c>
      <c r="W35" s="248" t="str">
        <f>IFERROR(VLOOKUP(TableHandbook[[#This Row],[UDC]],TableOGEDUC[],7,FALSE),"")</f>
        <v/>
      </c>
      <c r="X35" s="248" t="str">
        <f>IFERROR(VLOOKUP(TableHandbook[[#This Row],[UDC]],TableOUMPEDUPR[],7,FALSE),"")</f>
        <v/>
      </c>
      <c r="Y35" s="248" t="str">
        <f>IFERROR(VLOOKUP(TableHandbook[[#This Row],[UDC]],TableOUMPEDUSC[],7,FALSE),"")</f>
        <v>Option</v>
      </c>
      <c r="Z35" s="250" t="str">
        <f>IFERROR(VLOOKUP(TableHandbook[[#This Row],[UDC]],TableOMEDUC[],7,FALSE),"")</f>
        <v/>
      </c>
      <c r="AA35" s="248" t="str">
        <f>IFERROR(VLOOKUP(TableHandbook[[#This Row],[UDC]],TableOSEPCULIN[],7,FALSE),"")</f>
        <v/>
      </c>
      <c r="AB35" s="248" t="str">
        <f>IFERROR(VLOOKUP(TableHandbook[[#This Row],[UDC]],TableOSEPLNTCH[],7,FALSE),"")</f>
        <v/>
      </c>
      <c r="AC35" s="248" t="str">
        <f>IFERROR(VLOOKUP(TableHandbook[[#This Row],[UDC]],TableOSEPSTEME[],7,FALSE),"")</f>
        <v/>
      </c>
    </row>
    <row r="36" spans="1:29" x14ac:dyDescent="0.25">
      <c r="A36" s="2" t="s">
        <v>319</v>
      </c>
      <c r="B36" s="3">
        <v>1</v>
      </c>
      <c r="C36" s="3" t="s">
        <v>417</v>
      </c>
      <c r="D36" s="2" t="s">
        <v>418</v>
      </c>
      <c r="E36" s="3">
        <v>25</v>
      </c>
      <c r="F36" s="245" t="s">
        <v>357</v>
      </c>
      <c r="G36" s="247" t="str">
        <f>IFERROR(IF(VLOOKUP(TableHandbook[[#This Row],[UDC]],TableAvailabilities[],2,FALSE)&gt;0,"Y",""),"")</f>
        <v/>
      </c>
      <c r="H36" s="247" t="str">
        <f>IFERROR(IF(VLOOKUP(TableHandbook[[#This Row],[UDC]],TableAvailabilities[],3,FALSE)&gt;0,"Y",""),"")</f>
        <v>Y</v>
      </c>
      <c r="I36" s="247" t="str">
        <f>IFERROR(IF(VLOOKUP(TableHandbook[[#This Row],[UDC]],TableAvailabilities[],4,FALSE)&gt;0,"Y",""),"")</f>
        <v/>
      </c>
      <c r="J36" s="247" t="str">
        <f>IFERROR(IF(VLOOKUP(TableHandbook[[#This Row],[UDC]],TableAvailabilities[],5,FALSE)&gt;0,"Y",""),"")</f>
        <v>Y</v>
      </c>
      <c r="K36" s="2"/>
      <c r="L36" s="250" t="str">
        <f>IFERROR(VLOOKUP(TableHandbook[[#This Row],[UDC]],TableOMTEACH1[],7,FALSE),"")</f>
        <v/>
      </c>
      <c r="M36" s="248" t="str">
        <f>IFERROR(VLOOKUP(TableHandbook[[#This Row],[UDC]],TableOUMPTCHEC[],7,FALSE),"")</f>
        <v/>
      </c>
      <c r="N36" s="248" t="str">
        <f>IFERROR(VLOOKUP(TableHandbook[[#This Row],[UDC]],TableOUMPTCHPE[],7,FALSE),"")</f>
        <v/>
      </c>
      <c r="O36" s="248" t="str">
        <f>IFERROR(VLOOKUP(TableHandbook[[#This Row],[UDC]],TableOUMPTCHSE[],7,FALSE),"")</f>
        <v>Option</v>
      </c>
      <c r="P36" s="250" t="str">
        <f>IFERROR(VLOOKUP(TableHandbook[[#This Row],[UDC]],TableOCTESOL1[],7,FALSE),"")</f>
        <v/>
      </c>
      <c r="Q36" s="248" t="str">
        <f>IFERROR(VLOOKUP(TableHandbook[[#This Row],[UDC]],TableOCTESOL[],7,FALSE),"")</f>
        <v/>
      </c>
      <c r="R36" s="248" t="str">
        <f>IFERROR(VLOOKUP(TableHandbook[[#This Row],[UDC]],TableOMAPLING[],7,FALSE),"")</f>
        <v/>
      </c>
      <c r="S36" s="250" t="str">
        <f>IFERROR(VLOOKUP(TableHandbook[[#This Row],[UDC]],TableOCEDHE1[],7,FALSE),"")</f>
        <v/>
      </c>
      <c r="T36" s="248" t="str">
        <f>IFERROR(VLOOKUP(TableHandbook[[#This Row],[UDC]],TableOCEDHE[],7,FALSE),"")</f>
        <v/>
      </c>
      <c r="U36" s="248" t="str">
        <f>IFERROR(VLOOKUP(TableHandbook[[#This Row],[UDC]],TableOCEDUCS1[],7,FALSE),"")</f>
        <v/>
      </c>
      <c r="V36" s="248" t="str">
        <f>IFERROR(VLOOKUP(TableHandbook[[#This Row],[UDC]],TableOCEDUC[],7,FALSE),"")</f>
        <v/>
      </c>
      <c r="W36" s="248" t="str">
        <f>IFERROR(VLOOKUP(TableHandbook[[#This Row],[UDC]],TableOGEDUC[],7,FALSE),"")</f>
        <v/>
      </c>
      <c r="X36" s="248" t="str">
        <f>IFERROR(VLOOKUP(TableHandbook[[#This Row],[UDC]],TableOUMPEDUPR[],7,FALSE),"")</f>
        <v/>
      </c>
      <c r="Y36" s="248" t="str">
        <f>IFERROR(VLOOKUP(TableHandbook[[#This Row],[UDC]],TableOUMPEDUSC[],7,FALSE),"")</f>
        <v>Option</v>
      </c>
      <c r="Z36" s="250" t="str">
        <f>IFERROR(VLOOKUP(TableHandbook[[#This Row],[UDC]],TableOMEDUC[],7,FALSE),"")</f>
        <v/>
      </c>
      <c r="AA36" s="248" t="str">
        <f>IFERROR(VLOOKUP(TableHandbook[[#This Row],[UDC]],TableOSEPCULIN[],7,FALSE),"")</f>
        <v/>
      </c>
      <c r="AB36" s="248" t="str">
        <f>IFERROR(VLOOKUP(TableHandbook[[#This Row],[UDC]],TableOSEPLNTCH[],7,FALSE),"")</f>
        <v/>
      </c>
      <c r="AC36" s="248" t="str">
        <f>IFERROR(VLOOKUP(TableHandbook[[#This Row],[UDC]],TableOSEPSTEME[],7,FALSE),"")</f>
        <v/>
      </c>
    </row>
    <row r="37" spans="1:29" x14ac:dyDescent="0.25">
      <c r="A37" s="2" t="s">
        <v>320</v>
      </c>
      <c r="B37" s="3">
        <v>1</v>
      </c>
      <c r="C37" s="3" t="s">
        <v>419</v>
      </c>
      <c r="D37" s="2" t="s">
        <v>420</v>
      </c>
      <c r="E37" s="3">
        <v>25</v>
      </c>
      <c r="F37" s="245" t="s">
        <v>357</v>
      </c>
      <c r="G37" s="247" t="str">
        <f>IFERROR(IF(VLOOKUP(TableHandbook[[#This Row],[UDC]],TableAvailabilities[],2,FALSE)&gt;0,"Y",""),"")</f>
        <v/>
      </c>
      <c r="H37" s="247" t="str">
        <f>IFERROR(IF(VLOOKUP(TableHandbook[[#This Row],[UDC]],TableAvailabilities[],3,FALSE)&gt;0,"Y",""),"")</f>
        <v>Y</v>
      </c>
      <c r="I37" s="247" t="str">
        <f>IFERROR(IF(VLOOKUP(TableHandbook[[#This Row],[UDC]],TableAvailabilities[],4,FALSE)&gt;0,"Y",""),"")</f>
        <v/>
      </c>
      <c r="J37" s="247" t="str">
        <f>IFERROR(IF(VLOOKUP(TableHandbook[[#This Row],[UDC]],TableAvailabilities[],5,FALSE)&gt;0,"Y",""),"")</f>
        <v>Y</v>
      </c>
      <c r="K37" s="2"/>
      <c r="L37" s="250" t="str">
        <f>IFERROR(VLOOKUP(TableHandbook[[#This Row],[UDC]],TableOMTEACH1[],7,FALSE),"")</f>
        <v/>
      </c>
      <c r="M37" s="248" t="str">
        <f>IFERROR(VLOOKUP(TableHandbook[[#This Row],[UDC]],TableOUMPTCHEC[],7,FALSE),"")</f>
        <v/>
      </c>
      <c r="N37" s="248" t="str">
        <f>IFERROR(VLOOKUP(TableHandbook[[#This Row],[UDC]],TableOUMPTCHPE[],7,FALSE),"")</f>
        <v/>
      </c>
      <c r="O37" s="248" t="str">
        <f>IFERROR(VLOOKUP(TableHandbook[[#This Row],[UDC]],TableOUMPTCHSE[],7,FALSE),"")</f>
        <v>Option</v>
      </c>
      <c r="P37" s="250" t="str">
        <f>IFERROR(VLOOKUP(TableHandbook[[#This Row],[UDC]],TableOCTESOL1[],7,FALSE),"")</f>
        <v/>
      </c>
      <c r="Q37" s="248" t="str">
        <f>IFERROR(VLOOKUP(TableHandbook[[#This Row],[UDC]],TableOCTESOL[],7,FALSE),"")</f>
        <v/>
      </c>
      <c r="R37" s="248" t="str">
        <f>IFERROR(VLOOKUP(TableHandbook[[#This Row],[UDC]],TableOMAPLING[],7,FALSE),"")</f>
        <v/>
      </c>
      <c r="S37" s="250" t="str">
        <f>IFERROR(VLOOKUP(TableHandbook[[#This Row],[UDC]],TableOCEDHE1[],7,FALSE),"")</f>
        <v/>
      </c>
      <c r="T37" s="248" t="str">
        <f>IFERROR(VLOOKUP(TableHandbook[[#This Row],[UDC]],TableOCEDHE[],7,FALSE),"")</f>
        <v/>
      </c>
      <c r="U37" s="248" t="str">
        <f>IFERROR(VLOOKUP(TableHandbook[[#This Row],[UDC]],TableOCEDUCS1[],7,FALSE),"")</f>
        <v/>
      </c>
      <c r="V37" s="248" t="str">
        <f>IFERROR(VLOOKUP(TableHandbook[[#This Row],[UDC]],TableOCEDUC[],7,FALSE),"")</f>
        <v/>
      </c>
      <c r="W37" s="248" t="str">
        <f>IFERROR(VLOOKUP(TableHandbook[[#This Row],[UDC]],TableOGEDUC[],7,FALSE),"")</f>
        <v/>
      </c>
      <c r="X37" s="248" t="str">
        <f>IFERROR(VLOOKUP(TableHandbook[[#This Row],[UDC]],TableOUMPEDUPR[],7,FALSE),"")</f>
        <v/>
      </c>
      <c r="Y37" s="248" t="str">
        <f>IFERROR(VLOOKUP(TableHandbook[[#This Row],[UDC]],TableOUMPEDUSC[],7,FALSE),"")</f>
        <v>Option</v>
      </c>
      <c r="Z37" s="250" t="str">
        <f>IFERROR(VLOOKUP(TableHandbook[[#This Row],[UDC]],TableOMEDUC[],7,FALSE),"")</f>
        <v/>
      </c>
      <c r="AA37" s="248" t="str">
        <f>IFERROR(VLOOKUP(TableHandbook[[#This Row],[UDC]],TableOSEPCULIN[],7,FALSE),"")</f>
        <v/>
      </c>
      <c r="AB37" s="248" t="str">
        <f>IFERROR(VLOOKUP(TableHandbook[[#This Row],[UDC]],TableOSEPLNTCH[],7,FALSE),"")</f>
        <v/>
      </c>
      <c r="AC37" s="248" t="str">
        <f>IFERROR(VLOOKUP(TableHandbook[[#This Row],[UDC]],TableOSEPSTEME[],7,FALSE),"")</f>
        <v/>
      </c>
    </row>
    <row r="38" spans="1:29" x14ac:dyDescent="0.25">
      <c r="A38" s="2" t="s">
        <v>323</v>
      </c>
      <c r="B38" s="3">
        <v>2</v>
      </c>
      <c r="C38" s="3" t="s">
        <v>421</v>
      </c>
      <c r="D38" s="2" t="s">
        <v>422</v>
      </c>
      <c r="E38" s="3">
        <v>25</v>
      </c>
      <c r="F38" s="245" t="s">
        <v>357</v>
      </c>
      <c r="G38" s="247" t="str">
        <f>IFERROR(IF(VLOOKUP(TableHandbook[[#This Row],[UDC]],TableAvailabilities[],2,FALSE)&gt;0,"Y",""),"")</f>
        <v/>
      </c>
      <c r="H38" s="247" t="str">
        <f>IFERROR(IF(VLOOKUP(TableHandbook[[#This Row],[UDC]],TableAvailabilities[],3,FALSE)&gt;0,"Y",""),"")</f>
        <v>Y</v>
      </c>
      <c r="I38" s="247" t="str">
        <f>IFERROR(IF(VLOOKUP(TableHandbook[[#This Row],[UDC]],TableAvailabilities[],4,FALSE)&gt;0,"Y",""),"")</f>
        <v/>
      </c>
      <c r="J38" s="247" t="str">
        <f>IFERROR(IF(VLOOKUP(TableHandbook[[#This Row],[UDC]],TableAvailabilities[],5,FALSE)&gt;0,"Y",""),"")</f>
        <v>Y</v>
      </c>
      <c r="K38" s="2"/>
      <c r="L38" s="250" t="str">
        <f>IFERROR(VLOOKUP(TableHandbook[[#This Row],[UDC]],TableOMTEACH1[],7,FALSE),"")</f>
        <v/>
      </c>
      <c r="M38" s="248" t="str">
        <f>IFERROR(VLOOKUP(TableHandbook[[#This Row],[UDC]],TableOUMPTCHEC[],7,FALSE),"")</f>
        <v/>
      </c>
      <c r="N38" s="248" t="str">
        <f>IFERROR(VLOOKUP(TableHandbook[[#This Row],[UDC]],TableOUMPTCHPE[],7,FALSE),"")</f>
        <v/>
      </c>
      <c r="O38" s="248" t="str">
        <f>IFERROR(VLOOKUP(TableHandbook[[#This Row],[UDC]],TableOUMPTCHSE[],7,FALSE),"")</f>
        <v>Option</v>
      </c>
      <c r="P38" s="250" t="str">
        <f>IFERROR(VLOOKUP(TableHandbook[[#This Row],[UDC]],TableOCTESOL1[],7,FALSE),"")</f>
        <v/>
      </c>
      <c r="Q38" s="248" t="str">
        <f>IFERROR(VLOOKUP(TableHandbook[[#This Row],[UDC]],TableOCTESOL[],7,FALSE),"")</f>
        <v/>
      </c>
      <c r="R38" s="248" t="str">
        <f>IFERROR(VLOOKUP(TableHandbook[[#This Row],[UDC]],TableOMAPLING[],7,FALSE),"")</f>
        <v/>
      </c>
      <c r="S38" s="250" t="str">
        <f>IFERROR(VLOOKUP(TableHandbook[[#This Row],[UDC]],TableOCEDHE1[],7,FALSE),"")</f>
        <v/>
      </c>
      <c r="T38" s="248" t="str">
        <f>IFERROR(VLOOKUP(TableHandbook[[#This Row],[UDC]],TableOCEDHE[],7,FALSE),"")</f>
        <v/>
      </c>
      <c r="U38" s="248" t="str">
        <f>IFERROR(VLOOKUP(TableHandbook[[#This Row],[UDC]],TableOCEDUCS1[],7,FALSE),"")</f>
        <v/>
      </c>
      <c r="V38" s="248" t="str">
        <f>IFERROR(VLOOKUP(TableHandbook[[#This Row],[UDC]],TableOCEDUC[],7,FALSE),"")</f>
        <v/>
      </c>
      <c r="W38" s="248" t="str">
        <f>IFERROR(VLOOKUP(TableHandbook[[#This Row],[UDC]],TableOGEDUC[],7,FALSE),"")</f>
        <v/>
      </c>
      <c r="X38" s="248" t="str">
        <f>IFERROR(VLOOKUP(TableHandbook[[#This Row],[UDC]],TableOUMPEDUPR[],7,FALSE),"")</f>
        <v/>
      </c>
      <c r="Y38" s="248" t="str">
        <f>IFERROR(VLOOKUP(TableHandbook[[#This Row],[UDC]],TableOUMPEDUSC[],7,FALSE),"")</f>
        <v>Option</v>
      </c>
      <c r="Z38" s="250" t="str">
        <f>IFERROR(VLOOKUP(TableHandbook[[#This Row],[UDC]],TableOMEDUC[],7,FALSE),"")</f>
        <v/>
      </c>
      <c r="AA38" s="248" t="str">
        <f>IFERROR(VLOOKUP(TableHandbook[[#This Row],[UDC]],TableOSEPCULIN[],7,FALSE),"")</f>
        <v/>
      </c>
      <c r="AB38" s="248" t="str">
        <f>IFERROR(VLOOKUP(TableHandbook[[#This Row],[UDC]],TableOSEPLNTCH[],7,FALSE),"")</f>
        <v/>
      </c>
      <c r="AC38" s="248" t="str">
        <f>IFERROR(VLOOKUP(TableHandbook[[#This Row],[UDC]],TableOSEPSTEME[],7,FALSE),"")</f>
        <v/>
      </c>
    </row>
    <row r="39" spans="1:29" x14ac:dyDescent="0.25">
      <c r="A39" s="2" t="s">
        <v>326</v>
      </c>
      <c r="B39" s="3">
        <v>2</v>
      </c>
      <c r="C39" s="3" t="s">
        <v>423</v>
      </c>
      <c r="D39" s="2" t="s">
        <v>424</v>
      </c>
      <c r="E39" s="3">
        <v>25</v>
      </c>
      <c r="F39" s="245" t="s">
        <v>357</v>
      </c>
      <c r="G39" s="247" t="str">
        <f>IFERROR(IF(VLOOKUP(TableHandbook[[#This Row],[UDC]],TableAvailabilities[],2,FALSE)&gt;0,"Y",""),"")</f>
        <v/>
      </c>
      <c r="H39" s="247" t="str">
        <f>IFERROR(IF(VLOOKUP(TableHandbook[[#This Row],[UDC]],TableAvailabilities[],3,FALSE)&gt;0,"Y",""),"")</f>
        <v>Y</v>
      </c>
      <c r="I39" s="247" t="str">
        <f>IFERROR(IF(VLOOKUP(TableHandbook[[#This Row],[UDC]],TableAvailabilities[],4,FALSE)&gt;0,"Y",""),"")</f>
        <v/>
      </c>
      <c r="J39" s="247" t="str">
        <f>IFERROR(IF(VLOOKUP(TableHandbook[[#This Row],[UDC]],TableAvailabilities[],5,FALSE)&gt;0,"Y",""),"")</f>
        <v>Y</v>
      </c>
      <c r="K39" s="2"/>
      <c r="L39" s="250" t="str">
        <f>IFERROR(VLOOKUP(TableHandbook[[#This Row],[UDC]],TableOMTEACH1[],7,FALSE),"")</f>
        <v/>
      </c>
      <c r="M39" s="248" t="str">
        <f>IFERROR(VLOOKUP(TableHandbook[[#This Row],[UDC]],TableOUMPTCHEC[],7,FALSE),"")</f>
        <v/>
      </c>
      <c r="N39" s="248" t="str">
        <f>IFERROR(VLOOKUP(TableHandbook[[#This Row],[UDC]],TableOUMPTCHPE[],7,FALSE),"")</f>
        <v/>
      </c>
      <c r="O39" s="248" t="str">
        <f>IFERROR(VLOOKUP(TableHandbook[[#This Row],[UDC]],TableOUMPTCHSE[],7,FALSE),"")</f>
        <v>Option</v>
      </c>
      <c r="P39" s="250" t="str">
        <f>IFERROR(VLOOKUP(TableHandbook[[#This Row],[UDC]],TableOCTESOL1[],7,FALSE),"")</f>
        <v/>
      </c>
      <c r="Q39" s="248" t="str">
        <f>IFERROR(VLOOKUP(TableHandbook[[#This Row],[UDC]],TableOCTESOL[],7,FALSE),"")</f>
        <v/>
      </c>
      <c r="R39" s="248" t="str">
        <f>IFERROR(VLOOKUP(TableHandbook[[#This Row],[UDC]],TableOMAPLING[],7,FALSE),"")</f>
        <v/>
      </c>
      <c r="S39" s="250" t="str">
        <f>IFERROR(VLOOKUP(TableHandbook[[#This Row],[UDC]],TableOCEDHE1[],7,FALSE),"")</f>
        <v/>
      </c>
      <c r="T39" s="248" t="str">
        <f>IFERROR(VLOOKUP(TableHandbook[[#This Row],[UDC]],TableOCEDHE[],7,FALSE),"")</f>
        <v/>
      </c>
      <c r="U39" s="248" t="str">
        <f>IFERROR(VLOOKUP(TableHandbook[[#This Row],[UDC]],TableOCEDUCS1[],7,FALSE),"")</f>
        <v/>
      </c>
      <c r="V39" s="248" t="str">
        <f>IFERROR(VLOOKUP(TableHandbook[[#This Row],[UDC]],TableOCEDUC[],7,FALSE),"")</f>
        <v/>
      </c>
      <c r="W39" s="248" t="str">
        <f>IFERROR(VLOOKUP(TableHandbook[[#This Row],[UDC]],TableOGEDUC[],7,FALSE),"")</f>
        <v/>
      </c>
      <c r="X39" s="248" t="str">
        <f>IFERROR(VLOOKUP(TableHandbook[[#This Row],[UDC]],TableOUMPEDUPR[],7,FALSE),"")</f>
        <v/>
      </c>
      <c r="Y39" s="248" t="str">
        <f>IFERROR(VLOOKUP(TableHandbook[[#This Row],[UDC]],TableOUMPEDUSC[],7,FALSE),"")</f>
        <v>Option</v>
      </c>
      <c r="Z39" s="250" t="str">
        <f>IFERROR(VLOOKUP(TableHandbook[[#This Row],[UDC]],TableOMEDUC[],7,FALSE),"")</f>
        <v/>
      </c>
      <c r="AA39" s="248" t="str">
        <f>IFERROR(VLOOKUP(TableHandbook[[#This Row],[UDC]],TableOSEPCULIN[],7,FALSE),"")</f>
        <v/>
      </c>
      <c r="AB39" s="248" t="str">
        <f>IFERROR(VLOOKUP(TableHandbook[[#This Row],[UDC]],TableOSEPLNTCH[],7,FALSE),"")</f>
        <v/>
      </c>
      <c r="AC39" s="248" t="str">
        <f>IFERROR(VLOOKUP(TableHandbook[[#This Row],[UDC]],TableOSEPSTEME[],7,FALSE),"")</f>
        <v/>
      </c>
    </row>
    <row r="40" spans="1:29" x14ac:dyDescent="0.25">
      <c r="A40" s="2" t="s">
        <v>327</v>
      </c>
      <c r="B40" s="3">
        <v>2</v>
      </c>
      <c r="C40" s="3" t="s">
        <v>425</v>
      </c>
      <c r="D40" s="2" t="s">
        <v>426</v>
      </c>
      <c r="E40" s="3">
        <v>25</v>
      </c>
      <c r="F40" s="245" t="s">
        <v>357</v>
      </c>
      <c r="G40" s="247" t="str">
        <f>IFERROR(IF(VLOOKUP(TableHandbook[[#This Row],[UDC]],TableAvailabilities[],2,FALSE)&gt;0,"Y",""),"")</f>
        <v/>
      </c>
      <c r="H40" s="247" t="str">
        <f>IFERROR(IF(VLOOKUP(TableHandbook[[#This Row],[UDC]],TableAvailabilities[],3,FALSE)&gt;0,"Y",""),"")</f>
        <v>Y</v>
      </c>
      <c r="I40" s="247" t="str">
        <f>IFERROR(IF(VLOOKUP(TableHandbook[[#This Row],[UDC]],TableAvailabilities[],4,FALSE)&gt;0,"Y",""),"")</f>
        <v/>
      </c>
      <c r="J40" s="247" t="str">
        <f>IFERROR(IF(VLOOKUP(TableHandbook[[#This Row],[UDC]],TableAvailabilities[],5,FALSE)&gt;0,"Y",""),"")</f>
        <v>Y</v>
      </c>
      <c r="K40" s="2"/>
      <c r="L40" s="250" t="str">
        <f>IFERROR(VLOOKUP(TableHandbook[[#This Row],[UDC]],TableOMTEACH1[],7,FALSE),"")</f>
        <v/>
      </c>
      <c r="M40" s="248" t="str">
        <f>IFERROR(VLOOKUP(TableHandbook[[#This Row],[UDC]],TableOUMPTCHEC[],7,FALSE),"")</f>
        <v/>
      </c>
      <c r="N40" s="248" t="str">
        <f>IFERROR(VLOOKUP(TableHandbook[[#This Row],[UDC]],TableOUMPTCHPE[],7,FALSE),"")</f>
        <v/>
      </c>
      <c r="O40" s="248" t="str">
        <f>IFERROR(VLOOKUP(TableHandbook[[#This Row],[UDC]],TableOUMPTCHSE[],7,FALSE),"")</f>
        <v>Option</v>
      </c>
      <c r="P40" s="250" t="str">
        <f>IFERROR(VLOOKUP(TableHandbook[[#This Row],[UDC]],TableOCTESOL1[],7,FALSE),"")</f>
        <v/>
      </c>
      <c r="Q40" s="248" t="str">
        <f>IFERROR(VLOOKUP(TableHandbook[[#This Row],[UDC]],TableOCTESOL[],7,FALSE),"")</f>
        <v/>
      </c>
      <c r="R40" s="248" t="str">
        <f>IFERROR(VLOOKUP(TableHandbook[[#This Row],[UDC]],TableOMAPLING[],7,FALSE),"")</f>
        <v/>
      </c>
      <c r="S40" s="250" t="str">
        <f>IFERROR(VLOOKUP(TableHandbook[[#This Row],[UDC]],TableOCEDHE1[],7,FALSE),"")</f>
        <v/>
      </c>
      <c r="T40" s="248" t="str">
        <f>IFERROR(VLOOKUP(TableHandbook[[#This Row],[UDC]],TableOCEDHE[],7,FALSE),"")</f>
        <v/>
      </c>
      <c r="U40" s="248" t="str">
        <f>IFERROR(VLOOKUP(TableHandbook[[#This Row],[UDC]],TableOCEDUCS1[],7,FALSE),"")</f>
        <v/>
      </c>
      <c r="V40" s="248" t="str">
        <f>IFERROR(VLOOKUP(TableHandbook[[#This Row],[UDC]],TableOCEDUC[],7,FALSE),"")</f>
        <v/>
      </c>
      <c r="W40" s="248" t="str">
        <f>IFERROR(VLOOKUP(TableHandbook[[#This Row],[UDC]],TableOGEDUC[],7,FALSE),"")</f>
        <v/>
      </c>
      <c r="X40" s="248" t="str">
        <f>IFERROR(VLOOKUP(TableHandbook[[#This Row],[UDC]],TableOUMPEDUPR[],7,FALSE),"")</f>
        <v/>
      </c>
      <c r="Y40" s="248" t="str">
        <f>IFERROR(VLOOKUP(TableHandbook[[#This Row],[UDC]],TableOUMPEDUSC[],7,FALSE),"")</f>
        <v>Option</v>
      </c>
      <c r="Z40" s="250" t="str">
        <f>IFERROR(VLOOKUP(TableHandbook[[#This Row],[UDC]],TableOMEDUC[],7,FALSE),"")</f>
        <v/>
      </c>
      <c r="AA40" s="248" t="str">
        <f>IFERROR(VLOOKUP(TableHandbook[[#This Row],[UDC]],TableOSEPCULIN[],7,FALSE),"")</f>
        <v/>
      </c>
      <c r="AB40" s="248" t="str">
        <f>IFERROR(VLOOKUP(TableHandbook[[#This Row],[UDC]],TableOSEPLNTCH[],7,FALSE),"")</f>
        <v/>
      </c>
      <c r="AC40" s="248" t="str">
        <f>IFERROR(VLOOKUP(TableHandbook[[#This Row],[UDC]],TableOSEPSTEME[],7,FALSE),"")</f>
        <v/>
      </c>
    </row>
    <row r="41" spans="1:29" x14ac:dyDescent="0.25">
      <c r="A41" s="2" t="s">
        <v>328</v>
      </c>
      <c r="B41" s="3">
        <v>2</v>
      </c>
      <c r="C41" s="3" t="s">
        <v>427</v>
      </c>
      <c r="D41" s="2" t="s">
        <v>428</v>
      </c>
      <c r="E41" s="3">
        <v>25</v>
      </c>
      <c r="F41" s="245" t="s">
        <v>357</v>
      </c>
      <c r="G41" s="247" t="str">
        <f>IFERROR(IF(VLOOKUP(TableHandbook[[#This Row],[UDC]],TableAvailabilities[],2,FALSE)&gt;0,"Y",""),"")</f>
        <v/>
      </c>
      <c r="H41" s="247" t="str">
        <f>IFERROR(IF(VLOOKUP(TableHandbook[[#This Row],[UDC]],TableAvailabilities[],3,FALSE)&gt;0,"Y",""),"")</f>
        <v>Y</v>
      </c>
      <c r="I41" s="247" t="str">
        <f>IFERROR(IF(VLOOKUP(TableHandbook[[#This Row],[UDC]],TableAvailabilities[],4,FALSE)&gt;0,"Y",""),"")</f>
        <v/>
      </c>
      <c r="J41" s="247" t="str">
        <f>IFERROR(IF(VLOOKUP(TableHandbook[[#This Row],[UDC]],TableAvailabilities[],5,FALSE)&gt;0,"Y",""),"")</f>
        <v>Y</v>
      </c>
      <c r="K41" s="2"/>
      <c r="L41" s="250" t="str">
        <f>IFERROR(VLOOKUP(TableHandbook[[#This Row],[UDC]],TableOMTEACH1[],7,FALSE),"")</f>
        <v/>
      </c>
      <c r="M41" s="248" t="str">
        <f>IFERROR(VLOOKUP(TableHandbook[[#This Row],[UDC]],TableOUMPTCHEC[],7,FALSE),"")</f>
        <v/>
      </c>
      <c r="N41" s="248" t="str">
        <f>IFERROR(VLOOKUP(TableHandbook[[#This Row],[UDC]],TableOUMPTCHPE[],7,FALSE),"")</f>
        <v/>
      </c>
      <c r="O41" s="248" t="str">
        <f>IFERROR(VLOOKUP(TableHandbook[[#This Row],[UDC]],TableOUMPTCHSE[],7,FALSE),"")</f>
        <v>Option</v>
      </c>
      <c r="P41" s="250" t="str">
        <f>IFERROR(VLOOKUP(TableHandbook[[#This Row],[UDC]],TableOCTESOL1[],7,FALSE),"")</f>
        <v/>
      </c>
      <c r="Q41" s="248" t="str">
        <f>IFERROR(VLOOKUP(TableHandbook[[#This Row],[UDC]],TableOCTESOL[],7,FALSE),"")</f>
        <v/>
      </c>
      <c r="R41" s="248" t="str">
        <f>IFERROR(VLOOKUP(TableHandbook[[#This Row],[UDC]],TableOMAPLING[],7,FALSE),"")</f>
        <v/>
      </c>
      <c r="S41" s="250" t="str">
        <f>IFERROR(VLOOKUP(TableHandbook[[#This Row],[UDC]],TableOCEDHE1[],7,FALSE),"")</f>
        <v/>
      </c>
      <c r="T41" s="248" t="str">
        <f>IFERROR(VLOOKUP(TableHandbook[[#This Row],[UDC]],TableOCEDHE[],7,FALSE),"")</f>
        <v/>
      </c>
      <c r="U41" s="248" t="str">
        <f>IFERROR(VLOOKUP(TableHandbook[[#This Row],[UDC]],TableOCEDUCS1[],7,FALSE),"")</f>
        <v/>
      </c>
      <c r="V41" s="248" t="str">
        <f>IFERROR(VLOOKUP(TableHandbook[[#This Row],[UDC]],TableOCEDUC[],7,FALSE),"")</f>
        <v/>
      </c>
      <c r="W41" s="248" t="str">
        <f>IFERROR(VLOOKUP(TableHandbook[[#This Row],[UDC]],TableOGEDUC[],7,FALSE),"")</f>
        <v/>
      </c>
      <c r="X41" s="248" t="str">
        <f>IFERROR(VLOOKUP(TableHandbook[[#This Row],[UDC]],TableOUMPEDUPR[],7,FALSE),"")</f>
        <v/>
      </c>
      <c r="Y41" s="248" t="str">
        <f>IFERROR(VLOOKUP(TableHandbook[[#This Row],[UDC]],TableOUMPEDUSC[],7,FALSE),"")</f>
        <v>Option</v>
      </c>
      <c r="Z41" s="250" t="str">
        <f>IFERROR(VLOOKUP(TableHandbook[[#This Row],[UDC]],TableOMEDUC[],7,FALSE),"")</f>
        <v/>
      </c>
      <c r="AA41" s="248" t="str">
        <f>IFERROR(VLOOKUP(TableHandbook[[#This Row],[UDC]],TableOSEPCULIN[],7,FALSE),"")</f>
        <v/>
      </c>
      <c r="AB41" s="248" t="str">
        <f>IFERROR(VLOOKUP(TableHandbook[[#This Row],[UDC]],TableOSEPLNTCH[],7,FALSE),"")</f>
        <v/>
      </c>
      <c r="AC41" s="248" t="str">
        <f>IFERROR(VLOOKUP(TableHandbook[[#This Row],[UDC]],TableOSEPSTEME[],7,FALSE),"")</f>
        <v/>
      </c>
    </row>
    <row r="42" spans="1:29" x14ac:dyDescent="0.25">
      <c r="A42" s="2" t="s">
        <v>294</v>
      </c>
      <c r="B42" s="3">
        <v>1</v>
      </c>
      <c r="C42" s="3" t="s">
        <v>429</v>
      </c>
      <c r="D42" s="2" t="s">
        <v>430</v>
      </c>
      <c r="E42" s="3">
        <v>25</v>
      </c>
      <c r="F42" s="287" t="s">
        <v>407</v>
      </c>
      <c r="G42" s="247" t="str">
        <f>IFERROR(IF(VLOOKUP(TableHandbook[[#This Row],[UDC]],TableAvailabilities[],2,FALSE)&gt;0,"Y",""),"")</f>
        <v/>
      </c>
      <c r="H42" s="247" t="str">
        <f>IFERROR(IF(VLOOKUP(TableHandbook[[#This Row],[UDC]],TableAvailabilities[],3,FALSE)&gt;0,"Y",""),"")</f>
        <v>Y</v>
      </c>
      <c r="I42" s="247" t="str">
        <f>IFERROR(IF(VLOOKUP(TableHandbook[[#This Row],[UDC]],TableAvailabilities[],4,FALSE)&gt;0,"Y",""),"")</f>
        <v>Y</v>
      </c>
      <c r="J42" s="247" t="str">
        <f>IFERROR(IF(VLOOKUP(TableHandbook[[#This Row],[UDC]],TableAvailabilities[],5,FALSE)&gt;0,"Y",""),"")</f>
        <v/>
      </c>
      <c r="K42" s="2"/>
      <c r="L42" s="250" t="str">
        <f>IFERROR(VLOOKUP(TableHandbook[[#This Row],[UDC]],TableOMTEACH1[],7,FALSE),"")</f>
        <v/>
      </c>
      <c r="M42" s="248" t="str">
        <f>IFERROR(VLOOKUP(TableHandbook[[#This Row],[UDC]],TableOUMPTCHEC[],7,FALSE),"")</f>
        <v/>
      </c>
      <c r="N42" s="248" t="str">
        <f>IFERROR(VLOOKUP(TableHandbook[[#This Row],[UDC]],TableOUMPTCHPE[],7,FALSE),"")</f>
        <v/>
      </c>
      <c r="O42" s="248" t="str">
        <f>IFERROR(VLOOKUP(TableHandbook[[#This Row],[UDC]],TableOUMPTCHSE[],7,FALSE),"")</f>
        <v>Core</v>
      </c>
      <c r="P42" s="250" t="str">
        <f>IFERROR(VLOOKUP(TableHandbook[[#This Row],[UDC]],TableOCTESOL1[],7,FALSE),"")</f>
        <v/>
      </c>
      <c r="Q42" s="248" t="str">
        <f>IFERROR(VLOOKUP(TableHandbook[[#This Row],[UDC]],TableOCTESOL[],7,FALSE),"")</f>
        <v/>
      </c>
      <c r="R42" s="248" t="str">
        <f>IFERROR(VLOOKUP(TableHandbook[[#This Row],[UDC]],TableOMAPLING[],7,FALSE),"")</f>
        <v/>
      </c>
      <c r="S42" s="250" t="str">
        <f>IFERROR(VLOOKUP(TableHandbook[[#This Row],[UDC]],TableOCEDHE1[],7,FALSE),"")</f>
        <v/>
      </c>
      <c r="T42" s="248" t="str">
        <f>IFERROR(VLOOKUP(TableHandbook[[#This Row],[UDC]],TableOCEDHE[],7,FALSE),"")</f>
        <v/>
      </c>
      <c r="U42" s="248" t="str">
        <f>IFERROR(VLOOKUP(TableHandbook[[#This Row],[UDC]],TableOCEDUCS1[],7,FALSE),"")</f>
        <v/>
      </c>
      <c r="V42" s="248" t="str">
        <f>IFERROR(VLOOKUP(TableHandbook[[#This Row],[UDC]],TableOCEDUC[],7,FALSE),"")</f>
        <v/>
      </c>
      <c r="W42" s="248" t="str">
        <f>IFERROR(VLOOKUP(TableHandbook[[#This Row],[UDC]],TableOGEDUC[],7,FALSE),"")</f>
        <v/>
      </c>
      <c r="X42" s="248" t="str">
        <f>IFERROR(VLOOKUP(TableHandbook[[#This Row],[UDC]],TableOUMPEDUPR[],7,FALSE),"")</f>
        <v/>
      </c>
      <c r="Y42" s="248" t="str">
        <f>IFERROR(VLOOKUP(TableHandbook[[#This Row],[UDC]],TableOUMPEDUSC[],7,FALSE),"")</f>
        <v>Core</v>
      </c>
      <c r="Z42" s="250" t="str">
        <f>IFERROR(VLOOKUP(TableHandbook[[#This Row],[UDC]],TableOMEDUC[],7,FALSE),"")</f>
        <v/>
      </c>
      <c r="AA42" s="248" t="str">
        <f>IFERROR(VLOOKUP(TableHandbook[[#This Row],[UDC]],TableOSEPCULIN[],7,FALSE),"")</f>
        <v/>
      </c>
      <c r="AB42" s="248" t="str">
        <f>IFERROR(VLOOKUP(TableHandbook[[#This Row],[UDC]],TableOSEPLNTCH[],7,FALSE),"")</f>
        <v/>
      </c>
      <c r="AC42" s="248" t="str">
        <f>IFERROR(VLOOKUP(TableHandbook[[#This Row],[UDC]],TableOSEPSTEME[],7,FALSE),"")</f>
        <v/>
      </c>
    </row>
    <row r="43" spans="1:29" x14ac:dyDescent="0.25">
      <c r="A43" s="2" t="s">
        <v>324</v>
      </c>
      <c r="B43" s="3">
        <v>1</v>
      </c>
      <c r="C43" s="3" t="s">
        <v>431</v>
      </c>
      <c r="D43" s="2" t="s">
        <v>432</v>
      </c>
      <c r="E43" s="3">
        <v>25</v>
      </c>
      <c r="F43" s="245" t="s">
        <v>357</v>
      </c>
      <c r="G43" s="247" t="str">
        <f>IFERROR(IF(VLOOKUP(TableHandbook[[#This Row],[UDC]],TableAvailabilities[],2,FALSE)&gt;0,"Y",""),"")</f>
        <v/>
      </c>
      <c r="H43" s="247" t="str">
        <f>IFERROR(IF(VLOOKUP(TableHandbook[[#This Row],[UDC]],TableAvailabilities[],3,FALSE)&gt;0,"Y",""),"")</f>
        <v>Y</v>
      </c>
      <c r="I43" s="247" t="str">
        <f>IFERROR(IF(VLOOKUP(TableHandbook[[#This Row],[UDC]],TableAvailabilities[],4,FALSE)&gt;0,"Y",""),"")</f>
        <v/>
      </c>
      <c r="J43" s="247" t="str">
        <f>IFERROR(IF(VLOOKUP(TableHandbook[[#This Row],[UDC]],TableAvailabilities[],5,FALSE)&gt;0,"Y",""),"")</f>
        <v>Y</v>
      </c>
      <c r="K43" s="2"/>
      <c r="L43" s="250" t="str">
        <f>IFERROR(VLOOKUP(TableHandbook[[#This Row],[UDC]],TableOMTEACH1[],7,FALSE),"")</f>
        <v/>
      </c>
      <c r="M43" s="248" t="str">
        <f>IFERROR(VLOOKUP(TableHandbook[[#This Row],[UDC]],TableOUMPTCHEC[],7,FALSE),"")</f>
        <v/>
      </c>
      <c r="N43" s="248" t="str">
        <f>IFERROR(VLOOKUP(TableHandbook[[#This Row],[UDC]],TableOUMPTCHPE[],7,FALSE),"")</f>
        <v/>
      </c>
      <c r="O43" s="248" t="str">
        <f>IFERROR(VLOOKUP(TableHandbook[[#This Row],[UDC]],TableOUMPTCHSE[],7,FALSE),"")</f>
        <v>Option</v>
      </c>
      <c r="P43" s="250" t="str">
        <f>IFERROR(VLOOKUP(TableHandbook[[#This Row],[UDC]],TableOCTESOL1[],7,FALSE),"")</f>
        <v/>
      </c>
      <c r="Q43" s="248" t="str">
        <f>IFERROR(VLOOKUP(TableHandbook[[#This Row],[UDC]],TableOCTESOL[],7,FALSE),"")</f>
        <v/>
      </c>
      <c r="R43" s="248" t="str">
        <f>IFERROR(VLOOKUP(TableHandbook[[#This Row],[UDC]],TableOMAPLING[],7,FALSE),"")</f>
        <v/>
      </c>
      <c r="S43" s="250" t="str">
        <f>IFERROR(VLOOKUP(TableHandbook[[#This Row],[UDC]],TableOCEDHE1[],7,FALSE),"")</f>
        <v/>
      </c>
      <c r="T43" s="248" t="str">
        <f>IFERROR(VLOOKUP(TableHandbook[[#This Row],[UDC]],TableOCEDHE[],7,FALSE),"")</f>
        <v/>
      </c>
      <c r="U43" s="248" t="str">
        <f>IFERROR(VLOOKUP(TableHandbook[[#This Row],[UDC]],TableOCEDUCS1[],7,FALSE),"")</f>
        <v/>
      </c>
      <c r="V43" s="248" t="str">
        <f>IFERROR(VLOOKUP(TableHandbook[[#This Row],[UDC]],TableOCEDUC[],7,FALSE),"")</f>
        <v/>
      </c>
      <c r="W43" s="248" t="str">
        <f>IFERROR(VLOOKUP(TableHandbook[[#This Row],[UDC]],TableOGEDUC[],7,FALSE),"")</f>
        <v/>
      </c>
      <c r="X43" s="248" t="str">
        <f>IFERROR(VLOOKUP(TableHandbook[[#This Row],[UDC]],TableOUMPEDUPR[],7,FALSE),"")</f>
        <v/>
      </c>
      <c r="Y43" s="248" t="str">
        <f>IFERROR(VLOOKUP(TableHandbook[[#This Row],[UDC]],TableOUMPEDUSC[],7,FALSE),"")</f>
        <v>Option</v>
      </c>
      <c r="Z43" s="250" t="str">
        <f>IFERROR(VLOOKUP(TableHandbook[[#This Row],[UDC]],TableOMEDUC[],7,FALSE),"")</f>
        <v/>
      </c>
      <c r="AA43" s="248" t="str">
        <f>IFERROR(VLOOKUP(TableHandbook[[#This Row],[UDC]],TableOSEPCULIN[],7,FALSE),"")</f>
        <v/>
      </c>
      <c r="AB43" s="248" t="str">
        <f>IFERROR(VLOOKUP(TableHandbook[[#This Row],[UDC]],TableOSEPLNTCH[],7,FALSE),"")</f>
        <v/>
      </c>
      <c r="AC43" s="248" t="str">
        <f>IFERROR(VLOOKUP(TableHandbook[[#This Row],[UDC]],TableOSEPSTEME[],7,FALSE),"")</f>
        <v/>
      </c>
    </row>
    <row r="44" spans="1:29" x14ac:dyDescent="0.25">
      <c r="A44" s="2" t="s">
        <v>317</v>
      </c>
      <c r="B44" s="3">
        <v>1</v>
      </c>
      <c r="C44" s="3" t="s">
        <v>433</v>
      </c>
      <c r="D44" s="2" t="s">
        <v>434</v>
      </c>
      <c r="E44" s="3">
        <v>25</v>
      </c>
      <c r="F44" s="245" t="s">
        <v>357</v>
      </c>
      <c r="G44" s="247" t="str">
        <f>IFERROR(IF(VLOOKUP(TableHandbook[[#This Row],[UDC]],TableAvailabilities[],2,FALSE)&gt;0,"Y",""),"")</f>
        <v/>
      </c>
      <c r="H44" s="247" t="str">
        <f>IFERROR(IF(VLOOKUP(TableHandbook[[#This Row],[UDC]],TableAvailabilities[],3,FALSE)&gt;0,"Y",""),"")</f>
        <v>Y</v>
      </c>
      <c r="I44" s="247" t="str">
        <f>IFERROR(IF(VLOOKUP(TableHandbook[[#This Row],[UDC]],TableAvailabilities[],4,FALSE)&gt;0,"Y",""),"")</f>
        <v/>
      </c>
      <c r="J44" s="247" t="str">
        <f>IFERROR(IF(VLOOKUP(TableHandbook[[#This Row],[UDC]],TableAvailabilities[],5,FALSE)&gt;0,"Y",""),"")</f>
        <v>Y</v>
      </c>
      <c r="K44" s="2"/>
      <c r="L44" s="250" t="str">
        <f>IFERROR(VLOOKUP(TableHandbook[[#This Row],[UDC]],TableOMTEACH1[],7,FALSE),"")</f>
        <v/>
      </c>
      <c r="M44" s="248" t="str">
        <f>IFERROR(VLOOKUP(TableHandbook[[#This Row],[UDC]],TableOUMPTCHEC[],7,FALSE),"")</f>
        <v/>
      </c>
      <c r="N44" s="248" t="str">
        <f>IFERROR(VLOOKUP(TableHandbook[[#This Row],[UDC]],TableOUMPTCHPE[],7,FALSE),"")</f>
        <v/>
      </c>
      <c r="O44" s="248" t="str">
        <f>IFERROR(VLOOKUP(TableHandbook[[#This Row],[UDC]],TableOUMPTCHSE[],7,FALSE),"")</f>
        <v>Option</v>
      </c>
      <c r="P44" s="250" t="str">
        <f>IFERROR(VLOOKUP(TableHandbook[[#This Row],[UDC]],TableOCTESOL1[],7,FALSE),"")</f>
        <v/>
      </c>
      <c r="Q44" s="248" t="str">
        <f>IFERROR(VLOOKUP(TableHandbook[[#This Row],[UDC]],TableOCTESOL[],7,FALSE),"")</f>
        <v/>
      </c>
      <c r="R44" s="248" t="str">
        <f>IFERROR(VLOOKUP(TableHandbook[[#This Row],[UDC]],TableOMAPLING[],7,FALSE),"")</f>
        <v/>
      </c>
      <c r="S44" s="250" t="str">
        <f>IFERROR(VLOOKUP(TableHandbook[[#This Row],[UDC]],TableOCEDHE1[],7,FALSE),"")</f>
        <v/>
      </c>
      <c r="T44" s="248" t="str">
        <f>IFERROR(VLOOKUP(TableHandbook[[#This Row],[UDC]],TableOCEDHE[],7,FALSE),"")</f>
        <v/>
      </c>
      <c r="U44" s="248" t="str">
        <f>IFERROR(VLOOKUP(TableHandbook[[#This Row],[UDC]],TableOCEDUCS1[],7,FALSE),"")</f>
        <v/>
      </c>
      <c r="V44" s="248" t="str">
        <f>IFERROR(VLOOKUP(TableHandbook[[#This Row],[UDC]],TableOCEDUC[],7,FALSE),"")</f>
        <v/>
      </c>
      <c r="W44" s="248" t="str">
        <f>IFERROR(VLOOKUP(TableHandbook[[#This Row],[UDC]],TableOGEDUC[],7,FALSE),"")</f>
        <v/>
      </c>
      <c r="X44" s="248" t="str">
        <f>IFERROR(VLOOKUP(TableHandbook[[#This Row],[UDC]],TableOUMPEDUPR[],7,FALSE),"")</f>
        <v/>
      </c>
      <c r="Y44" s="248" t="str">
        <f>IFERROR(VLOOKUP(TableHandbook[[#This Row],[UDC]],TableOUMPEDUSC[],7,FALSE),"")</f>
        <v>Option</v>
      </c>
      <c r="Z44" s="250" t="str">
        <f>IFERROR(VLOOKUP(TableHandbook[[#This Row],[UDC]],TableOMEDUC[],7,FALSE),"")</f>
        <v/>
      </c>
      <c r="AA44" s="248" t="str">
        <f>IFERROR(VLOOKUP(TableHandbook[[#This Row],[UDC]],TableOSEPCULIN[],7,FALSE),"")</f>
        <v/>
      </c>
      <c r="AB44" s="248" t="str">
        <f>IFERROR(VLOOKUP(TableHandbook[[#This Row],[UDC]],TableOSEPLNTCH[],7,FALSE),"")</f>
        <v/>
      </c>
      <c r="AC44" s="248" t="str">
        <f>IFERROR(VLOOKUP(TableHandbook[[#This Row],[UDC]],TableOSEPSTEME[],7,FALSE),"")</f>
        <v/>
      </c>
    </row>
    <row r="45" spans="1:29" x14ac:dyDescent="0.25">
      <c r="A45" s="2" t="s">
        <v>325</v>
      </c>
      <c r="B45" s="3">
        <v>1</v>
      </c>
      <c r="C45" s="3" t="s">
        <v>435</v>
      </c>
      <c r="D45" s="2" t="s">
        <v>436</v>
      </c>
      <c r="E45" s="3">
        <v>25</v>
      </c>
      <c r="F45" s="245" t="s">
        <v>357</v>
      </c>
      <c r="G45" s="247" t="str">
        <f>IFERROR(IF(VLOOKUP(TableHandbook[[#This Row],[UDC]],TableAvailabilities[],2,FALSE)&gt;0,"Y",""),"")</f>
        <v/>
      </c>
      <c r="H45" s="247" t="str">
        <f>IFERROR(IF(VLOOKUP(TableHandbook[[#This Row],[UDC]],TableAvailabilities[],3,FALSE)&gt;0,"Y",""),"")</f>
        <v>Y</v>
      </c>
      <c r="I45" s="247" t="str">
        <f>IFERROR(IF(VLOOKUP(TableHandbook[[#This Row],[UDC]],TableAvailabilities[],4,FALSE)&gt;0,"Y",""),"")</f>
        <v/>
      </c>
      <c r="J45" s="247" t="str">
        <f>IFERROR(IF(VLOOKUP(TableHandbook[[#This Row],[UDC]],TableAvailabilities[],5,FALSE)&gt;0,"Y",""),"")</f>
        <v>Y</v>
      </c>
      <c r="K45" s="2"/>
      <c r="L45" s="250" t="str">
        <f>IFERROR(VLOOKUP(TableHandbook[[#This Row],[UDC]],TableOMTEACH1[],7,FALSE),"")</f>
        <v/>
      </c>
      <c r="M45" s="248" t="str">
        <f>IFERROR(VLOOKUP(TableHandbook[[#This Row],[UDC]],TableOUMPTCHEC[],7,FALSE),"")</f>
        <v/>
      </c>
      <c r="N45" s="248" t="str">
        <f>IFERROR(VLOOKUP(TableHandbook[[#This Row],[UDC]],TableOUMPTCHPE[],7,FALSE),"")</f>
        <v/>
      </c>
      <c r="O45" s="248" t="str">
        <f>IFERROR(VLOOKUP(TableHandbook[[#This Row],[UDC]],TableOUMPTCHSE[],7,FALSE),"")</f>
        <v>Option</v>
      </c>
      <c r="P45" s="250" t="str">
        <f>IFERROR(VLOOKUP(TableHandbook[[#This Row],[UDC]],TableOCTESOL1[],7,FALSE),"")</f>
        <v/>
      </c>
      <c r="Q45" s="248" t="str">
        <f>IFERROR(VLOOKUP(TableHandbook[[#This Row],[UDC]],TableOCTESOL[],7,FALSE),"")</f>
        <v/>
      </c>
      <c r="R45" s="248" t="str">
        <f>IFERROR(VLOOKUP(TableHandbook[[#This Row],[UDC]],TableOMAPLING[],7,FALSE),"")</f>
        <v/>
      </c>
      <c r="S45" s="250" t="str">
        <f>IFERROR(VLOOKUP(TableHandbook[[#This Row],[UDC]],TableOCEDHE1[],7,FALSE),"")</f>
        <v/>
      </c>
      <c r="T45" s="248" t="str">
        <f>IFERROR(VLOOKUP(TableHandbook[[#This Row],[UDC]],TableOCEDHE[],7,FALSE),"")</f>
        <v/>
      </c>
      <c r="U45" s="248" t="str">
        <f>IFERROR(VLOOKUP(TableHandbook[[#This Row],[UDC]],TableOCEDUCS1[],7,FALSE),"")</f>
        <v/>
      </c>
      <c r="V45" s="248" t="str">
        <f>IFERROR(VLOOKUP(TableHandbook[[#This Row],[UDC]],TableOCEDUC[],7,FALSE),"")</f>
        <v/>
      </c>
      <c r="W45" s="248" t="str">
        <f>IFERROR(VLOOKUP(TableHandbook[[#This Row],[UDC]],TableOGEDUC[],7,FALSE),"")</f>
        <v/>
      </c>
      <c r="X45" s="248" t="str">
        <f>IFERROR(VLOOKUP(TableHandbook[[#This Row],[UDC]],TableOUMPEDUPR[],7,FALSE),"")</f>
        <v/>
      </c>
      <c r="Y45" s="248" t="str">
        <f>IFERROR(VLOOKUP(TableHandbook[[#This Row],[UDC]],TableOUMPEDUSC[],7,FALSE),"")</f>
        <v>Option</v>
      </c>
      <c r="Z45" s="250" t="str">
        <f>IFERROR(VLOOKUP(TableHandbook[[#This Row],[UDC]],TableOMEDUC[],7,FALSE),"")</f>
        <v/>
      </c>
      <c r="AA45" s="248" t="str">
        <f>IFERROR(VLOOKUP(TableHandbook[[#This Row],[UDC]],TableOSEPCULIN[],7,FALSE),"")</f>
        <v/>
      </c>
      <c r="AB45" s="248" t="str">
        <f>IFERROR(VLOOKUP(TableHandbook[[#This Row],[UDC]],TableOSEPLNTCH[],7,FALSE),"")</f>
        <v/>
      </c>
      <c r="AC45" s="248" t="str">
        <f>IFERROR(VLOOKUP(TableHandbook[[#This Row],[UDC]],TableOSEPSTEME[],7,FALSE),"")</f>
        <v/>
      </c>
    </row>
    <row r="46" spans="1:29" x14ac:dyDescent="0.25">
      <c r="A46" s="2" t="s">
        <v>333</v>
      </c>
      <c r="B46" s="3">
        <v>1</v>
      </c>
      <c r="C46" s="3" t="s">
        <v>437</v>
      </c>
      <c r="D46" s="2" t="s">
        <v>438</v>
      </c>
      <c r="E46" s="3">
        <v>25</v>
      </c>
      <c r="F46" s="245" t="s">
        <v>357</v>
      </c>
      <c r="G46" s="247" t="str">
        <f>IFERROR(IF(VLOOKUP(TableHandbook[[#This Row],[UDC]],TableAvailabilities[],2,FALSE)&gt;0,"Y",""),"")</f>
        <v/>
      </c>
      <c r="H46" s="247" t="str">
        <f>IFERROR(IF(VLOOKUP(TableHandbook[[#This Row],[UDC]],TableAvailabilities[],3,FALSE)&gt;0,"Y",""),"")</f>
        <v>Y</v>
      </c>
      <c r="I46" s="247" t="str">
        <f>IFERROR(IF(VLOOKUP(TableHandbook[[#This Row],[UDC]],TableAvailabilities[],4,FALSE)&gt;0,"Y",""),"")</f>
        <v/>
      </c>
      <c r="J46" s="247" t="str">
        <f>IFERROR(IF(VLOOKUP(TableHandbook[[#This Row],[UDC]],TableAvailabilities[],5,FALSE)&gt;0,"Y",""),"")</f>
        <v>Y</v>
      </c>
      <c r="K46" s="2"/>
      <c r="L46" s="250" t="str">
        <f>IFERROR(VLOOKUP(TableHandbook[[#This Row],[UDC]],TableOMTEACH1[],7,FALSE),"")</f>
        <v/>
      </c>
      <c r="M46" s="248" t="str">
        <f>IFERROR(VLOOKUP(TableHandbook[[#This Row],[UDC]],TableOUMPTCHEC[],7,FALSE),"")</f>
        <v/>
      </c>
      <c r="N46" s="248" t="str">
        <f>IFERROR(VLOOKUP(TableHandbook[[#This Row],[UDC]],TableOUMPTCHPE[],7,FALSE),"")</f>
        <v/>
      </c>
      <c r="O46" s="248" t="str">
        <f>IFERROR(VLOOKUP(TableHandbook[[#This Row],[UDC]],TableOUMPTCHSE[],7,FALSE),"")</f>
        <v>Option</v>
      </c>
      <c r="P46" s="250" t="str">
        <f>IFERROR(VLOOKUP(TableHandbook[[#This Row],[UDC]],TableOCTESOL1[],7,FALSE),"")</f>
        <v/>
      </c>
      <c r="Q46" s="248" t="str">
        <f>IFERROR(VLOOKUP(TableHandbook[[#This Row],[UDC]],TableOCTESOL[],7,FALSE),"")</f>
        <v/>
      </c>
      <c r="R46" s="248" t="str">
        <f>IFERROR(VLOOKUP(TableHandbook[[#This Row],[UDC]],TableOMAPLING[],7,FALSE),"")</f>
        <v/>
      </c>
      <c r="S46" s="250" t="str">
        <f>IFERROR(VLOOKUP(TableHandbook[[#This Row],[UDC]],TableOCEDHE1[],7,FALSE),"")</f>
        <v/>
      </c>
      <c r="T46" s="248" t="str">
        <f>IFERROR(VLOOKUP(TableHandbook[[#This Row],[UDC]],TableOCEDHE[],7,FALSE),"")</f>
        <v/>
      </c>
      <c r="U46" s="248" t="str">
        <f>IFERROR(VLOOKUP(TableHandbook[[#This Row],[UDC]],TableOCEDUCS1[],7,FALSE),"")</f>
        <v/>
      </c>
      <c r="V46" s="248" t="str">
        <f>IFERROR(VLOOKUP(TableHandbook[[#This Row],[UDC]],TableOCEDUC[],7,FALSE),"")</f>
        <v/>
      </c>
      <c r="W46" s="248" t="str">
        <f>IFERROR(VLOOKUP(TableHandbook[[#This Row],[UDC]],TableOGEDUC[],7,FALSE),"")</f>
        <v/>
      </c>
      <c r="X46" s="248" t="str">
        <f>IFERROR(VLOOKUP(TableHandbook[[#This Row],[UDC]],TableOUMPEDUPR[],7,FALSE),"")</f>
        <v/>
      </c>
      <c r="Y46" s="248" t="str">
        <f>IFERROR(VLOOKUP(TableHandbook[[#This Row],[UDC]],TableOUMPEDUSC[],7,FALSE),"")</f>
        <v/>
      </c>
      <c r="Z46" s="250" t="str">
        <f>IFERROR(VLOOKUP(TableHandbook[[#This Row],[UDC]],TableOMEDUC[],7,FALSE),"")</f>
        <v/>
      </c>
      <c r="AA46" s="248" t="str">
        <f>IFERROR(VLOOKUP(TableHandbook[[#This Row],[UDC]],TableOSEPCULIN[],7,FALSE),"")</f>
        <v/>
      </c>
      <c r="AB46" s="248" t="str">
        <f>IFERROR(VLOOKUP(TableHandbook[[#This Row],[UDC]],TableOSEPLNTCH[],7,FALSE),"")</f>
        <v/>
      </c>
      <c r="AC46" s="248" t="str">
        <f>IFERROR(VLOOKUP(TableHandbook[[#This Row],[UDC]],TableOSEPSTEME[],7,FALSE),"")</f>
        <v/>
      </c>
    </row>
    <row r="47" spans="1:29" x14ac:dyDescent="0.25">
      <c r="A47" s="2" t="s">
        <v>302</v>
      </c>
      <c r="B47" s="3">
        <v>1</v>
      </c>
      <c r="C47" s="3" t="s">
        <v>439</v>
      </c>
      <c r="D47" s="2" t="s">
        <v>440</v>
      </c>
      <c r="E47" s="3">
        <v>25</v>
      </c>
      <c r="F47" s="245" t="s">
        <v>357</v>
      </c>
      <c r="G47" s="247" t="str">
        <f>IFERROR(IF(VLOOKUP(TableHandbook[[#This Row],[UDC]],TableAvailabilities[],2,FALSE)&gt;0,"Y",""),"")</f>
        <v>Y</v>
      </c>
      <c r="H47" s="247" t="str">
        <f>IFERROR(IF(VLOOKUP(TableHandbook[[#This Row],[UDC]],TableAvailabilities[],3,FALSE)&gt;0,"Y",""),"")</f>
        <v/>
      </c>
      <c r="I47" s="247" t="str">
        <f>IFERROR(IF(VLOOKUP(TableHandbook[[#This Row],[UDC]],TableAvailabilities[],4,FALSE)&gt;0,"Y",""),"")</f>
        <v/>
      </c>
      <c r="J47" s="247" t="str">
        <f>IFERROR(IF(VLOOKUP(TableHandbook[[#This Row],[UDC]],TableAvailabilities[],5,FALSE)&gt;0,"Y",""),"")</f>
        <v/>
      </c>
      <c r="K47" s="2"/>
      <c r="L47" s="250" t="str">
        <f>IFERROR(VLOOKUP(TableHandbook[[#This Row],[UDC]],TableOMTEACH1[],7,FALSE),"")</f>
        <v/>
      </c>
      <c r="M47" s="248" t="str">
        <f>IFERROR(VLOOKUP(TableHandbook[[#This Row],[UDC]],TableOUMPTCHEC[],7,FALSE),"")</f>
        <v/>
      </c>
      <c r="N47" s="248" t="str">
        <f>IFERROR(VLOOKUP(TableHandbook[[#This Row],[UDC]],TableOUMPTCHPE[],7,FALSE),"")</f>
        <v/>
      </c>
      <c r="O47" s="248" t="str">
        <f>IFERROR(VLOOKUP(TableHandbook[[#This Row],[UDC]],TableOUMPTCHSE[],7,FALSE),"")</f>
        <v>Core</v>
      </c>
      <c r="P47" s="250" t="str">
        <f>IFERROR(VLOOKUP(TableHandbook[[#This Row],[UDC]],TableOCTESOL1[],7,FALSE),"")</f>
        <v/>
      </c>
      <c r="Q47" s="248" t="str">
        <f>IFERROR(VLOOKUP(TableHandbook[[#This Row],[UDC]],TableOCTESOL[],7,FALSE),"")</f>
        <v/>
      </c>
      <c r="R47" s="248" t="str">
        <f>IFERROR(VLOOKUP(TableHandbook[[#This Row],[UDC]],TableOMAPLING[],7,FALSE),"")</f>
        <v/>
      </c>
      <c r="S47" s="250" t="str">
        <f>IFERROR(VLOOKUP(TableHandbook[[#This Row],[UDC]],TableOCEDHE1[],7,FALSE),"")</f>
        <v/>
      </c>
      <c r="T47" s="248" t="str">
        <f>IFERROR(VLOOKUP(TableHandbook[[#This Row],[UDC]],TableOCEDHE[],7,FALSE),"")</f>
        <v/>
      </c>
      <c r="U47" s="248" t="str">
        <f>IFERROR(VLOOKUP(TableHandbook[[#This Row],[UDC]],TableOCEDUCS1[],7,FALSE),"")</f>
        <v/>
      </c>
      <c r="V47" s="248" t="str">
        <f>IFERROR(VLOOKUP(TableHandbook[[#This Row],[UDC]],TableOCEDUC[],7,FALSE),"")</f>
        <v/>
      </c>
      <c r="W47" s="248" t="str">
        <f>IFERROR(VLOOKUP(TableHandbook[[#This Row],[UDC]],TableOGEDUC[],7,FALSE),"")</f>
        <v/>
      </c>
      <c r="X47" s="248" t="str">
        <f>IFERROR(VLOOKUP(TableHandbook[[#This Row],[UDC]],TableOUMPEDUPR[],7,FALSE),"")</f>
        <v/>
      </c>
      <c r="Y47" s="248" t="str">
        <f>IFERROR(VLOOKUP(TableHandbook[[#This Row],[UDC]],TableOUMPEDUSC[],7,FALSE),"")</f>
        <v/>
      </c>
      <c r="Z47" s="250" t="str">
        <f>IFERROR(VLOOKUP(TableHandbook[[#This Row],[UDC]],TableOMEDUC[],7,FALSE),"")</f>
        <v/>
      </c>
      <c r="AA47" s="248" t="str">
        <f>IFERROR(VLOOKUP(TableHandbook[[#This Row],[UDC]],TableOSEPCULIN[],7,FALSE),"")</f>
        <v/>
      </c>
      <c r="AB47" s="248" t="str">
        <f>IFERROR(VLOOKUP(TableHandbook[[#This Row],[UDC]],TableOSEPLNTCH[],7,FALSE),"")</f>
        <v/>
      </c>
      <c r="AC47" s="248" t="str">
        <f>IFERROR(VLOOKUP(TableHandbook[[#This Row],[UDC]],TableOSEPSTEME[],7,FALSE),"")</f>
        <v/>
      </c>
    </row>
    <row r="48" spans="1:29" x14ac:dyDescent="0.25">
      <c r="A48" s="2" t="s">
        <v>75</v>
      </c>
      <c r="B48" s="3">
        <v>2</v>
      </c>
      <c r="C48" s="3" t="s">
        <v>360</v>
      </c>
      <c r="D48" s="2" t="s">
        <v>441</v>
      </c>
      <c r="E48" s="3">
        <v>25</v>
      </c>
      <c r="F48" s="245" t="s">
        <v>357</v>
      </c>
      <c r="G48" s="247" t="str">
        <f>IFERROR(IF(VLOOKUP(TableHandbook[[#This Row],[UDC]],TableAvailabilities[],2,FALSE)&gt;0,"Y",""),"")</f>
        <v>Y</v>
      </c>
      <c r="H48" s="247" t="str">
        <f>IFERROR(IF(VLOOKUP(TableHandbook[[#This Row],[UDC]],TableAvailabilities[],3,FALSE)&gt;0,"Y",""),"")</f>
        <v/>
      </c>
      <c r="I48" s="247" t="str">
        <f>IFERROR(IF(VLOOKUP(TableHandbook[[#This Row],[UDC]],TableAvailabilities[],4,FALSE)&gt;0,"Y",""),"")</f>
        <v>Y</v>
      </c>
      <c r="J48" s="247" t="str">
        <f>IFERROR(IF(VLOOKUP(TableHandbook[[#This Row],[UDC]],TableAvailabilities[],5,FALSE)&gt;0,"Y",""),"")</f>
        <v/>
      </c>
      <c r="K48" s="2"/>
      <c r="L48" s="250" t="str">
        <f>IFERROR(VLOOKUP(TableHandbook[[#This Row],[UDC]],TableOMTEACH1[],7,FALSE),"")</f>
        <v/>
      </c>
      <c r="M48" s="248" t="str">
        <f>IFERROR(VLOOKUP(TableHandbook[[#This Row],[UDC]],TableOUMPTCHEC[],7,FALSE),"")</f>
        <v>Core</v>
      </c>
      <c r="N48" s="248" t="str">
        <f>IFERROR(VLOOKUP(TableHandbook[[#This Row],[UDC]],TableOUMPTCHPE[],7,FALSE),"")</f>
        <v>Core</v>
      </c>
      <c r="O48" s="248" t="str">
        <f>IFERROR(VLOOKUP(TableHandbook[[#This Row],[UDC]],TableOUMPTCHSE[],7,FALSE),"")</f>
        <v>Core</v>
      </c>
      <c r="P48" s="250" t="str">
        <f>IFERROR(VLOOKUP(TableHandbook[[#This Row],[UDC]],TableOCTESOL1[],7,FALSE),"")</f>
        <v/>
      </c>
      <c r="Q48" s="248" t="str">
        <f>IFERROR(VLOOKUP(TableHandbook[[#This Row],[UDC]],TableOCTESOL[],7,FALSE),"")</f>
        <v/>
      </c>
      <c r="R48" s="248" t="str">
        <f>IFERROR(VLOOKUP(TableHandbook[[#This Row],[UDC]],TableOMAPLING[],7,FALSE),"")</f>
        <v/>
      </c>
      <c r="S48" s="250" t="str">
        <f>IFERROR(VLOOKUP(TableHandbook[[#This Row],[UDC]],TableOCEDHE1[],7,FALSE),"")</f>
        <v/>
      </c>
      <c r="T48" s="248" t="str">
        <f>IFERROR(VLOOKUP(TableHandbook[[#This Row],[UDC]],TableOCEDHE[],7,FALSE),"")</f>
        <v/>
      </c>
      <c r="U48" s="248" t="str">
        <f>IFERROR(VLOOKUP(TableHandbook[[#This Row],[UDC]],TableOCEDUCS1[],7,FALSE),"")</f>
        <v>Option</v>
      </c>
      <c r="V48" s="248" t="str">
        <f>IFERROR(VLOOKUP(TableHandbook[[#This Row],[UDC]],TableOCEDUC[],7,FALSE),"")</f>
        <v>Option</v>
      </c>
      <c r="W48" s="248" t="str">
        <f>IFERROR(VLOOKUP(TableHandbook[[#This Row],[UDC]],TableOGEDUC[],7,FALSE),"")</f>
        <v/>
      </c>
      <c r="X48" s="248" t="str">
        <f>IFERROR(VLOOKUP(TableHandbook[[#This Row],[UDC]],TableOUMPEDUPR[],7,FALSE),"")</f>
        <v>Core</v>
      </c>
      <c r="Y48" s="248" t="str">
        <f>IFERROR(VLOOKUP(TableHandbook[[#This Row],[UDC]],TableOUMPEDUSC[],7,FALSE),"")</f>
        <v/>
      </c>
      <c r="Z48" s="250" t="str">
        <f>IFERROR(VLOOKUP(TableHandbook[[#This Row],[UDC]],TableOMEDUC[],7,FALSE),"")</f>
        <v/>
      </c>
      <c r="AA48" s="248" t="str">
        <f>IFERROR(VLOOKUP(TableHandbook[[#This Row],[UDC]],TableOSEPCULIN[],7,FALSE),"")</f>
        <v/>
      </c>
      <c r="AB48" s="248" t="str">
        <f>IFERROR(VLOOKUP(TableHandbook[[#This Row],[UDC]],TableOSEPLNTCH[],7,FALSE),"")</f>
        <v/>
      </c>
      <c r="AC48" s="248" t="str">
        <f>IFERROR(VLOOKUP(TableHandbook[[#This Row],[UDC]],TableOSEPSTEME[],7,FALSE),"")</f>
        <v/>
      </c>
    </row>
    <row r="49" spans="1:29" x14ac:dyDescent="0.25">
      <c r="A49" s="2" t="s">
        <v>80</v>
      </c>
      <c r="B49" s="3">
        <v>1</v>
      </c>
      <c r="C49" s="3" t="s">
        <v>442</v>
      </c>
      <c r="D49" s="2" t="s">
        <v>443</v>
      </c>
      <c r="E49" s="3">
        <v>25</v>
      </c>
      <c r="F49" s="245" t="s">
        <v>357</v>
      </c>
      <c r="G49" s="247" t="str">
        <f>IFERROR(IF(VLOOKUP(TableHandbook[[#This Row],[UDC]],TableAvailabilities[],2,FALSE)&gt;0,"Y",""),"")</f>
        <v/>
      </c>
      <c r="H49" s="247" t="str">
        <f>IFERROR(IF(VLOOKUP(TableHandbook[[#This Row],[UDC]],TableAvailabilities[],3,FALSE)&gt;0,"Y",""),"")</f>
        <v>Y</v>
      </c>
      <c r="I49" s="247" t="str">
        <f>IFERROR(IF(VLOOKUP(TableHandbook[[#This Row],[UDC]],TableAvailabilities[],4,FALSE)&gt;0,"Y",""),"")</f>
        <v/>
      </c>
      <c r="J49" s="247" t="str">
        <f>IFERROR(IF(VLOOKUP(TableHandbook[[#This Row],[UDC]],TableAvailabilities[],5,FALSE)&gt;0,"Y",""),"")</f>
        <v>Y</v>
      </c>
      <c r="K49" s="2"/>
      <c r="L49" s="250" t="str">
        <f>IFERROR(VLOOKUP(TableHandbook[[#This Row],[UDC]],TableOMTEACH1[],7,FALSE),"")</f>
        <v/>
      </c>
      <c r="M49" s="248" t="str">
        <f>IFERROR(VLOOKUP(TableHandbook[[#This Row],[UDC]],TableOUMPTCHEC[],7,FALSE),"")</f>
        <v>Core</v>
      </c>
      <c r="N49" s="248" t="str">
        <f>IFERROR(VLOOKUP(TableHandbook[[#This Row],[UDC]],TableOUMPTCHPE[],7,FALSE),"")</f>
        <v>Core</v>
      </c>
      <c r="O49" s="248" t="str">
        <f>IFERROR(VLOOKUP(TableHandbook[[#This Row],[UDC]],TableOUMPTCHSE[],7,FALSE),"")</f>
        <v/>
      </c>
      <c r="P49" s="250" t="str">
        <f>IFERROR(VLOOKUP(TableHandbook[[#This Row],[UDC]],TableOCTESOL1[],7,FALSE),"")</f>
        <v/>
      </c>
      <c r="Q49" s="248" t="str">
        <f>IFERROR(VLOOKUP(TableHandbook[[#This Row],[UDC]],TableOCTESOL[],7,FALSE),"")</f>
        <v/>
      </c>
      <c r="R49" s="248" t="str">
        <f>IFERROR(VLOOKUP(TableHandbook[[#This Row],[UDC]],TableOMAPLING[],7,FALSE),"")</f>
        <v/>
      </c>
      <c r="S49" s="250" t="str">
        <f>IFERROR(VLOOKUP(TableHandbook[[#This Row],[UDC]],TableOCEDHE1[],7,FALSE),"")</f>
        <v/>
      </c>
      <c r="T49" s="248" t="str">
        <f>IFERROR(VLOOKUP(TableHandbook[[#This Row],[UDC]],TableOCEDHE[],7,FALSE),"")</f>
        <v/>
      </c>
      <c r="U49" s="248" t="str">
        <f>IFERROR(VLOOKUP(TableHandbook[[#This Row],[UDC]],TableOCEDUCS1[],7,FALSE),"")</f>
        <v>Option</v>
      </c>
      <c r="V49" s="248" t="str">
        <f>IFERROR(VLOOKUP(TableHandbook[[#This Row],[UDC]],TableOCEDUC[],7,FALSE),"")</f>
        <v>Option</v>
      </c>
      <c r="W49" s="248" t="str">
        <f>IFERROR(VLOOKUP(TableHandbook[[#This Row],[UDC]],TableOGEDUC[],7,FALSE),"")</f>
        <v/>
      </c>
      <c r="X49" s="248" t="str">
        <f>IFERROR(VLOOKUP(TableHandbook[[#This Row],[UDC]],TableOUMPEDUPR[],7,FALSE),"")</f>
        <v/>
      </c>
      <c r="Y49" s="248" t="str">
        <f>IFERROR(VLOOKUP(TableHandbook[[#This Row],[UDC]],TableOUMPEDUSC[],7,FALSE),"")</f>
        <v/>
      </c>
      <c r="Z49" s="250" t="str">
        <f>IFERROR(VLOOKUP(TableHandbook[[#This Row],[UDC]],TableOMEDUC[],7,FALSE),"")</f>
        <v/>
      </c>
      <c r="AA49" s="248" t="str">
        <f>IFERROR(VLOOKUP(TableHandbook[[#This Row],[UDC]],TableOSEPCULIN[],7,FALSE),"")</f>
        <v/>
      </c>
      <c r="AB49" s="248" t="str">
        <f>IFERROR(VLOOKUP(TableHandbook[[#This Row],[UDC]],TableOSEPLNTCH[],7,FALSE),"")</f>
        <v/>
      </c>
      <c r="AC49" s="248" t="str">
        <f>IFERROR(VLOOKUP(TableHandbook[[#This Row],[UDC]],TableOSEPSTEME[],7,FALSE),"")</f>
        <v/>
      </c>
    </row>
    <row r="50" spans="1:29" x14ac:dyDescent="0.25">
      <c r="A50" s="2" t="s">
        <v>96</v>
      </c>
      <c r="B50" s="3">
        <v>1</v>
      </c>
      <c r="C50" s="3" t="s">
        <v>444</v>
      </c>
      <c r="D50" s="2" t="s">
        <v>445</v>
      </c>
      <c r="E50" s="3">
        <v>25</v>
      </c>
      <c r="F50" s="245" t="s">
        <v>357</v>
      </c>
      <c r="G50" s="247" t="str">
        <f>IFERROR(IF(VLOOKUP(TableHandbook[[#This Row],[UDC]],TableAvailabilities[],2,FALSE)&gt;0,"Y",""),"")</f>
        <v>Y</v>
      </c>
      <c r="H50" s="247" t="str">
        <f>IFERROR(IF(VLOOKUP(TableHandbook[[#This Row],[UDC]],TableAvailabilities[],3,FALSE)&gt;0,"Y",""),"")</f>
        <v/>
      </c>
      <c r="I50" s="247" t="str">
        <f>IFERROR(IF(VLOOKUP(TableHandbook[[#This Row],[UDC]],TableAvailabilities[],4,FALSE)&gt;0,"Y",""),"")</f>
        <v>Y</v>
      </c>
      <c r="J50" s="247" t="str">
        <f>IFERROR(IF(VLOOKUP(TableHandbook[[#This Row],[UDC]],TableAvailabilities[],5,FALSE)&gt;0,"Y",""),"")</f>
        <v/>
      </c>
      <c r="K50" s="2"/>
      <c r="L50" s="250" t="str">
        <f>IFERROR(VLOOKUP(TableHandbook[[#This Row],[UDC]],TableOMTEACH1[],7,FALSE),"")</f>
        <v/>
      </c>
      <c r="M50" s="248" t="str">
        <f>IFERROR(VLOOKUP(TableHandbook[[#This Row],[UDC]],TableOUMPTCHEC[],7,FALSE),"")</f>
        <v/>
      </c>
      <c r="N50" s="248" t="str">
        <f>IFERROR(VLOOKUP(TableHandbook[[#This Row],[UDC]],TableOUMPTCHPE[],7,FALSE),"")</f>
        <v>Core</v>
      </c>
      <c r="O50" s="248" t="str">
        <f>IFERROR(VLOOKUP(TableHandbook[[#This Row],[UDC]],TableOUMPTCHSE[],7,FALSE),"")</f>
        <v>Core</v>
      </c>
      <c r="P50" s="250" t="str">
        <f>IFERROR(VLOOKUP(TableHandbook[[#This Row],[UDC]],TableOCTESOL1[],7,FALSE),"")</f>
        <v/>
      </c>
      <c r="Q50" s="248" t="str">
        <f>IFERROR(VLOOKUP(TableHandbook[[#This Row],[UDC]],TableOCTESOL[],7,FALSE),"")</f>
        <v/>
      </c>
      <c r="R50" s="248" t="str">
        <f>IFERROR(VLOOKUP(TableHandbook[[#This Row],[UDC]],TableOMAPLING[],7,FALSE),"")</f>
        <v/>
      </c>
      <c r="S50" s="250" t="str">
        <f>IFERROR(VLOOKUP(TableHandbook[[#This Row],[UDC]],TableOCEDHE1[],7,FALSE),"")</f>
        <v/>
      </c>
      <c r="T50" s="248" t="str">
        <f>IFERROR(VLOOKUP(TableHandbook[[#This Row],[UDC]],TableOCEDHE[],7,FALSE),"")</f>
        <v/>
      </c>
      <c r="U50" s="248" t="str">
        <f>IFERROR(VLOOKUP(TableHandbook[[#This Row],[UDC]],TableOCEDUCS1[],7,FALSE),"")</f>
        <v>Option</v>
      </c>
      <c r="V50" s="248" t="str">
        <f>IFERROR(VLOOKUP(TableHandbook[[#This Row],[UDC]],TableOCEDUC[],7,FALSE),"")</f>
        <v>Option</v>
      </c>
      <c r="W50" s="248" t="str">
        <f>IFERROR(VLOOKUP(TableHandbook[[#This Row],[UDC]],TableOGEDUC[],7,FALSE),"")</f>
        <v/>
      </c>
      <c r="X50" s="248" t="str">
        <f>IFERROR(VLOOKUP(TableHandbook[[#This Row],[UDC]],TableOUMPEDUPR[],7,FALSE),"")</f>
        <v/>
      </c>
      <c r="Y50" s="248" t="str">
        <f>IFERROR(VLOOKUP(TableHandbook[[#This Row],[UDC]],TableOUMPEDUSC[],7,FALSE),"")</f>
        <v>Core</v>
      </c>
      <c r="Z50" s="250" t="str">
        <f>IFERROR(VLOOKUP(TableHandbook[[#This Row],[UDC]],TableOMEDUC[],7,FALSE),"")</f>
        <v/>
      </c>
      <c r="AA50" s="248" t="str">
        <f>IFERROR(VLOOKUP(TableHandbook[[#This Row],[UDC]],TableOSEPCULIN[],7,FALSE),"")</f>
        <v/>
      </c>
      <c r="AB50" s="248" t="str">
        <f>IFERROR(VLOOKUP(TableHandbook[[#This Row],[UDC]],TableOSEPLNTCH[],7,FALSE),"")</f>
        <v/>
      </c>
      <c r="AC50" s="248" t="str">
        <f>IFERROR(VLOOKUP(TableHandbook[[#This Row],[UDC]],TableOSEPSTEME[],7,FALSE),"")</f>
        <v/>
      </c>
    </row>
    <row r="51" spans="1:29" x14ac:dyDescent="0.25">
      <c r="A51" s="2" t="s">
        <v>95</v>
      </c>
      <c r="B51" s="3">
        <v>1</v>
      </c>
      <c r="C51" s="3" t="s">
        <v>446</v>
      </c>
      <c r="D51" s="2" t="s">
        <v>447</v>
      </c>
      <c r="E51" s="3">
        <v>25</v>
      </c>
      <c r="F51" s="245" t="s">
        <v>357</v>
      </c>
      <c r="G51" s="247" t="str">
        <f>IFERROR(IF(VLOOKUP(TableHandbook[[#This Row],[UDC]],TableAvailabilities[],2,FALSE)&gt;0,"Y",""),"")</f>
        <v/>
      </c>
      <c r="H51" s="247" t="str">
        <f>IFERROR(IF(VLOOKUP(TableHandbook[[#This Row],[UDC]],TableAvailabilities[],3,FALSE)&gt;0,"Y",""),"")</f>
        <v>Y</v>
      </c>
      <c r="I51" s="247" t="str">
        <f>IFERROR(IF(VLOOKUP(TableHandbook[[#This Row],[UDC]],TableAvailabilities[],4,FALSE)&gt;0,"Y",""),"")</f>
        <v>Y</v>
      </c>
      <c r="J51" s="247" t="str">
        <f>IFERROR(IF(VLOOKUP(TableHandbook[[#This Row],[UDC]],TableAvailabilities[],5,FALSE)&gt;0,"Y",""),"")</f>
        <v>Y</v>
      </c>
      <c r="K51" s="2"/>
      <c r="L51" s="250" t="str">
        <f>IFERROR(VLOOKUP(TableHandbook[[#This Row],[UDC]],TableOMTEACH1[],7,FALSE),"")</f>
        <v/>
      </c>
      <c r="M51" s="248" t="str">
        <f>IFERROR(VLOOKUP(TableHandbook[[#This Row],[UDC]],TableOUMPTCHEC[],7,FALSE),"")</f>
        <v>Core</v>
      </c>
      <c r="N51" s="248" t="str">
        <f>IFERROR(VLOOKUP(TableHandbook[[#This Row],[UDC]],TableOUMPTCHPE[],7,FALSE),"")</f>
        <v>Core</v>
      </c>
      <c r="O51" s="248" t="str">
        <f>IFERROR(VLOOKUP(TableHandbook[[#This Row],[UDC]],TableOUMPTCHSE[],7,FALSE),"")</f>
        <v>Core</v>
      </c>
      <c r="P51" s="250" t="str">
        <f>IFERROR(VLOOKUP(TableHandbook[[#This Row],[UDC]],TableOCTESOL1[],7,FALSE),"")</f>
        <v/>
      </c>
      <c r="Q51" s="248" t="str">
        <f>IFERROR(VLOOKUP(TableHandbook[[#This Row],[UDC]],TableOCTESOL[],7,FALSE),"")</f>
        <v/>
      </c>
      <c r="R51" s="248" t="str">
        <f>IFERROR(VLOOKUP(TableHandbook[[#This Row],[UDC]],TableOMAPLING[],7,FALSE),"")</f>
        <v/>
      </c>
      <c r="S51" s="250" t="str">
        <f>IFERROR(VLOOKUP(TableHandbook[[#This Row],[UDC]],TableOCEDHE1[],7,FALSE),"")</f>
        <v/>
      </c>
      <c r="T51" s="248" t="str">
        <f>IFERROR(VLOOKUP(TableHandbook[[#This Row],[UDC]],TableOCEDHE[],7,FALSE),"")</f>
        <v/>
      </c>
      <c r="U51" s="248" t="str">
        <f>IFERROR(VLOOKUP(TableHandbook[[#This Row],[UDC]],TableOCEDUCS1[],7,FALSE),"")</f>
        <v>Option</v>
      </c>
      <c r="V51" s="248" t="str">
        <f>IFERROR(VLOOKUP(TableHandbook[[#This Row],[UDC]],TableOCEDUC[],7,FALSE),"")</f>
        <v>Option</v>
      </c>
      <c r="W51" s="248" t="str">
        <f>IFERROR(VLOOKUP(TableHandbook[[#This Row],[UDC]],TableOGEDUC[],7,FALSE),"")</f>
        <v/>
      </c>
      <c r="X51" s="248" t="str">
        <f>IFERROR(VLOOKUP(TableHandbook[[#This Row],[UDC]],TableOUMPEDUPR[],7,FALSE),"")</f>
        <v>Core</v>
      </c>
      <c r="Y51" s="248" t="str">
        <f>IFERROR(VLOOKUP(TableHandbook[[#This Row],[UDC]],TableOUMPEDUSC[],7,FALSE),"")</f>
        <v>Core</v>
      </c>
      <c r="Z51" s="250" t="str">
        <f>IFERROR(VLOOKUP(TableHandbook[[#This Row],[UDC]],TableOMEDUC[],7,FALSE),"")</f>
        <v/>
      </c>
      <c r="AA51" s="248" t="str">
        <f>IFERROR(VLOOKUP(TableHandbook[[#This Row],[UDC]],TableOSEPCULIN[],7,FALSE),"")</f>
        <v/>
      </c>
      <c r="AB51" s="248" t="str">
        <f>IFERROR(VLOOKUP(TableHandbook[[#This Row],[UDC]],TableOSEPLNTCH[],7,FALSE),"")</f>
        <v/>
      </c>
      <c r="AC51" s="248" t="str">
        <f>IFERROR(VLOOKUP(TableHandbook[[#This Row],[UDC]],TableOSEPSTEME[],7,FALSE),"")</f>
        <v/>
      </c>
    </row>
    <row r="52" spans="1:29" x14ac:dyDescent="0.25">
      <c r="A52" s="2" t="s">
        <v>224</v>
      </c>
      <c r="B52" s="3">
        <v>1</v>
      </c>
      <c r="C52" s="3" t="s">
        <v>448</v>
      </c>
      <c r="D52" s="2" t="s">
        <v>449</v>
      </c>
      <c r="E52" s="3">
        <v>25</v>
      </c>
      <c r="F52" s="245" t="s">
        <v>357</v>
      </c>
      <c r="G52" s="247" t="str">
        <f>IFERROR(IF(VLOOKUP(TableHandbook[[#This Row],[UDC]],TableAvailabilities[],2,FALSE)&gt;0,"Y",""),"")</f>
        <v/>
      </c>
      <c r="H52" s="247" t="str">
        <f>IFERROR(IF(VLOOKUP(TableHandbook[[#This Row],[UDC]],TableAvailabilities[],3,FALSE)&gt;0,"Y",""),"")</f>
        <v>Y</v>
      </c>
      <c r="I52" s="247" t="str">
        <f>IFERROR(IF(VLOOKUP(TableHandbook[[#This Row],[UDC]],TableAvailabilities[],4,FALSE)&gt;0,"Y",""),"")</f>
        <v/>
      </c>
      <c r="J52" s="247" t="str">
        <f>IFERROR(IF(VLOOKUP(TableHandbook[[#This Row],[UDC]],TableAvailabilities[],5,FALSE)&gt;0,"Y",""),"")</f>
        <v>Y</v>
      </c>
      <c r="K52" s="2"/>
      <c r="L52" s="250" t="str">
        <f>IFERROR(VLOOKUP(TableHandbook[[#This Row],[UDC]],TableOMTEACH1[],7,FALSE),"")</f>
        <v/>
      </c>
      <c r="M52" s="248" t="str">
        <f>IFERROR(VLOOKUP(TableHandbook[[#This Row],[UDC]],TableOUMPTCHEC[],7,FALSE),"")</f>
        <v/>
      </c>
      <c r="N52" s="248" t="str">
        <f>IFERROR(VLOOKUP(TableHandbook[[#This Row],[UDC]],TableOUMPTCHPE[],7,FALSE),"")</f>
        <v/>
      </c>
      <c r="O52" s="248" t="str">
        <f>IFERROR(VLOOKUP(TableHandbook[[#This Row],[UDC]],TableOUMPTCHSE[],7,FALSE),"")</f>
        <v/>
      </c>
      <c r="P52" s="250" t="str">
        <f>IFERROR(VLOOKUP(TableHandbook[[#This Row],[UDC]],TableOCTESOL1[],7,FALSE),"")</f>
        <v>Core</v>
      </c>
      <c r="Q52" s="248" t="str">
        <f>IFERROR(VLOOKUP(TableHandbook[[#This Row],[UDC]],TableOCTESOL[],7,FALSE),"")</f>
        <v>Core</v>
      </c>
      <c r="R52" s="248" t="str">
        <f>IFERROR(VLOOKUP(TableHandbook[[#This Row],[UDC]],TableOMAPLING[],7,FALSE),"")</f>
        <v/>
      </c>
      <c r="S52" s="250" t="str">
        <f>IFERROR(VLOOKUP(TableHandbook[[#This Row],[UDC]],TableOCEDHE1[],7,FALSE),"")</f>
        <v/>
      </c>
      <c r="T52" s="248" t="str">
        <f>IFERROR(VLOOKUP(TableHandbook[[#This Row],[UDC]],TableOCEDHE[],7,FALSE),"")</f>
        <v/>
      </c>
      <c r="U52" s="248" t="str">
        <f>IFERROR(VLOOKUP(TableHandbook[[#This Row],[UDC]],TableOCEDUCS1[],7,FALSE),"")</f>
        <v/>
      </c>
      <c r="V52" s="248" t="str">
        <f>IFERROR(VLOOKUP(TableHandbook[[#This Row],[UDC]],TableOCEDUC[],7,FALSE),"")</f>
        <v/>
      </c>
      <c r="W52" s="248" t="str">
        <f>IFERROR(VLOOKUP(TableHandbook[[#This Row],[UDC]],TableOGEDUC[],7,FALSE),"")</f>
        <v/>
      </c>
      <c r="X52" s="248" t="str">
        <f>IFERROR(VLOOKUP(TableHandbook[[#This Row],[UDC]],TableOUMPEDUPR[],7,FALSE),"")</f>
        <v/>
      </c>
      <c r="Y52" s="248" t="str">
        <f>IFERROR(VLOOKUP(TableHandbook[[#This Row],[UDC]],TableOUMPEDUSC[],7,FALSE),"")</f>
        <v/>
      </c>
      <c r="Z52" s="250" t="str">
        <f>IFERROR(VLOOKUP(TableHandbook[[#This Row],[UDC]],TableOMEDUC[],7,FALSE),"")</f>
        <v/>
      </c>
      <c r="AA52" s="248" t="str">
        <f>IFERROR(VLOOKUP(TableHandbook[[#This Row],[UDC]],TableOSEPCULIN[],7,FALSE),"")</f>
        <v/>
      </c>
      <c r="AB52" s="248" t="str">
        <f>IFERROR(VLOOKUP(TableHandbook[[#This Row],[UDC]],TableOSEPLNTCH[],7,FALSE),"")</f>
        <v/>
      </c>
      <c r="AC52" s="248" t="str">
        <f>IFERROR(VLOOKUP(TableHandbook[[#This Row],[UDC]],TableOSEPSTEME[],7,FALSE),"")</f>
        <v/>
      </c>
    </row>
    <row r="53" spans="1:29" x14ac:dyDescent="0.25">
      <c r="A53" s="2" t="s">
        <v>239</v>
      </c>
      <c r="B53" s="3">
        <v>1</v>
      </c>
      <c r="C53" s="3" t="s">
        <v>450</v>
      </c>
      <c r="D53" s="2" t="s">
        <v>451</v>
      </c>
      <c r="E53" s="3">
        <v>25</v>
      </c>
      <c r="F53" s="245" t="s">
        <v>357</v>
      </c>
      <c r="G53" s="247" t="str">
        <f>IFERROR(IF(VLOOKUP(TableHandbook[[#This Row],[UDC]],TableAvailabilities[],2,FALSE)&gt;0,"Y",""),"")</f>
        <v>Y</v>
      </c>
      <c r="H53" s="247" t="str">
        <f>IFERROR(IF(VLOOKUP(TableHandbook[[#This Row],[UDC]],TableAvailabilities[],3,FALSE)&gt;0,"Y",""),"")</f>
        <v/>
      </c>
      <c r="I53" s="247" t="str">
        <f>IFERROR(IF(VLOOKUP(TableHandbook[[#This Row],[UDC]],TableAvailabilities[],4,FALSE)&gt;0,"Y",""),"")</f>
        <v>Y</v>
      </c>
      <c r="J53" s="247" t="str">
        <f>IFERROR(IF(VLOOKUP(TableHandbook[[#This Row],[UDC]],TableAvailabilities[],5,FALSE)&gt;0,"Y",""),"")</f>
        <v/>
      </c>
      <c r="K53" s="2"/>
      <c r="L53" s="250" t="str">
        <f>IFERROR(VLOOKUP(TableHandbook[[#This Row],[UDC]],TableOMTEACH1[],7,FALSE),"")</f>
        <v/>
      </c>
      <c r="M53" s="248" t="str">
        <f>IFERROR(VLOOKUP(TableHandbook[[#This Row],[UDC]],TableOUMPTCHEC[],7,FALSE),"")</f>
        <v/>
      </c>
      <c r="N53" s="248" t="str">
        <f>IFERROR(VLOOKUP(TableHandbook[[#This Row],[UDC]],TableOUMPTCHPE[],7,FALSE),"")</f>
        <v/>
      </c>
      <c r="O53" s="248" t="str">
        <f>IFERROR(VLOOKUP(TableHandbook[[#This Row],[UDC]],TableOUMPTCHSE[],7,FALSE),"")</f>
        <v/>
      </c>
      <c r="P53" s="250" t="str">
        <f>IFERROR(VLOOKUP(TableHandbook[[#This Row],[UDC]],TableOCTESOL1[],7,FALSE),"")</f>
        <v>AltCore</v>
      </c>
      <c r="Q53" s="248" t="str">
        <f>IFERROR(VLOOKUP(TableHandbook[[#This Row],[UDC]],TableOCTESOL[],7,FALSE),"")</f>
        <v>AltCore</v>
      </c>
      <c r="R53" s="248" t="str">
        <f>IFERROR(VLOOKUP(TableHandbook[[#This Row],[UDC]],TableOMAPLING[],7,FALSE),"")</f>
        <v/>
      </c>
      <c r="S53" s="250" t="str">
        <f>IFERROR(VLOOKUP(TableHandbook[[#This Row],[UDC]],TableOCEDHE1[],7,FALSE),"")</f>
        <v/>
      </c>
      <c r="T53" s="248" t="str">
        <f>IFERROR(VLOOKUP(TableHandbook[[#This Row],[UDC]],TableOCEDHE[],7,FALSE),"")</f>
        <v/>
      </c>
      <c r="U53" s="248" t="str">
        <f>IFERROR(VLOOKUP(TableHandbook[[#This Row],[UDC]],TableOCEDUCS1[],7,FALSE),"")</f>
        <v/>
      </c>
      <c r="V53" s="248" t="str">
        <f>IFERROR(VLOOKUP(TableHandbook[[#This Row],[UDC]],TableOCEDUC[],7,FALSE),"")</f>
        <v/>
      </c>
      <c r="W53" s="248" t="str">
        <f>IFERROR(VLOOKUP(TableHandbook[[#This Row],[UDC]],TableOGEDUC[],7,FALSE),"")</f>
        <v/>
      </c>
      <c r="X53" s="248" t="str">
        <f>IFERROR(VLOOKUP(TableHandbook[[#This Row],[UDC]],TableOUMPEDUPR[],7,FALSE),"")</f>
        <v/>
      </c>
      <c r="Y53" s="248" t="str">
        <f>IFERROR(VLOOKUP(TableHandbook[[#This Row],[UDC]],TableOUMPEDUSC[],7,FALSE),"")</f>
        <v/>
      </c>
      <c r="Z53" s="250" t="str">
        <f>IFERROR(VLOOKUP(TableHandbook[[#This Row],[UDC]],TableOMEDUC[],7,FALSE),"")</f>
        <v/>
      </c>
      <c r="AA53" s="248" t="str">
        <f>IFERROR(VLOOKUP(TableHandbook[[#This Row],[UDC]],TableOSEPCULIN[],7,FALSE),"")</f>
        <v/>
      </c>
      <c r="AB53" s="248" t="str">
        <f>IFERROR(VLOOKUP(TableHandbook[[#This Row],[UDC]],TableOSEPLNTCH[],7,FALSE),"")</f>
        <v/>
      </c>
      <c r="AC53" s="248" t="str">
        <f>IFERROR(VLOOKUP(TableHandbook[[#This Row],[UDC]],TableOSEPSTEME[],7,FALSE),"")</f>
        <v/>
      </c>
    </row>
    <row r="54" spans="1:29" x14ac:dyDescent="0.25">
      <c r="A54" s="2" t="s">
        <v>223</v>
      </c>
      <c r="B54" s="3">
        <v>1</v>
      </c>
      <c r="C54" s="3" t="s">
        <v>452</v>
      </c>
      <c r="D54" s="2" t="s">
        <v>453</v>
      </c>
      <c r="E54" s="3">
        <v>25</v>
      </c>
      <c r="F54" s="245" t="s">
        <v>357</v>
      </c>
      <c r="G54" s="247" t="str">
        <f>IFERROR(IF(VLOOKUP(TableHandbook[[#This Row],[UDC]],TableAvailabilities[],2,FALSE)&gt;0,"Y",""),"")</f>
        <v>Y</v>
      </c>
      <c r="H54" s="247" t="str">
        <f>IFERROR(IF(VLOOKUP(TableHandbook[[#This Row],[UDC]],TableAvailabilities[],3,FALSE)&gt;0,"Y",""),"")</f>
        <v/>
      </c>
      <c r="I54" s="247" t="str">
        <f>IFERROR(IF(VLOOKUP(TableHandbook[[#This Row],[UDC]],TableAvailabilities[],4,FALSE)&gt;0,"Y",""),"")</f>
        <v>Y</v>
      </c>
      <c r="J54" s="247" t="str">
        <f>IFERROR(IF(VLOOKUP(TableHandbook[[#This Row],[UDC]],TableAvailabilities[],5,FALSE)&gt;0,"Y",""),"")</f>
        <v/>
      </c>
      <c r="K54" s="2"/>
      <c r="L54" s="250" t="str">
        <f>IFERROR(VLOOKUP(TableHandbook[[#This Row],[UDC]],TableOMTEACH1[],7,FALSE),"")</f>
        <v/>
      </c>
      <c r="M54" s="248" t="str">
        <f>IFERROR(VLOOKUP(TableHandbook[[#This Row],[UDC]],TableOUMPTCHEC[],7,FALSE),"")</f>
        <v/>
      </c>
      <c r="N54" s="248" t="str">
        <f>IFERROR(VLOOKUP(TableHandbook[[#This Row],[UDC]],TableOUMPTCHPE[],7,FALSE),"")</f>
        <v/>
      </c>
      <c r="O54" s="248" t="str">
        <f>IFERROR(VLOOKUP(TableHandbook[[#This Row],[UDC]],TableOUMPTCHSE[],7,FALSE),"")</f>
        <v/>
      </c>
      <c r="P54" s="250" t="str">
        <f>IFERROR(VLOOKUP(TableHandbook[[#This Row],[UDC]],TableOCTESOL1[],7,FALSE),"")</f>
        <v>Core</v>
      </c>
      <c r="Q54" s="248" t="str">
        <f>IFERROR(VLOOKUP(TableHandbook[[#This Row],[UDC]],TableOCTESOL[],7,FALSE),"")</f>
        <v>Core</v>
      </c>
      <c r="R54" s="248" t="str">
        <f>IFERROR(VLOOKUP(TableHandbook[[#This Row],[UDC]],TableOMAPLING[],7,FALSE),"")</f>
        <v/>
      </c>
      <c r="S54" s="250" t="str">
        <f>IFERROR(VLOOKUP(TableHandbook[[#This Row],[UDC]],TableOCEDHE1[],7,FALSE),"")</f>
        <v/>
      </c>
      <c r="T54" s="248" t="str">
        <f>IFERROR(VLOOKUP(TableHandbook[[#This Row],[UDC]],TableOCEDHE[],7,FALSE),"")</f>
        <v/>
      </c>
      <c r="U54" s="248" t="str">
        <f>IFERROR(VLOOKUP(TableHandbook[[#This Row],[UDC]],TableOCEDUCS1[],7,FALSE),"")</f>
        <v/>
      </c>
      <c r="V54" s="248" t="str">
        <f>IFERROR(VLOOKUP(TableHandbook[[#This Row],[UDC]],TableOCEDUC[],7,FALSE),"")</f>
        <v/>
      </c>
      <c r="W54" s="248" t="str">
        <f>IFERROR(VLOOKUP(TableHandbook[[#This Row],[UDC]],TableOGEDUC[],7,FALSE),"")</f>
        <v/>
      </c>
      <c r="X54" s="248" t="str">
        <f>IFERROR(VLOOKUP(TableHandbook[[#This Row],[UDC]],TableOUMPEDUPR[],7,FALSE),"")</f>
        <v/>
      </c>
      <c r="Y54" s="248" t="str">
        <f>IFERROR(VLOOKUP(TableHandbook[[#This Row],[UDC]],TableOUMPEDUSC[],7,FALSE),"")</f>
        <v/>
      </c>
      <c r="Z54" s="250" t="str">
        <f>IFERROR(VLOOKUP(TableHandbook[[#This Row],[UDC]],TableOMEDUC[],7,FALSE),"")</f>
        <v/>
      </c>
      <c r="AA54" s="248" t="str">
        <f>IFERROR(VLOOKUP(TableHandbook[[#This Row],[UDC]],TableOSEPCULIN[],7,FALSE),"")</f>
        <v/>
      </c>
      <c r="AB54" s="248" t="str">
        <f>IFERROR(VLOOKUP(TableHandbook[[#This Row],[UDC]],TableOSEPLNTCH[],7,FALSE),"")</f>
        <v/>
      </c>
      <c r="AC54" s="248" t="str">
        <f>IFERROR(VLOOKUP(TableHandbook[[#This Row],[UDC]],TableOSEPSTEME[],7,FALSE),"")</f>
        <v/>
      </c>
    </row>
    <row r="55" spans="1:29" x14ac:dyDescent="0.25">
      <c r="A55" s="2" t="s">
        <v>229</v>
      </c>
      <c r="B55" s="3">
        <v>1</v>
      </c>
      <c r="C55" s="3" t="s">
        <v>454</v>
      </c>
      <c r="D55" s="2" t="s">
        <v>455</v>
      </c>
      <c r="E55" s="3">
        <v>25</v>
      </c>
      <c r="F55" s="245" t="s">
        <v>357</v>
      </c>
      <c r="G55" s="247" t="str">
        <f>IFERROR(IF(VLOOKUP(TableHandbook[[#This Row],[UDC]],TableAvailabilities[],2,FALSE)&gt;0,"Y",""),"")</f>
        <v/>
      </c>
      <c r="H55" s="247" t="str">
        <f>IFERROR(IF(VLOOKUP(TableHandbook[[#This Row],[UDC]],TableAvailabilities[],3,FALSE)&gt;0,"Y",""),"")</f>
        <v>Y</v>
      </c>
      <c r="I55" s="247" t="str">
        <f>IFERROR(IF(VLOOKUP(TableHandbook[[#This Row],[UDC]],TableAvailabilities[],4,FALSE)&gt;0,"Y",""),"")</f>
        <v/>
      </c>
      <c r="J55" s="247" t="str">
        <f>IFERROR(IF(VLOOKUP(TableHandbook[[#This Row],[UDC]],TableAvailabilities[],5,FALSE)&gt;0,"Y",""),"")</f>
        <v>Y</v>
      </c>
      <c r="K55" s="2"/>
      <c r="L55" s="250" t="str">
        <f>IFERROR(VLOOKUP(TableHandbook[[#This Row],[UDC]],TableOMTEACH1[],7,FALSE),"")</f>
        <v/>
      </c>
      <c r="M55" s="248" t="str">
        <f>IFERROR(VLOOKUP(TableHandbook[[#This Row],[UDC]],TableOUMPTCHEC[],7,FALSE),"")</f>
        <v/>
      </c>
      <c r="N55" s="248" t="str">
        <f>IFERROR(VLOOKUP(TableHandbook[[#This Row],[UDC]],TableOUMPTCHPE[],7,FALSE),"")</f>
        <v/>
      </c>
      <c r="O55" s="248" t="str">
        <f>IFERROR(VLOOKUP(TableHandbook[[#This Row],[UDC]],TableOUMPTCHSE[],7,FALSE),"")</f>
        <v/>
      </c>
      <c r="P55" s="250" t="str">
        <f>IFERROR(VLOOKUP(TableHandbook[[#This Row],[UDC]],TableOCTESOL1[],7,FALSE),"")</f>
        <v>Core</v>
      </c>
      <c r="Q55" s="248" t="str">
        <f>IFERROR(VLOOKUP(TableHandbook[[#This Row],[UDC]],TableOCTESOL[],7,FALSE),"")</f>
        <v>Core</v>
      </c>
      <c r="R55" s="248" t="str">
        <f>IFERROR(VLOOKUP(TableHandbook[[#This Row],[UDC]],TableOMAPLING[],7,FALSE),"")</f>
        <v/>
      </c>
      <c r="S55" s="250" t="str">
        <f>IFERROR(VLOOKUP(TableHandbook[[#This Row],[UDC]],TableOCEDHE1[],7,FALSE),"")</f>
        <v/>
      </c>
      <c r="T55" s="248" t="str">
        <f>IFERROR(VLOOKUP(TableHandbook[[#This Row],[UDC]],TableOCEDHE[],7,FALSE),"")</f>
        <v/>
      </c>
      <c r="U55" s="248" t="str">
        <f>IFERROR(VLOOKUP(TableHandbook[[#This Row],[UDC]],TableOCEDUCS1[],7,FALSE),"")</f>
        <v/>
      </c>
      <c r="V55" s="248" t="str">
        <f>IFERROR(VLOOKUP(TableHandbook[[#This Row],[UDC]],TableOCEDUC[],7,FALSE),"")</f>
        <v/>
      </c>
      <c r="W55" s="248" t="str">
        <f>IFERROR(VLOOKUP(TableHandbook[[#This Row],[UDC]],TableOGEDUC[],7,FALSE),"")</f>
        <v/>
      </c>
      <c r="X55" s="248" t="str">
        <f>IFERROR(VLOOKUP(TableHandbook[[#This Row],[UDC]],TableOUMPEDUPR[],7,FALSE),"")</f>
        <v/>
      </c>
      <c r="Y55" s="248" t="str">
        <f>IFERROR(VLOOKUP(TableHandbook[[#This Row],[UDC]],TableOUMPEDUSC[],7,FALSE),"")</f>
        <v/>
      </c>
      <c r="Z55" s="250" t="str">
        <f>IFERROR(VLOOKUP(TableHandbook[[#This Row],[UDC]],TableOMEDUC[],7,FALSE),"")</f>
        <v/>
      </c>
      <c r="AA55" s="248" t="str">
        <f>IFERROR(VLOOKUP(TableHandbook[[#This Row],[UDC]],TableOSEPCULIN[],7,FALSE),"")</f>
        <v/>
      </c>
      <c r="AB55" s="248" t="str">
        <f>IFERROR(VLOOKUP(TableHandbook[[#This Row],[UDC]],TableOSEPLNTCH[],7,FALSE),"")</f>
        <v/>
      </c>
      <c r="AC55" s="248" t="str">
        <f>IFERROR(VLOOKUP(TableHandbook[[#This Row],[UDC]],TableOSEPSTEME[],7,FALSE),"")</f>
        <v/>
      </c>
    </row>
    <row r="56" spans="1:29" x14ac:dyDescent="0.25">
      <c r="A56" s="2" t="s">
        <v>242</v>
      </c>
      <c r="B56" s="3">
        <v>2</v>
      </c>
      <c r="C56" s="3" t="s">
        <v>456</v>
      </c>
      <c r="D56" s="2" t="s">
        <v>457</v>
      </c>
      <c r="E56" s="3">
        <v>25</v>
      </c>
      <c r="F56" s="245" t="s">
        <v>357</v>
      </c>
      <c r="G56" s="247" t="str">
        <f>IFERROR(IF(VLOOKUP(TableHandbook[[#This Row],[UDC]],TableAvailabilities[],2,FALSE)&gt;0,"Y",""),"")</f>
        <v>Y</v>
      </c>
      <c r="H56" s="247" t="str">
        <f>IFERROR(IF(VLOOKUP(TableHandbook[[#This Row],[UDC]],TableAvailabilities[],3,FALSE)&gt;0,"Y",""),"")</f>
        <v/>
      </c>
      <c r="I56" s="247" t="str">
        <f>IFERROR(IF(VLOOKUP(TableHandbook[[#This Row],[UDC]],TableAvailabilities[],4,FALSE)&gt;0,"Y",""),"")</f>
        <v>Y</v>
      </c>
      <c r="J56" s="247" t="str">
        <f>IFERROR(IF(VLOOKUP(TableHandbook[[#This Row],[UDC]],TableAvailabilities[],5,FALSE)&gt;0,"Y",""),"")</f>
        <v/>
      </c>
      <c r="K56" s="2"/>
      <c r="L56" s="250" t="str">
        <f>IFERROR(VLOOKUP(TableHandbook[[#This Row],[UDC]],TableOMTEACH1[],7,FALSE),"")</f>
        <v/>
      </c>
      <c r="M56" s="248" t="str">
        <f>IFERROR(VLOOKUP(TableHandbook[[#This Row],[UDC]],TableOUMPTCHEC[],7,FALSE),"")</f>
        <v/>
      </c>
      <c r="N56" s="248" t="str">
        <f>IFERROR(VLOOKUP(TableHandbook[[#This Row],[UDC]],TableOUMPTCHPE[],7,FALSE),"")</f>
        <v/>
      </c>
      <c r="O56" s="248" t="str">
        <f>IFERROR(VLOOKUP(TableHandbook[[#This Row],[UDC]],TableOUMPTCHSE[],7,FALSE),"")</f>
        <v/>
      </c>
      <c r="P56" s="250" t="str">
        <f>IFERROR(VLOOKUP(TableHandbook[[#This Row],[UDC]],TableOCTESOL1[],7,FALSE),"")</f>
        <v>AltCore</v>
      </c>
      <c r="Q56" s="248" t="str">
        <f>IFERROR(VLOOKUP(TableHandbook[[#This Row],[UDC]],TableOCTESOL[],7,FALSE),"")</f>
        <v>AltCore</v>
      </c>
      <c r="R56" s="248" t="str">
        <f>IFERROR(VLOOKUP(TableHandbook[[#This Row],[UDC]],TableOMAPLING[],7,FALSE),"")</f>
        <v/>
      </c>
      <c r="S56" s="250" t="str">
        <f>IFERROR(VLOOKUP(TableHandbook[[#This Row],[UDC]],TableOCEDHE1[],7,FALSE),"")</f>
        <v/>
      </c>
      <c r="T56" s="248" t="str">
        <f>IFERROR(VLOOKUP(TableHandbook[[#This Row],[UDC]],TableOCEDHE[],7,FALSE),"")</f>
        <v/>
      </c>
      <c r="U56" s="248" t="str">
        <f>IFERROR(VLOOKUP(TableHandbook[[#This Row],[UDC]],TableOCEDUCS1[],7,FALSE),"")</f>
        <v/>
      </c>
      <c r="V56" s="248" t="str">
        <f>IFERROR(VLOOKUP(TableHandbook[[#This Row],[UDC]],TableOCEDUC[],7,FALSE),"")</f>
        <v/>
      </c>
      <c r="W56" s="248" t="str">
        <f>IFERROR(VLOOKUP(TableHandbook[[#This Row],[UDC]],TableOGEDUC[],7,FALSE),"")</f>
        <v/>
      </c>
      <c r="X56" s="248" t="str">
        <f>IFERROR(VLOOKUP(TableHandbook[[#This Row],[UDC]],TableOUMPEDUPR[],7,FALSE),"")</f>
        <v/>
      </c>
      <c r="Y56" s="248" t="str">
        <f>IFERROR(VLOOKUP(TableHandbook[[#This Row],[UDC]],TableOUMPEDUSC[],7,FALSE),"")</f>
        <v/>
      </c>
      <c r="Z56" s="250" t="str">
        <f>IFERROR(VLOOKUP(TableHandbook[[#This Row],[UDC]],TableOMEDUC[],7,FALSE),"")</f>
        <v/>
      </c>
      <c r="AA56" s="248" t="str">
        <f>IFERROR(VLOOKUP(TableHandbook[[#This Row],[UDC]],TableOSEPCULIN[],7,FALSE),"")</f>
        <v/>
      </c>
      <c r="AB56" s="248" t="str">
        <f>IFERROR(VLOOKUP(TableHandbook[[#This Row],[UDC]],TableOSEPLNTCH[],7,FALSE),"")</f>
        <v/>
      </c>
      <c r="AC56" s="248" t="str">
        <f>IFERROR(VLOOKUP(TableHandbook[[#This Row],[UDC]],TableOSEPSTEME[],7,FALSE),"")</f>
        <v/>
      </c>
    </row>
    <row r="57" spans="1:29" x14ac:dyDescent="0.25">
      <c r="A57" s="2" t="s">
        <v>81</v>
      </c>
      <c r="B57" s="3">
        <v>1</v>
      </c>
      <c r="C57" s="3" t="s">
        <v>458</v>
      </c>
      <c r="D57" s="2" t="s">
        <v>459</v>
      </c>
      <c r="E57" s="3">
        <v>25</v>
      </c>
      <c r="F57" s="245" t="s">
        <v>357</v>
      </c>
      <c r="G57" s="247" t="str">
        <f>IFERROR(IF(VLOOKUP(TableHandbook[[#This Row],[UDC]],TableAvailabilities[],2,FALSE)&gt;0,"Y",""),"")</f>
        <v>Y</v>
      </c>
      <c r="H57" s="247" t="str">
        <f>IFERROR(IF(VLOOKUP(TableHandbook[[#This Row],[UDC]],TableAvailabilities[],3,FALSE)&gt;0,"Y",""),"")</f>
        <v/>
      </c>
      <c r="I57" s="247" t="str">
        <f>IFERROR(IF(VLOOKUP(TableHandbook[[#This Row],[UDC]],TableAvailabilities[],4,FALSE)&gt;0,"Y",""),"")</f>
        <v>Y</v>
      </c>
      <c r="J57" s="247" t="str">
        <f>IFERROR(IF(VLOOKUP(TableHandbook[[#This Row],[UDC]],TableAvailabilities[],5,FALSE)&gt;0,"Y",""),"")</f>
        <v/>
      </c>
      <c r="K57" s="2"/>
      <c r="L57" s="250" t="str">
        <f>IFERROR(VLOOKUP(TableHandbook[[#This Row],[UDC]],TableOMTEACH1[],7,FALSE),"")</f>
        <v/>
      </c>
      <c r="M57" s="248" t="str">
        <f>IFERROR(VLOOKUP(TableHandbook[[#This Row],[UDC]],TableOUMPTCHEC[],7,FALSE),"")</f>
        <v>Core</v>
      </c>
      <c r="N57" s="248" t="str">
        <f>IFERROR(VLOOKUP(TableHandbook[[#This Row],[UDC]],TableOUMPTCHPE[],7,FALSE),"")</f>
        <v>Core</v>
      </c>
      <c r="O57" s="248" t="str">
        <f>IFERROR(VLOOKUP(TableHandbook[[#This Row],[UDC]],TableOUMPTCHSE[],7,FALSE),"")</f>
        <v/>
      </c>
      <c r="P57" s="250" t="str">
        <f>IFERROR(VLOOKUP(TableHandbook[[#This Row],[UDC]],TableOCTESOL1[],7,FALSE),"")</f>
        <v/>
      </c>
      <c r="Q57" s="248" t="str">
        <f>IFERROR(VLOOKUP(TableHandbook[[#This Row],[UDC]],TableOCTESOL[],7,FALSE),"")</f>
        <v/>
      </c>
      <c r="R57" s="248" t="str">
        <f>IFERROR(VLOOKUP(TableHandbook[[#This Row],[UDC]],TableOMAPLING[],7,FALSE),"")</f>
        <v/>
      </c>
      <c r="S57" s="250" t="str">
        <f>IFERROR(VLOOKUP(TableHandbook[[#This Row],[UDC]],TableOCEDHE1[],7,FALSE),"")</f>
        <v/>
      </c>
      <c r="T57" s="248" t="str">
        <f>IFERROR(VLOOKUP(TableHandbook[[#This Row],[UDC]],TableOCEDHE[],7,FALSE),"")</f>
        <v/>
      </c>
      <c r="U57" s="248" t="str">
        <f>IFERROR(VLOOKUP(TableHandbook[[#This Row],[UDC]],TableOCEDUCS1[],7,FALSE),"")</f>
        <v/>
      </c>
      <c r="V57" s="248" t="str">
        <f>IFERROR(VLOOKUP(TableHandbook[[#This Row],[UDC]],TableOCEDUC[],7,FALSE),"")</f>
        <v/>
      </c>
      <c r="W57" s="248" t="str">
        <f>IFERROR(VLOOKUP(TableHandbook[[#This Row],[UDC]],TableOGEDUC[],7,FALSE),"")</f>
        <v/>
      </c>
      <c r="X57" s="248" t="str">
        <f>IFERROR(VLOOKUP(TableHandbook[[#This Row],[UDC]],TableOUMPEDUPR[],7,FALSE),"")</f>
        <v>Core</v>
      </c>
      <c r="Y57" s="248" t="str">
        <f>IFERROR(VLOOKUP(TableHandbook[[#This Row],[UDC]],TableOUMPEDUSC[],7,FALSE),"")</f>
        <v/>
      </c>
      <c r="Z57" s="250" t="str">
        <f>IFERROR(VLOOKUP(TableHandbook[[#This Row],[UDC]],TableOMEDUC[],7,FALSE),"")</f>
        <v/>
      </c>
      <c r="AA57" s="248" t="str">
        <f>IFERROR(VLOOKUP(TableHandbook[[#This Row],[UDC]],TableOSEPCULIN[],7,FALSE),"")</f>
        <v/>
      </c>
      <c r="AB57" s="248" t="str">
        <f>IFERROR(VLOOKUP(TableHandbook[[#This Row],[UDC]],TableOSEPLNTCH[],7,FALSE),"")</f>
        <v/>
      </c>
      <c r="AC57" s="248" t="str">
        <f>IFERROR(VLOOKUP(TableHandbook[[#This Row],[UDC]],TableOSEPSTEME[],7,FALSE),"")</f>
        <v/>
      </c>
    </row>
    <row r="58" spans="1:29" x14ac:dyDescent="0.25">
      <c r="A58" s="2" t="s">
        <v>263</v>
      </c>
      <c r="B58" s="3">
        <v>1</v>
      </c>
      <c r="C58" s="3" t="s">
        <v>460</v>
      </c>
      <c r="D58" s="2" t="s">
        <v>461</v>
      </c>
      <c r="E58" s="3">
        <v>25</v>
      </c>
      <c r="F58" s="245" t="s">
        <v>357</v>
      </c>
      <c r="G58" s="247" t="str">
        <f>IFERROR(IF(VLOOKUP(TableHandbook[[#This Row],[UDC]],TableAvailabilities[],2,FALSE)&gt;0,"Y",""),"")</f>
        <v/>
      </c>
      <c r="H58" s="247" t="str">
        <f>IFERROR(IF(VLOOKUP(TableHandbook[[#This Row],[UDC]],TableAvailabilities[],3,FALSE)&gt;0,"Y",""),"")</f>
        <v>Y</v>
      </c>
      <c r="I58" s="247" t="str">
        <f>IFERROR(IF(VLOOKUP(TableHandbook[[#This Row],[UDC]],TableAvailabilities[],4,FALSE)&gt;0,"Y",""),"")</f>
        <v/>
      </c>
      <c r="J58" s="247" t="str">
        <f>IFERROR(IF(VLOOKUP(TableHandbook[[#This Row],[UDC]],TableAvailabilities[],5,FALSE)&gt;0,"Y",""),"")</f>
        <v>Y</v>
      </c>
      <c r="K58" s="2"/>
      <c r="L58" s="250" t="str">
        <f>IFERROR(VLOOKUP(TableHandbook[[#This Row],[UDC]],TableOMTEACH1[],7,FALSE),"")</f>
        <v/>
      </c>
      <c r="M58" s="248" t="str">
        <f>IFERROR(VLOOKUP(TableHandbook[[#This Row],[UDC]],TableOUMPTCHEC[],7,FALSE),"")</f>
        <v/>
      </c>
      <c r="N58" s="248" t="str">
        <f>IFERROR(VLOOKUP(TableHandbook[[#This Row],[UDC]],TableOUMPTCHPE[],7,FALSE),"")</f>
        <v/>
      </c>
      <c r="O58" s="248" t="str">
        <f>IFERROR(VLOOKUP(TableHandbook[[#This Row],[UDC]],TableOUMPTCHSE[],7,FALSE),"")</f>
        <v>Option</v>
      </c>
      <c r="P58" s="250" t="str">
        <f>IFERROR(VLOOKUP(TableHandbook[[#This Row],[UDC]],TableOCTESOL1[],7,FALSE),"")</f>
        <v/>
      </c>
      <c r="Q58" s="248" t="str">
        <f>IFERROR(VLOOKUP(TableHandbook[[#This Row],[UDC]],TableOCTESOL[],7,FALSE),"")</f>
        <v/>
      </c>
      <c r="R58" s="248" t="str">
        <f>IFERROR(VLOOKUP(TableHandbook[[#This Row],[UDC]],TableOMAPLING[],7,FALSE),"")</f>
        <v/>
      </c>
      <c r="S58" s="250" t="str">
        <f>IFERROR(VLOOKUP(TableHandbook[[#This Row],[UDC]],TableOCEDHE1[],7,FALSE),"")</f>
        <v/>
      </c>
      <c r="T58" s="248" t="str">
        <f>IFERROR(VLOOKUP(TableHandbook[[#This Row],[UDC]],TableOCEDHE[],7,FALSE),"")</f>
        <v/>
      </c>
      <c r="U58" s="248" t="str">
        <f>IFERROR(VLOOKUP(TableHandbook[[#This Row],[UDC]],TableOCEDUCS1[],7,FALSE),"")</f>
        <v>Option</v>
      </c>
      <c r="V58" s="248" t="str">
        <f>IFERROR(VLOOKUP(TableHandbook[[#This Row],[UDC]],TableOCEDUC[],7,FALSE),"")</f>
        <v>Option</v>
      </c>
      <c r="W58" s="248" t="str">
        <f>IFERROR(VLOOKUP(TableHandbook[[#This Row],[UDC]],TableOGEDUC[],7,FALSE),"")</f>
        <v/>
      </c>
      <c r="X58" s="248" t="str">
        <f>IFERROR(VLOOKUP(TableHandbook[[#This Row],[UDC]],TableOUMPEDUPR[],7,FALSE),"")</f>
        <v/>
      </c>
      <c r="Y58" s="248" t="str">
        <f>IFERROR(VLOOKUP(TableHandbook[[#This Row],[UDC]],TableOUMPEDUSC[],7,FALSE),"")</f>
        <v/>
      </c>
      <c r="Z58" s="250" t="str">
        <f>IFERROR(VLOOKUP(TableHandbook[[#This Row],[UDC]],TableOMEDUC[],7,FALSE),"")</f>
        <v/>
      </c>
      <c r="AA58" s="248" t="str">
        <f>IFERROR(VLOOKUP(TableHandbook[[#This Row],[UDC]],TableOSEPCULIN[],7,FALSE),"")</f>
        <v/>
      </c>
      <c r="AB58" s="248" t="str">
        <f>IFERROR(VLOOKUP(TableHandbook[[#This Row],[UDC]],TableOSEPLNTCH[],7,FALSE),"")</f>
        <v/>
      </c>
      <c r="AC58" s="248" t="str">
        <f>IFERROR(VLOOKUP(TableHandbook[[#This Row],[UDC]],TableOSEPSTEME[],7,FALSE),"")</f>
        <v/>
      </c>
    </row>
    <row r="59" spans="1:29" x14ac:dyDescent="0.25">
      <c r="A59" s="2" t="s">
        <v>170</v>
      </c>
      <c r="B59" s="3">
        <v>2</v>
      </c>
      <c r="C59" s="3" t="s">
        <v>462</v>
      </c>
      <c r="D59" s="2" t="s">
        <v>463</v>
      </c>
      <c r="E59" s="3">
        <v>25</v>
      </c>
      <c r="F59" s="245" t="s">
        <v>357</v>
      </c>
      <c r="G59" s="247" t="str">
        <f>IFERROR(IF(VLOOKUP(TableHandbook[[#This Row],[UDC]],TableAvailabilities[],2,FALSE)&gt;0,"Y",""),"")</f>
        <v/>
      </c>
      <c r="H59" s="247" t="str">
        <f>IFERROR(IF(VLOOKUP(TableHandbook[[#This Row],[UDC]],TableAvailabilities[],3,FALSE)&gt;0,"Y",""),"")</f>
        <v/>
      </c>
      <c r="I59" s="247" t="str">
        <f>IFERROR(IF(VLOOKUP(TableHandbook[[#This Row],[UDC]],TableAvailabilities[],4,FALSE)&gt;0,"Y",""),"")</f>
        <v>Y</v>
      </c>
      <c r="J59" s="247" t="str">
        <f>IFERROR(IF(VLOOKUP(TableHandbook[[#This Row],[UDC]],TableAvailabilities[],5,FALSE)&gt;0,"Y",""),"")</f>
        <v/>
      </c>
      <c r="K59" s="2"/>
      <c r="L59" s="250" t="str">
        <f>IFERROR(VLOOKUP(TableHandbook[[#This Row],[UDC]],TableOMTEACH1[],7,FALSE),"")</f>
        <v/>
      </c>
      <c r="M59" s="248" t="str">
        <f>IFERROR(VLOOKUP(TableHandbook[[#This Row],[UDC]],TableOUMPTCHEC[],7,FALSE),"")</f>
        <v/>
      </c>
      <c r="N59" s="248" t="str">
        <f>IFERROR(VLOOKUP(TableHandbook[[#This Row],[UDC]],TableOUMPTCHPE[],7,FALSE),"")</f>
        <v/>
      </c>
      <c r="O59" s="248" t="str">
        <f>IFERROR(VLOOKUP(TableHandbook[[#This Row],[UDC]],TableOUMPTCHSE[],7,FALSE),"")</f>
        <v/>
      </c>
      <c r="P59" s="250" t="str">
        <f>IFERROR(VLOOKUP(TableHandbook[[#This Row],[UDC]],TableOCTESOL1[],7,FALSE),"")</f>
        <v/>
      </c>
      <c r="Q59" s="248" t="str">
        <f>IFERROR(VLOOKUP(TableHandbook[[#This Row],[UDC]],TableOCTESOL[],7,FALSE),"")</f>
        <v/>
      </c>
      <c r="R59" s="248" t="str">
        <f>IFERROR(VLOOKUP(TableHandbook[[#This Row],[UDC]],TableOMAPLING[],7,FALSE),"")</f>
        <v>Core</v>
      </c>
      <c r="S59" s="250" t="str">
        <f>IFERROR(VLOOKUP(TableHandbook[[#This Row],[UDC]],TableOCEDHE1[],7,FALSE),"")</f>
        <v/>
      </c>
      <c r="T59" s="248" t="str">
        <f>IFERROR(VLOOKUP(TableHandbook[[#This Row],[UDC]],TableOCEDHE[],7,FALSE),"")</f>
        <v/>
      </c>
      <c r="U59" s="248" t="str">
        <f>IFERROR(VLOOKUP(TableHandbook[[#This Row],[UDC]],TableOCEDUCS1[],7,FALSE),"")</f>
        <v/>
      </c>
      <c r="V59" s="248" t="str">
        <f>IFERROR(VLOOKUP(TableHandbook[[#This Row],[UDC]],TableOCEDUC[],7,FALSE),"")</f>
        <v/>
      </c>
      <c r="W59" s="248" t="str">
        <f>IFERROR(VLOOKUP(TableHandbook[[#This Row],[UDC]],TableOGEDUC[],7,FALSE),"")</f>
        <v/>
      </c>
      <c r="X59" s="248" t="str">
        <f>IFERROR(VLOOKUP(TableHandbook[[#This Row],[UDC]],TableOUMPEDUPR[],7,FALSE),"")</f>
        <v/>
      </c>
      <c r="Y59" s="248" t="str">
        <f>IFERROR(VLOOKUP(TableHandbook[[#This Row],[UDC]],TableOUMPEDUSC[],7,FALSE),"")</f>
        <v/>
      </c>
      <c r="Z59" s="250" t="str">
        <f>IFERROR(VLOOKUP(TableHandbook[[#This Row],[UDC]],TableOMEDUC[],7,FALSE),"")</f>
        <v>Option</v>
      </c>
      <c r="AA59" s="248" t="str">
        <f>IFERROR(VLOOKUP(TableHandbook[[#This Row],[UDC]],TableOSEPCULIN[],7,FALSE),"")</f>
        <v>Core</v>
      </c>
      <c r="AB59" s="248" t="str">
        <f>IFERROR(VLOOKUP(TableHandbook[[#This Row],[UDC]],TableOSEPLNTCH[],7,FALSE),"")</f>
        <v/>
      </c>
      <c r="AC59" s="248" t="str">
        <f>IFERROR(VLOOKUP(TableHandbook[[#This Row],[UDC]],TableOSEPSTEME[],7,FALSE),"")</f>
        <v/>
      </c>
    </row>
    <row r="60" spans="1:29" x14ac:dyDescent="0.25">
      <c r="A60" s="2" t="s">
        <v>231</v>
      </c>
      <c r="B60" s="3">
        <v>1</v>
      </c>
      <c r="C60" s="3" t="s">
        <v>464</v>
      </c>
      <c r="D60" s="2" t="s">
        <v>465</v>
      </c>
      <c r="E60" s="3">
        <v>25</v>
      </c>
      <c r="F60" s="245" t="s">
        <v>357</v>
      </c>
      <c r="G60" s="247" t="str">
        <f>IFERROR(IF(VLOOKUP(TableHandbook[[#This Row],[UDC]],TableAvailabilities[],2,FALSE)&gt;0,"Y",""),"")</f>
        <v/>
      </c>
      <c r="H60" s="247" t="str">
        <f>IFERROR(IF(VLOOKUP(TableHandbook[[#This Row],[UDC]],TableAvailabilities[],3,FALSE)&gt;0,"Y",""),"")</f>
        <v>Y</v>
      </c>
      <c r="I60" s="247" t="str">
        <f>IFERROR(IF(VLOOKUP(TableHandbook[[#This Row],[UDC]],TableAvailabilities[],4,FALSE)&gt;0,"Y",""),"")</f>
        <v/>
      </c>
      <c r="J60" s="247" t="str">
        <f>IFERROR(IF(VLOOKUP(TableHandbook[[#This Row],[UDC]],TableAvailabilities[],5,FALSE)&gt;0,"Y",""),"")</f>
        <v>Y</v>
      </c>
      <c r="K60" s="2"/>
      <c r="L60" s="250" t="str">
        <f>IFERROR(VLOOKUP(TableHandbook[[#This Row],[UDC]],TableOMTEACH1[],7,FALSE),"")</f>
        <v/>
      </c>
      <c r="M60" s="248" t="str">
        <f>IFERROR(VLOOKUP(TableHandbook[[#This Row],[UDC]],TableOUMPTCHEC[],7,FALSE),"")</f>
        <v/>
      </c>
      <c r="N60" s="248" t="str">
        <f>IFERROR(VLOOKUP(TableHandbook[[#This Row],[UDC]],TableOUMPTCHPE[],7,FALSE),"")</f>
        <v/>
      </c>
      <c r="O60" s="248" t="str">
        <f>IFERROR(VLOOKUP(TableHandbook[[#This Row],[UDC]],TableOUMPTCHSE[],7,FALSE),"")</f>
        <v/>
      </c>
      <c r="P60" s="250" t="str">
        <f>IFERROR(VLOOKUP(TableHandbook[[#This Row],[UDC]],TableOCTESOL1[],7,FALSE),"")</f>
        <v/>
      </c>
      <c r="Q60" s="248" t="str">
        <f>IFERROR(VLOOKUP(TableHandbook[[#This Row],[UDC]],TableOCTESOL[],7,FALSE),"")</f>
        <v/>
      </c>
      <c r="R60" s="248" t="str">
        <f>IFERROR(VLOOKUP(TableHandbook[[#This Row],[UDC]],TableOMAPLING[],7,FALSE),"")</f>
        <v>Core</v>
      </c>
      <c r="S60" s="250" t="str">
        <f>IFERROR(VLOOKUP(TableHandbook[[#This Row],[UDC]],TableOCEDHE1[],7,FALSE),"")</f>
        <v/>
      </c>
      <c r="T60" s="248" t="str">
        <f>IFERROR(VLOOKUP(TableHandbook[[#This Row],[UDC]],TableOCEDHE[],7,FALSE),"")</f>
        <v/>
      </c>
      <c r="U60" s="248" t="str">
        <f>IFERROR(VLOOKUP(TableHandbook[[#This Row],[UDC]],TableOCEDUCS1[],7,FALSE),"")</f>
        <v/>
      </c>
      <c r="V60" s="248" t="str">
        <f>IFERROR(VLOOKUP(TableHandbook[[#This Row],[UDC]],TableOCEDUC[],7,FALSE),"")</f>
        <v/>
      </c>
      <c r="W60" s="248" t="str">
        <f>IFERROR(VLOOKUP(TableHandbook[[#This Row],[UDC]],TableOGEDUC[],7,FALSE),"")</f>
        <v/>
      </c>
      <c r="X60" s="248" t="str">
        <f>IFERROR(VLOOKUP(TableHandbook[[#This Row],[UDC]],TableOUMPEDUPR[],7,FALSE),"")</f>
        <v/>
      </c>
      <c r="Y60" s="248" t="str">
        <f>IFERROR(VLOOKUP(TableHandbook[[#This Row],[UDC]],TableOUMPEDUSC[],7,FALSE),"")</f>
        <v/>
      </c>
      <c r="Z60" s="250" t="str">
        <f>IFERROR(VLOOKUP(TableHandbook[[#This Row],[UDC]],TableOMEDUC[],7,FALSE),"")</f>
        <v/>
      </c>
      <c r="AA60" s="248" t="str">
        <f>IFERROR(VLOOKUP(TableHandbook[[#This Row],[UDC]],TableOSEPCULIN[],7,FALSE),"")</f>
        <v/>
      </c>
      <c r="AB60" s="248" t="str">
        <f>IFERROR(VLOOKUP(TableHandbook[[#This Row],[UDC]],TableOSEPLNTCH[],7,FALSE),"")</f>
        <v/>
      </c>
      <c r="AC60" s="248" t="str">
        <f>IFERROR(VLOOKUP(TableHandbook[[#This Row],[UDC]],TableOSEPSTEME[],7,FALSE),"")</f>
        <v/>
      </c>
    </row>
    <row r="61" spans="1:29" x14ac:dyDescent="0.25">
      <c r="A61" s="2" t="s">
        <v>162</v>
      </c>
      <c r="B61" s="3">
        <v>2</v>
      </c>
      <c r="C61" s="3" t="s">
        <v>466</v>
      </c>
      <c r="D61" s="2" t="s">
        <v>467</v>
      </c>
      <c r="E61" s="3">
        <v>25</v>
      </c>
      <c r="F61" s="245" t="s">
        <v>357</v>
      </c>
      <c r="G61" s="247" t="str">
        <f>IFERROR(IF(VLOOKUP(TableHandbook[[#This Row],[UDC]],TableAvailabilities[],2,FALSE)&gt;0,"Y",""),"")</f>
        <v>Y</v>
      </c>
      <c r="H61" s="247" t="str">
        <f>IFERROR(IF(VLOOKUP(TableHandbook[[#This Row],[UDC]],TableAvailabilities[],3,FALSE)&gt;0,"Y",""),"")</f>
        <v/>
      </c>
      <c r="I61" s="247" t="str">
        <f>IFERROR(IF(VLOOKUP(TableHandbook[[#This Row],[UDC]],TableAvailabilities[],4,FALSE)&gt;0,"Y",""),"")</f>
        <v>Y</v>
      </c>
      <c r="J61" s="247" t="str">
        <f>IFERROR(IF(VLOOKUP(TableHandbook[[#This Row],[UDC]],TableAvailabilities[],5,FALSE)&gt;0,"Y",""),"")</f>
        <v/>
      </c>
      <c r="K61" s="2"/>
      <c r="L61" s="250" t="str">
        <f>IFERROR(VLOOKUP(TableHandbook[[#This Row],[UDC]],TableOMTEACH1[],7,FALSE),"")</f>
        <v/>
      </c>
      <c r="M61" s="248" t="str">
        <f>IFERROR(VLOOKUP(TableHandbook[[#This Row],[UDC]],TableOUMPTCHEC[],7,FALSE),"")</f>
        <v/>
      </c>
      <c r="N61" s="248" t="str">
        <f>IFERROR(VLOOKUP(TableHandbook[[#This Row],[UDC]],TableOUMPTCHPE[],7,FALSE),"")</f>
        <v/>
      </c>
      <c r="O61" s="248" t="str">
        <f>IFERROR(VLOOKUP(TableHandbook[[#This Row],[UDC]],TableOUMPTCHSE[],7,FALSE),"")</f>
        <v/>
      </c>
      <c r="P61" s="250" t="str">
        <f>IFERROR(VLOOKUP(TableHandbook[[#This Row],[UDC]],TableOCTESOL1[],7,FALSE),"")</f>
        <v/>
      </c>
      <c r="Q61" s="248" t="str">
        <f>IFERROR(VLOOKUP(TableHandbook[[#This Row],[UDC]],TableOCTESOL[],7,FALSE),"")</f>
        <v/>
      </c>
      <c r="R61" s="248" t="str">
        <f>IFERROR(VLOOKUP(TableHandbook[[#This Row],[UDC]],TableOMAPLING[],7,FALSE),"")</f>
        <v/>
      </c>
      <c r="S61" s="250" t="str">
        <f>IFERROR(VLOOKUP(TableHandbook[[#This Row],[UDC]],TableOCEDHE1[],7,FALSE),"")</f>
        <v/>
      </c>
      <c r="T61" s="248" t="str">
        <f>IFERROR(VLOOKUP(TableHandbook[[#This Row],[UDC]],TableOCEDHE[],7,FALSE),"")</f>
        <v/>
      </c>
      <c r="U61" s="248" t="str">
        <f>IFERROR(VLOOKUP(TableHandbook[[#This Row],[UDC]],TableOCEDUCS1[],7,FALSE),"")</f>
        <v/>
      </c>
      <c r="V61" s="248" t="str">
        <f>IFERROR(VLOOKUP(TableHandbook[[#This Row],[UDC]],TableOCEDUC[],7,FALSE),"")</f>
        <v/>
      </c>
      <c r="W61" s="248" t="str">
        <f>IFERROR(VLOOKUP(TableHandbook[[#This Row],[UDC]],TableOGEDUC[],7,FALSE),"")</f>
        <v/>
      </c>
      <c r="X61" s="248" t="str">
        <f>IFERROR(VLOOKUP(TableHandbook[[#This Row],[UDC]],TableOUMPEDUPR[],7,FALSE),"")</f>
        <v/>
      </c>
      <c r="Y61" s="248" t="str">
        <f>IFERROR(VLOOKUP(TableHandbook[[#This Row],[UDC]],TableOUMPEDUSC[],7,FALSE),"")</f>
        <v/>
      </c>
      <c r="Z61" s="250" t="str">
        <f>IFERROR(VLOOKUP(TableHandbook[[#This Row],[UDC]],TableOMEDUC[],7,FALSE),"")</f>
        <v>Core</v>
      </c>
      <c r="AA61" s="248" t="str">
        <f>IFERROR(VLOOKUP(TableHandbook[[#This Row],[UDC]],TableOSEPCULIN[],7,FALSE),"")</f>
        <v/>
      </c>
      <c r="AB61" s="248" t="str">
        <f>IFERROR(VLOOKUP(TableHandbook[[#This Row],[UDC]],TableOSEPLNTCH[],7,FALSE),"")</f>
        <v/>
      </c>
      <c r="AC61" s="248" t="str">
        <f>IFERROR(VLOOKUP(TableHandbook[[#This Row],[UDC]],TableOSEPSTEME[],7,FALSE),"")</f>
        <v/>
      </c>
    </row>
    <row r="62" spans="1:29" x14ac:dyDescent="0.25">
      <c r="A62" s="2" t="s">
        <v>178</v>
      </c>
      <c r="B62" s="3">
        <v>2</v>
      </c>
      <c r="C62" s="3" t="s">
        <v>468</v>
      </c>
      <c r="D62" s="2" t="s">
        <v>469</v>
      </c>
      <c r="E62" s="3">
        <v>50</v>
      </c>
      <c r="F62" s="287" t="s">
        <v>470</v>
      </c>
      <c r="G62" s="247" t="str">
        <f>IFERROR(IF(VLOOKUP(TableHandbook[[#This Row],[UDC]],TableAvailabilities[],2,FALSE)&gt;0,"Y",""),"")</f>
        <v/>
      </c>
      <c r="H62" s="247" t="str">
        <f>IFERROR(IF(VLOOKUP(TableHandbook[[#This Row],[UDC]],TableAvailabilities[],3,FALSE)&gt;0,"Y",""),"")</f>
        <v>Y</v>
      </c>
      <c r="I62" s="247" t="str">
        <f>IFERROR(IF(VLOOKUP(TableHandbook[[#This Row],[UDC]],TableAvailabilities[],4,FALSE)&gt;0,"Y",""),"")</f>
        <v/>
      </c>
      <c r="J62" s="247" t="str">
        <f>IFERROR(IF(VLOOKUP(TableHandbook[[#This Row],[UDC]],TableAvailabilities[],5,FALSE)&gt;0,"Y",""),"")</f>
        <v>Y</v>
      </c>
      <c r="K62" s="2"/>
      <c r="L62" s="250" t="str">
        <f>IFERROR(VLOOKUP(TableHandbook[[#This Row],[UDC]],TableOMTEACH1[],7,FALSE),"")</f>
        <v/>
      </c>
      <c r="M62" s="248" t="str">
        <f>IFERROR(VLOOKUP(TableHandbook[[#This Row],[UDC]],TableOUMPTCHEC[],7,FALSE),"")</f>
        <v/>
      </c>
      <c r="N62" s="248" t="str">
        <f>IFERROR(VLOOKUP(TableHandbook[[#This Row],[UDC]],TableOUMPTCHPE[],7,FALSE),"")</f>
        <v/>
      </c>
      <c r="O62" s="248" t="str">
        <f>IFERROR(VLOOKUP(TableHandbook[[#This Row],[UDC]],TableOUMPTCHSE[],7,FALSE),"")</f>
        <v/>
      </c>
      <c r="P62" s="250" t="str">
        <f>IFERROR(VLOOKUP(TableHandbook[[#This Row],[UDC]],TableOCTESOL1[],7,FALSE),"")</f>
        <v/>
      </c>
      <c r="Q62" s="248" t="str">
        <f>IFERROR(VLOOKUP(TableHandbook[[#This Row],[UDC]],TableOCTESOL[],7,FALSE),"")</f>
        <v/>
      </c>
      <c r="R62" s="248" t="str">
        <f>IFERROR(VLOOKUP(TableHandbook[[#This Row],[UDC]],TableOMAPLING[],7,FALSE),"")</f>
        <v>Core</v>
      </c>
      <c r="S62" s="250" t="str">
        <f>IFERROR(VLOOKUP(TableHandbook[[#This Row],[UDC]],TableOCEDHE1[],7,FALSE),"")</f>
        <v/>
      </c>
      <c r="T62" s="248" t="str">
        <f>IFERROR(VLOOKUP(TableHandbook[[#This Row],[UDC]],TableOCEDHE[],7,FALSE),"")</f>
        <v/>
      </c>
      <c r="U62" s="248" t="str">
        <f>IFERROR(VLOOKUP(TableHandbook[[#This Row],[UDC]],TableOCEDUCS1[],7,FALSE),"")</f>
        <v/>
      </c>
      <c r="V62" s="248" t="str">
        <f>IFERROR(VLOOKUP(TableHandbook[[#This Row],[UDC]],TableOCEDUC[],7,FALSE),"")</f>
        <v/>
      </c>
      <c r="W62" s="248" t="str">
        <f>IFERROR(VLOOKUP(TableHandbook[[#This Row],[UDC]],TableOGEDUC[],7,FALSE),"")</f>
        <v/>
      </c>
      <c r="X62" s="248" t="str">
        <f>IFERROR(VLOOKUP(TableHandbook[[#This Row],[UDC]],TableOUMPEDUPR[],7,FALSE),"")</f>
        <v/>
      </c>
      <c r="Y62" s="248" t="str">
        <f>IFERROR(VLOOKUP(TableHandbook[[#This Row],[UDC]],TableOUMPEDUSC[],7,FALSE),"")</f>
        <v/>
      </c>
      <c r="Z62" s="250" t="str">
        <f>IFERROR(VLOOKUP(TableHandbook[[#This Row],[UDC]],TableOMEDUC[],7,FALSE),"")</f>
        <v>Core</v>
      </c>
      <c r="AA62" s="248" t="str">
        <f>IFERROR(VLOOKUP(TableHandbook[[#This Row],[UDC]],TableOSEPCULIN[],7,FALSE),"")</f>
        <v/>
      </c>
      <c r="AB62" s="248" t="str">
        <f>IFERROR(VLOOKUP(TableHandbook[[#This Row],[UDC]],TableOSEPLNTCH[],7,FALSE),"")</f>
        <v/>
      </c>
      <c r="AC62" s="248" t="str">
        <f>IFERROR(VLOOKUP(TableHandbook[[#This Row],[UDC]],TableOSEPSTEME[],7,FALSE),"")</f>
        <v/>
      </c>
    </row>
    <row r="63" spans="1:29" x14ac:dyDescent="0.25">
      <c r="A63" s="2" t="s">
        <v>226</v>
      </c>
      <c r="B63" s="3">
        <v>1</v>
      </c>
      <c r="C63" s="3" t="s">
        <v>471</v>
      </c>
      <c r="D63" s="2" t="s">
        <v>472</v>
      </c>
      <c r="E63" s="3">
        <v>25</v>
      </c>
      <c r="F63" s="245" t="s">
        <v>357</v>
      </c>
      <c r="G63" s="247" t="str">
        <f>IFERROR(IF(VLOOKUP(TableHandbook[[#This Row],[UDC]],TableAvailabilities[],2,FALSE)&gt;0,"Y",""),"")</f>
        <v/>
      </c>
      <c r="H63" s="247" t="str">
        <f>IFERROR(IF(VLOOKUP(TableHandbook[[#This Row],[UDC]],TableAvailabilities[],3,FALSE)&gt;0,"Y",""),"")</f>
        <v>Y</v>
      </c>
      <c r="I63" s="247" t="str">
        <f>IFERROR(IF(VLOOKUP(TableHandbook[[#This Row],[UDC]],TableAvailabilities[],4,FALSE)&gt;0,"Y",""),"")</f>
        <v/>
      </c>
      <c r="J63" s="247" t="str">
        <f>IFERROR(IF(VLOOKUP(TableHandbook[[#This Row],[UDC]],TableAvailabilities[],5,FALSE)&gt;0,"Y",""),"")</f>
        <v>Y</v>
      </c>
      <c r="K63" s="2"/>
      <c r="L63" s="250" t="str">
        <f>IFERROR(VLOOKUP(TableHandbook[[#This Row],[UDC]],TableOMTEACH1[],7,FALSE),"")</f>
        <v/>
      </c>
      <c r="M63" s="248" t="str">
        <f>IFERROR(VLOOKUP(TableHandbook[[#This Row],[UDC]],TableOUMPTCHEC[],7,FALSE),"")</f>
        <v/>
      </c>
      <c r="N63" s="248" t="str">
        <f>IFERROR(VLOOKUP(TableHandbook[[#This Row],[UDC]],TableOUMPTCHPE[],7,FALSE),"")</f>
        <v/>
      </c>
      <c r="O63" s="248" t="str">
        <f>IFERROR(VLOOKUP(TableHandbook[[#This Row],[UDC]],TableOUMPTCHSE[],7,FALSE),"")</f>
        <v/>
      </c>
      <c r="P63" s="250" t="str">
        <f>IFERROR(VLOOKUP(TableHandbook[[#This Row],[UDC]],TableOCTESOL1[],7,FALSE),"")</f>
        <v/>
      </c>
      <c r="Q63" s="248" t="str">
        <f>IFERROR(VLOOKUP(TableHandbook[[#This Row],[UDC]],TableOCTESOL[],7,FALSE),"")</f>
        <v/>
      </c>
      <c r="R63" s="248" t="str">
        <f>IFERROR(VLOOKUP(TableHandbook[[#This Row],[UDC]],TableOMAPLING[],7,FALSE),"")</f>
        <v>Core</v>
      </c>
      <c r="S63" s="250" t="str">
        <f>IFERROR(VLOOKUP(TableHandbook[[#This Row],[UDC]],TableOCEDHE1[],7,FALSE),"")</f>
        <v/>
      </c>
      <c r="T63" s="248" t="str">
        <f>IFERROR(VLOOKUP(TableHandbook[[#This Row],[UDC]],TableOCEDHE[],7,FALSE),"")</f>
        <v/>
      </c>
      <c r="U63" s="248" t="str">
        <f>IFERROR(VLOOKUP(TableHandbook[[#This Row],[UDC]],TableOCEDUCS1[],7,FALSE),"")</f>
        <v/>
      </c>
      <c r="V63" s="248" t="str">
        <f>IFERROR(VLOOKUP(TableHandbook[[#This Row],[UDC]],TableOCEDUC[],7,FALSE),"")</f>
        <v/>
      </c>
      <c r="W63" s="248" t="str">
        <f>IFERROR(VLOOKUP(TableHandbook[[#This Row],[UDC]],TableOGEDUC[],7,FALSE),"")</f>
        <v/>
      </c>
      <c r="X63" s="248" t="str">
        <f>IFERROR(VLOOKUP(TableHandbook[[#This Row],[UDC]],TableOUMPEDUPR[],7,FALSE),"")</f>
        <v/>
      </c>
      <c r="Y63" s="248" t="str">
        <f>IFERROR(VLOOKUP(TableHandbook[[#This Row],[UDC]],TableOUMPEDUSC[],7,FALSE),"")</f>
        <v/>
      </c>
      <c r="Z63" s="250" t="str">
        <f>IFERROR(VLOOKUP(TableHandbook[[#This Row],[UDC]],TableOMEDUC[],7,FALSE),"")</f>
        <v/>
      </c>
      <c r="AA63" s="248" t="str">
        <f>IFERROR(VLOOKUP(TableHandbook[[#This Row],[UDC]],TableOSEPCULIN[],7,FALSE),"")</f>
        <v/>
      </c>
      <c r="AB63" s="248" t="str">
        <f>IFERROR(VLOOKUP(TableHandbook[[#This Row],[UDC]],TableOSEPLNTCH[],7,FALSE),"")</f>
        <v/>
      </c>
      <c r="AC63" s="248" t="str">
        <f>IFERROR(VLOOKUP(TableHandbook[[#This Row],[UDC]],TableOSEPSTEME[],7,FALSE),"")</f>
        <v/>
      </c>
    </row>
    <row r="64" spans="1:29" x14ac:dyDescent="0.25">
      <c r="A64" s="2" t="s">
        <v>225</v>
      </c>
      <c r="B64" s="3">
        <v>1</v>
      </c>
      <c r="C64" s="3" t="s">
        <v>473</v>
      </c>
      <c r="D64" s="2" t="s">
        <v>474</v>
      </c>
      <c r="E64" s="3">
        <v>25</v>
      </c>
      <c r="F64" s="245" t="s">
        <v>357</v>
      </c>
      <c r="G64" s="247" t="str">
        <f>IFERROR(IF(VLOOKUP(TableHandbook[[#This Row],[UDC]],TableAvailabilities[],2,FALSE)&gt;0,"Y",""),"")</f>
        <v>Y</v>
      </c>
      <c r="H64" s="247" t="str">
        <f>IFERROR(IF(VLOOKUP(TableHandbook[[#This Row],[UDC]],TableAvailabilities[],3,FALSE)&gt;0,"Y",""),"")</f>
        <v/>
      </c>
      <c r="I64" s="247" t="str">
        <f>IFERROR(IF(VLOOKUP(TableHandbook[[#This Row],[UDC]],TableAvailabilities[],4,FALSE)&gt;0,"Y",""),"")</f>
        <v>Y</v>
      </c>
      <c r="J64" s="247" t="str">
        <f>IFERROR(IF(VLOOKUP(TableHandbook[[#This Row],[UDC]],TableAvailabilities[],5,FALSE)&gt;0,"Y",""),"")</f>
        <v/>
      </c>
      <c r="K64" s="2"/>
      <c r="L64" s="250" t="str">
        <f>IFERROR(VLOOKUP(TableHandbook[[#This Row],[UDC]],TableOMTEACH1[],7,FALSE),"")</f>
        <v/>
      </c>
      <c r="M64" s="248" t="str">
        <f>IFERROR(VLOOKUP(TableHandbook[[#This Row],[UDC]],TableOUMPTCHEC[],7,FALSE),"")</f>
        <v/>
      </c>
      <c r="N64" s="248" t="str">
        <f>IFERROR(VLOOKUP(TableHandbook[[#This Row],[UDC]],TableOUMPTCHPE[],7,FALSE),"")</f>
        <v/>
      </c>
      <c r="O64" s="248" t="str">
        <f>IFERROR(VLOOKUP(TableHandbook[[#This Row],[UDC]],TableOUMPTCHSE[],7,FALSE),"")</f>
        <v/>
      </c>
      <c r="P64" s="250" t="str">
        <f>IFERROR(VLOOKUP(TableHandbook[[#This Row],[UDC]],TableOCTESOL1[],7,FALSE),"")</f>
        <v/>
      </c>
      <c r="Q64" s="248" t="str">
        <f>IFERROR(VLOOKUP(TableHandbook[[#This Row],[UDC]],TableOCTESOL[],7,FALSE),"")</f>
        <v/>
      </c>
      <c r="R64" s="248" t="str">
        <f>IFERROR(VLOOKUP(TableHandbook[[#This Row],[UDC]],TableOMAPLING[],7,FALSE),"")</f>
        <v>Core</v>
      </c>
      <c r="S64" s="250" t="str">
        <f>IFERROR(VLOOKUP(TableHandbook[[#This Row],[UDC]],TableOCEDHE1[],7,FALSE),"")</f>
        <v/>
      </c>
      <c r="T64" s="248" t="str">
        <f>IFERROR(VLOOKUP(TableHandbook[[#This Row],[UDC]],TableOCEDHE[],7,FALSE),"")</f>
        <v/>
      </c>
      <c r="U64" s="248" t="str">
        <f>IFERROR(VLOOKUP(TableHandbook[[#This Row],[UDC]],TableOCEDUCS1[],7,FALSE),"")</f>
        <v/>
      </c>
      <c r="V64" s="248" t="str">
        <f>IFERROR(VLOOKUP(TableHandbook[[#This Row],[UDC]],TableOCEDUC[],7,FALSE),"")</f>
        <v/>
      </c>
      <c r="W64" s="248" t="str">
        <f>IFERROR(VLOOKUP(TableHandbook[[#This Row],[UDC]],TableOGEDUC[],7,FALSE),"")</f>
        <v/>
      </c>
      <c r="X64" s="248" t="str">
        <f>IFERROR(VLOOKUP(TableHandbook[[#This Row],[UDC]],TableOUMPEDUPR[],7,FALSE),"")</f>
        <v/>
      </c>
      <c r="Y64" s="248" t="str">
        <f>IFERROR(VLOOKUP(TableHandbook[[#This Row],[UDC]],TableOUMPEDUSC[],7,FALSE),"")</f>
        <v/>
      </c>
      <c r="Z64" s="250" t="str">
        <f>IFERROR(VLOOKUP(TableHandbook[[#This Row],[UDC]],TableOMEDUC[],7,FALSE),"")</f>
        <v/>
      </c>
      <c r="AA64" s="248" t="str">
        <f>IFERROR(VLOOKUP(TableHandbook[[#This Row],[UDC]],TableOSEPCULIN[],7,FALSE),"")</f>
        <v/>
      </c>
      <c r="AB64" s="248" t="str">
        <f>IFERROR(VLOOKUP(TableHandbook[[#This Row],[UDC]],TableOSEPLNTCH[],7,FALSE),"")</f>
        <v/>
      </c>
      <c r="AC64" s="248" t="str">
        <f>IFERROR(VLOOKUP(TableHandbook[[#This Row],[UDC]],TableOSEPSTEME[],7,FALSE),"")</f>
        <v/>
      </c>
    </row>
    <row r="65" spans="1:29" x14ac:dyDescent="0.25">
      <c r="A65" s="2" t="s">
        <v>164</v>
      </c>
      <c r="B65" s="3">
        <v>1</v>
      </c>
      <c r="C65" s="3" t="s">
        <v>475</v>
      </c>
      <c r="D65" s="2" t="s">
        <v>476</v>
      </c>
      <c r="E65" s="3">
        <v>25</v>
      </c>
      <c r="F65" s="245" t="s">
        <v>357</v>
      </c>
      <c r="G65" s="247" t="str">
        <f>IFERROR(IF(VLOOKUP(TableHandbook[[#This Row],[UDC]],TableAvailabilities[],2,FALSE)&gt;0,"Y",""),"")</f>
        <v/>
      </c>
      <c r="H65" s="247" t="str">
        <f>IFERROR(IF(VLOOKUP(TableHandbook[[#This Row],[UDC]],TableAvailabilities[],3,FALSE)&gt;0,"Y",""),"")</f>
        <v>Y</v>
      </c>
      <c r="I65" s="247" t="str">
        <f>IFERROR(IF(VLOOKUP(TableHandbook[[#This Row],[UDC]],TableAvailabilities[],4,FALSE)&gt;0,"Y",""),"")</f>
        <v/>
      </c>
      <c r="J65" s="247" t="str">
        <f>IFERROR(IF(VLOOKUP(TableHandbook[[#This Row],[UDC]],TableAvailabilities[],5,FALSE)&gt;0,"Y",""),"")</f>
        <v>Y</v>
      </c>
      <c r="K65" s="2"/>
      <c r="L65" s="250" t="str">
        <f>IFERROR(VLOOKUP(TableHandbook[[#This Row],[UDC]],TableOMTEACH1[],7,FALSE),"")</f>
        <v/>
      </c>
      <c r="M65" s="248" t="str">
        <f>IFERROR(VLOOKUP(TableHandbook[[#This Row],[UDC]],TableOUMPTCHEC[],7,FALSE),"")</f>
        <v/>
      </c>
      <c r="N65" s="248" t="str">
        <f>IFERROR(VLOOKUP(TableHandbook[[#This Row],[UDC]],TableOUMPTCHPE[],7,FALSE),"")</f>
        <v/>
      </c>
      <c r="O65" s="248" t="str">
        <f>IFERROR(VLOOKUP(TableHandbook[[#This Row],[UDC]],TableOUMPTCHSE[],7,FALSE),"")</f>
        <v/>
      </c>
      <c r="P65" s="250" t="str">
        <f>IFERROR(VLOOKUP(TableHandbook[[#This Row],[UDC]],TableOCTESOL1[],7,FALSE),"")</f>
        <v/>
      </c>
      <c r="Q65" s="248" t="str">
        <f>IFERROR(VLOOKUP(TableHandbook[[#This Row],[UDC]],TableOCTESOL[],7,FALSE),"")</f>
        <v/>
      </c>
      <c r="R65" s="248" t="str">
        <f>IFERROR(VLOOKUP(TableHandbook[[#This Row],[UDC]],TableOMAPLING[],7,FALSE),"")</f>
        <v/>
      </c>
      <c r="S65" s="250" t="str">
        <f>IFERROR(VLOOKUP(TableHandbook[[#This Row],[UDC]],TableOCEDHE1[],7,FALSE),"")</f>
        <v/>
      </c>
      <c r="T65" s="248" t="str">
        <f>IFERROR(VLOOKUP(TableHandbook[[#This Row],[UDC]],TableOCEDHE[],7,FALSE),"")</f>
        <v/>
      </c>
      <c r="U65" s="248" t="str">
        <f>IFERROR(VLOOKUP(TableHandbook[[#This Row],[UDC]],TableOCEDUCS1[],7,FALSE),"")</f>
        <v/>
      </c>
      <c r="V65" s="248" t="str">
        <f>IFERROR(VLOOKUP(TableHandbook[[#This Row],[UDC]],TableOCEDUC[],7,FALSE),"")</f>
        <v/>
      </c>
      <c r="W65" s="248" t="str">
        <f>IFERROR(VLOOKUP(TableHandbook[[#This Row],[UDC]],TableOGEDUC[],7,FALSE),"")</f>
        <v/>
      </c>
      <c r="X65" s="248" t="str">
        <f>IFERROR(VLOOKUP(TableHandbook[[#This Row],[UDC]],TableOUMPEDUPR[],7,FALSE),"")</f>
        <v/>
      </c>
      <c r="Y65" s="248" t="str">
        <f>IFERROR(VLOOKUP(TableHandbook[[#This Row],[UDC]],TableOUMPEDUSC[],7,FALSE),"")</f>
        <v/>
      </c>
      <c r="Z65" s="250" t="str">
        <f>IFERROR(VLOOKUP(TableHandbook[[#This Row],[UDC]],TableOMEDUC[],7,FALSE),"")</f>
        <v>Core</v>
      </c>
      <c r="AA65" s="248" t="str">
        <f>IFERROR(VLOOKUP(TableHandbook[[#This Row],[UDC]],TableOSEPCULIN[],7,FALSE),"")</f>
        <v/>
      </c>
      <c r="AB65" s="248" t="str">
        <f>IFERROR(VLOOKUP(TableHandbook[[#This Row],[UDC]],TableOSEPLNTCH[],7,FALSE),"")</f>
        <v/>
      </c>
      <c r="AC65" s="248" t="str">
        <f>IFERROR(VLOOKUP(TableHandbook[[#This Row],[UDC]],TableOSEPSTEME[],7,FALSE),"")</f>
        <v/>
      </c>
    </row>
    <row r="66" spans="1:29" x14ac:dyDescent="0.25">
      <c r="A66" s="2" t="s">
        <v>174</v>
      </c>
      <c r="B66" s="3">
        <v>1</v>
      </c>
      <c r="C66" s="3" t="s">
        <v>477</v>
      </c>
      <c r="D66" s="2" t="s">
        <v>478</v>
      </c>
      <c r="E66" s="3">
        <v>25</v>
      </c>
      <c r="F66" s="245" t="s">
        <v>357</v>
      </c>
      <c r="G66" s="247" t="str">
        <f>IFERROR(IF(VLOOKUP(TableHandbook[[#This Row],[UDC]],TableAvailabilities[],2,FALSE)&gt;0,"Y",""),"")</f>
        <v/>
      </c>
      <c r="H66" s="247" t="str">
        <f>IFERROR(IF(VLOOKUP(TableHandbook[[#This Row],[UDC]],TableAvailabilities[],3,FALSE)&gt;0,"Y",""),"")</f>
        <v/>
      </c>
      <c r="I66" s="247" t="str">
        <f>IFERROR(IF(VLOOKUP(TableHandbook[[#This Row],[UDC]],TableAvailabilities[],4,FALSE)&gt;0,"Y",""),"")</f>
        <v>Y</v>
      </c>
      <c r="J66" s="247" t="str">
        <f>IFERROR(IF(VLOOKUP(TableHandbook[[#This Row],[UDC]],TableAvailabilities[],5,FALSE)&gt;0,"Y",""),"")</f>
        <v/>
      </c>
      <c r="K66" s="2"/>
      <c r="L66" s="250" t="str">
        <f>IFERROR(VLOOKUP(TableHandbook[[#This Row],[UDC]],TableOMTEACH1[],7,FALSE),"")</f>
        <v/>
      </c>
      <c r="M66" s="248" t="str">
        <f>IFERROR(VLOOKUP(TableHandbook[[#This Row],[UDC]],TableOUMPTCHEC[],7,FALSE),"")</f>
        <v/>
      </c>
      <c r="N66" s="248" t="str">
        <f>IFERROR(VLOOKUP(TableHandbook[[#This Row],[UDC]],TableOUMPTCHPE[],7,FALSE),"")</f>
        <v/>
      </c>
      <c r="O66" s="248" t="str">
        <f>IFERROR(VLOOKUP(TableHandbook[[#This Row],[UDC]],TableOUMPTCHSE[],7,FALSE),"")</f>
        <v/>
      </c>
      <c r="P66" s="250" t="str">
        <f>IFERROR(VLOOKUP(TableHandbook[[#This Row],[UDC]],TableOCTESOL1[],7,FALSE),"")</f>
        <v/>
      </c>
      <c r="Q66" s="248" t="str">
        <f>IFERROR(VLOOKUP(TableHandbook[[#This Row],[UDC]],TableOCTESOL[],7,FALSE),"")</f>
        <v/>
      </c>
      <c r="R66" s="248" t="str">
        <f>IFERROR(VLOOKUP(TableHandbook[[#This Row],[UDC]],TableOMAPLING[],7,FALSE),"")</f>
        <v/>
      </c>
      <c r="S66" s="250" t="str">
        <f>IFERROR(VLOOKUP(TableHandbook[[#This Row],[UDC]],TableOCEDHE1[],7,FALSE),"")</f>
        <v/>
      </c>
      <c r="T66" s="248" t="str">
        <f>IFERROR(VLOOKUP(TableHandbook[[#This Row],[UDC]],TableOCEDHE[],7,FALSE),"")</f>
        <v/>
      </c>
      <c r="U66" s="248" t="str">
        <f>IFERROR(VLOOKUP(TableHandbook[[#This Row],[UDC]],TableOCEDUCS1[],7,FALSE),"")</f>
        <v/>
      </c>
      <c r="V66" s="248" t="str">
        <f>IFERROR(VLOOKUP(TableHandbook[[#This Row],[UDC]],TableOCEDUC[],7,FALSE),"")</f>
        <v/>
      </c>
      <c r="W66" s="248" t="str">
        <f>IFERROR(VLOOKUP(TableHandbook[[#This Row],[UDC]],TableOGEDUC[],7,FALSE),"")</f>
        <v/>
      </c>
      <c r="X66" s="248" t="str">
        <f>IFERROR(VLOOKUP(TableHandbook[[#This Row],[UDC]],TableOUMPEDUPR[],7,FALSE),"")</f>
        <v/>
      </c>
      <c r="Y66" s="248" t="str">
        <f>IFERROR(VLOOKUP(TableHandbook[[#This Row],[UDC]],TableOUMPEDUSC[],7,FALSE),"")</f>
        <v/>
      </c>
      <c r="Z66" s="250" t="str">
        <f>IFERROR(VLOOKUP(TableHandbook[[#This Row],[UDC]],TableOMEDUC[],7,FALSE),"")</f>
        <v>Option</v>
      </c>
      <c r="AA66" s="248" t="str">
        <f>IFERROR(VLOOKUP(TableHandbook[[#This Row],[UDC]],TableOSEPCULIN[],7,FALSE),"")</f>
        <v/>
      </c>
      <c r="AB66" s="248" t="str">
        <f>IFERROR(VLOOKUP(TableHandbook[[#This Row],[UDC]],TableOSEPLNTCH[],7,FALSE),"")</f>
        <v/>
      </c>
      <c r="AC66" s="248" t="str">
        <f>IFERROR(VLOOKUP(TableHandbook[[#This Row],[UDC]],TableOSEPSTEME[],7,FALSE),"")</f>
        <v>Core</v>
      </c>
    </row>
    <row r="67" spans="1:29" x14ac:dyDescent="0.25">
      <c r="A67" s="2" t="s">
        <v>180</v>
      </c>
      <c r="B67" s="3">
        <v>1</v>
      </c>
      <c r="C67" s="3" t="s">
        <v>479</v>
      </c>
      <c r="D67" s="2" t="s">
        <v>480</v>
      </c>
      <c r="E67" s="3">
        <v>25</v>
      </c>
      <c r="F67" s="245" t="s">
        <v>357</v>
      </c>
      <c r="G67" s="247" t="str">
        <f>IFERROR(IF(VLOOKUP(TableHandbook[[#This Row],[UDC]],TableAvailabilities[],2,FALSE)&gt;0,"Y",""),"")</f>
        <v>Y</v>
      </c>
      <c r="H67" s="247" t="str">
        <f>IFERROR(IF(VLOOKUP(TableHandbook[[#This Row],[UDC]],TableAvailabilities[],3,FALSE)&gt;0,"Y",""),"")</f>
        <v/>
      </c>
      <c r="I67" s="247" t="str">
        <f>IFERROR(IF(VLOOKUP(TableHandbook[[#This Row],[UDC]],TableAvailabilities[],4,FALSE)&gt;0,"Y",""),"")</f>
        <v>Y</v>
      </c>
      <c r="J67" s="247" t="str">
        <f>IFERROR(IF(VLOOKUP(TableHandbook[[#This Row],[UDC]],TableAvailabilities[],5,FALSE)&gt;0,"Y",""),"")</f>
        <v/>
      </c>
      <c r="K67" s="2"/>
      <c r="L67" s="250" t="str">
        <f>IFERROR(VLOOKUP(TableHandbook[[#This Row],[UDC]],TableOMTEACH1[],7,FALSE),"")</f>
        <v/>
      </c>
      <c r="M67" s="248" t="str">
        <f>IFERROR(VLOOKUP(TableHandbook[[#This Row],[UDC]],TableOUMPTCHEC[],7,FALSE),"")</f>
        <v/>
      </c>
      <c r="N67" s="248" t="str">
        <f>IFERROR(VLOOKUP(TableHandbook[[#This Row],[UDC]],TableOUMPTCHPE[],7,FALSE),"")</f>
        <v/>
      </c>
      <c r="O67" s="248" t="str">
        <f>IFERROR(VLOOKUP(TableHandbook[[#This Row],[UDC]],TableOUMPTCHSE[],7,FALSE),"")</f>
        <v/>
      </c>
      <c r="P67" s="250" t="str">
        <f>IFERROR(VLOOKUP(TableHandbook[[#This Row],[UDC]],TableOCTESOL1[],7,FALSE),"")</f>
        <v/>
      </c>
      <c r="Q67" s="248" t="str">
        <f>IFERROR(VLOOKUP(TableHandbook[[#This Row],[UDC]],TableOCTESOL[],7,FALSE),"")</f>
        <v/>
      </c>
      <c r="R67" s="248" t="str">
        <f>IFERROR(VLOOKUP(TableHandbook[[#This Row],[UDC]],TableOMAPLING[],7,FALSE),"")</f>
        <v/>
      </c>
      <c r="S67" s="250" t="str">
        <f>IFERROR(VLOOKUP(TableHandbook[[#This Row],[UDC]],TableOCEDHE1[],7,FALSE),"")</f>
        <v/>
      </c>
      <c r="T67" s="248" t="str">
        <f>IFERROR(VLOOKUP(TableHandbook[[#This Row],[UDC]],TableOCEDHE[],7,FALSE),"")</f>
        <v/>
      </c>
      <c r="U67" s="248" t="str">
        <f>IFERROR(VLOOKUP(TableHandbook[[#This Row],[UDC]],TableOCEDUCS1[],7,FALSE),"")</f>
        <v/>
      </c>
      <c r="V67" s="248" t="str">
        <f>IFERROR(VLOOKUP(TableHandbook[[#This Row],[UDC]],TableOCEDUC[],7,FALSE),"")</f>
        <v/>
      </c>
      <c r="W67" s="248" t="str">
        <f>IFERROR(VLOOKUP(TableHandbook[[#This Row],[UDC]],TableOGEDUC[],7,FALSE),"")</f>
        <v/>
      </c>
      <c r="X67" s="248" t="str">
        <f>IFERROR(VLOOKUP(TableHandbook[[#This Row],[UDC]],TableOUMPEDUPR[],7,FALSE),"")</f>
        <v/>
      </c>
      <c r="Y67" s="248" t="str">
        <f>IFERROR(VLOOKUP(TableHandbook[[#This Row],[UDC]],TableOUMPEDUSC[],7,FALSE),"")</f>
        <v/>
      </c>
      <c r="Z67" s="250" t="str">
        <f>IFERROR(VLOOKUP(TableHandbook[[#This Row],[UDC]],TableOMEDUC[],7,FALSE),"")</f>
        <v>Option</v>
      </c>
      <c r="AA67" s="248" t="str">
        <f>IFERROR(VLOOKUP(TableHandbook[[#This Row],[UDC]],TableOSEPCULIN[],7,FALSE),"")</f>
        <v/>
      </c>
      <c r="AB67" s="248" t="str">
        <f>IFERROR(VLOOKUP(TableHandbook[[#This Row],[UDC]],TableOSEPLNTCH[],7,FALSE),"")</f>
        <v>Core</v>
      </c>
      <c r="AC67" s="248" t="str">
        <f>IFERROR(VLOOKUP(TableHandbook[[#This Row],[UDC]],TableOSEPSTEME[],7,FALSE),"")</f>
        <v>Core</v>
      </c>
    </row>
    <row r="68" spans="1:29" x14ac:dyDescent="0.25">
      <c r="A68" s="2" t="s">
        <v>169</v>
      </c>
      <c r="B68" s="3">
        <v>1</v>
      </c>
      <c r="C68" s="3" t="s">
        <v>481</v>
      </c>
      <c r="D68" s="2" t="s">
        <v>482</v>
      </c>
      <c r="E68" s="3">
        <v>25</v>
      </c>
      <c r="F68" s="245" t="s">
        <v>357</v>
      </c>
      <c r="G68" s="247" t="str">
        <f>IFERROR(IF(VLOOKUP(TableHandbook[[#This Row],[UDC]],TableAvailabilities[],2,FALSE)&gt;0,"Y",""),"")</f>
        <v/>
      </c>
      <c r="H68" s="247" t="str">
        <f>IFERROR(IF(VLOOKUP(TableHandbook[[#This Row],[UDC]],TableAvailabilities[],3,FALSE)&gt;0,"Y",""),"")</f>
        <v>Y</v>
      </c>
      <c r="I68" s="247" t="str">
        <f>IFERROR(IF(VLOOKUP(TableHandbook[[#This Row],[UDC]],TableAvailabilities[],4,FALSE)&gt;0,"Y",""),"")</f>
        <v/>
      </c>
      <c r="J68" s="247" t="str">
        <f>IFERROR(IF(VLOOKUP(TableHandbook[[#This Row],[UDC]],TableAvailabilities[],5,FALSE)&gt;0,"Y",""),"")</f>
        <v>Y</v>
      </c>
      <c r="K68" s="2"/>
      <c r="L68" s="250" t="str">
        <f>IFERROR(VLOOKUP(TableHandbook[[#This Row],[UDC]],TableOMTEACH1[],7,FALSE),"")</f>
        <v/>
      </c>
      <c r="M68" s="248" t="str">
        <f>IFERROR(VLOOKUP(TableHandbook[[#This Row],[UDC]],TableOUMPTCHEC[],7,FALSE),"")</f>
        <v/>
      </c>
      <c r="N68" s="248" t="str">
        <f>IFERROR(VLOOKUP(TableHandbook[[#This Row],[UDC]],TableOUMPTCHPE[],7,FALSE),"")</f>
        <v/>
      </c>
      <c r="O68" s="248" t="str">
        <f>IFERROR(VLOOKUP(TableHandbook[[#This Row],[UDC]],TableOUMPTCHSE[],7,FALSE),"")</f>
        <v/>
      </c>
      <c r="P68" s="250" t="str">
        <f>IFERROR(VLOOKUP(TableHandbook[[#This Row],[UDC]],TableOCTESOL1[],7,FALSE),"")</f>
        <v/>
      </c>
      <c r="Q68" s="248" t="str">
        <f>IFERROR(VLOOKUP(TableHandbook[[#This Row],[UDC]],TableOCTESOL[],7,FALSE),"")</f>
        <v/>
      </c>
      <c r="R68" s="248" t="str">
        <f>IFERROR(VLOOKUP(TableHandbook[[#This Row],[UDC]],TableOMAPLING[],7,FALSE),"")</f>
        <v/>
      </c>
      <c r="S68" s="250" t="str">
        <f>IFERROR(VLOOKUP(TableHandbook[[#This Row],[UDC]],TableOCEDHE1[],7,FALSE),"")</f>
        <v/>
      </c>
      <c r="T68" s="248" t="str">
        <f>IFERROR(VLOOKUP(TableHandbook[[#This Row],[UDC]],TableOCEDHE[],7,FALSE),"")</f>
        <v/>
      </c>
      <c r="U68" s="248" t="str">
        <f>IFERROR(VLOOKUP(TableHandbook[[#This Row],[UDC]],TableOCEDUCS1[],7,FALSE),"")</f>
        <v/>
      </c>
      <c r="V68" s="248" t="str">
        <f>IFERROR(VLOOKUP(TableHandbook[[#This Row],[UDC]],TableOCEDUC[],7,FALSE),"")</f>
        <v/>
      </c>
      <c r="W68" s="248" t="str">
        <f>IFERROR(VLOOKUP(TableHandbook[[#This Row],[UDC]],TableOGEDUC[],7,FALSE),"")</f>
        <v/>
      </c>
      <c r="X68" s="248" t="str">
        <f>IFERROR(VLOOKUP(TableHandbook[[#This Row],[UDC]],TableOUMPEDUPR[],7,FALSE),"")</f>
        <v/>
      </c>
      <c r="Y68" s="248" t="str">
        <f>IFERROR(VLOOKUP(TableHandbook[[#This Row],[UDC]],TableOUMPEDUSC[],7,FALSE),"")</f>
        <v/>
      </c>
      <c r="Z68" s="250" t="str">
        <f>IFERROR(VLOOKUP(TableHandbook[[#This Row],[UDC]],TableOMEDUC[],7,FALSE),"")</f>
        <v>Option</v>
      </c>
      <c r="AA68" s="248" t="str">
        <f>IFERROR(VLOOKUP(TableHandbook[[#This Row],[UDC]],TableOSEPCULIN[],7,FALSE),"")</f>
        <v>Core</v>
      </c>
      <c r="AB68" s="248" t="str">
        <f>IFERROR(VLOOKUP(TableHandbook[[#This Row],[UDC]],TableOSEPLNTCH[],7,FALSE),"")</f>
        <v>Core</v>
      </c>
      <c r="AC68" s="248" t="str">
        <f>IFERROR(VLOOKUP(TableHandbook[[#This Row],[UDC]],TableOSEPSTEME[],7,FALSE),"")</f>
        <v>Core</v>
      </c>
    </row>
    <row r="69" spans="1:29" x14ac:dyDescent="0.25">
      <c r="A69" s="2" t="s">
        <v>171</v>
      </c>
      <c r="B69" s="3">
        <v>1</v>
      </c>
      <c r="C69" s="3" t="s">
        <v>483</v>
      </c>
      <c r="D69" s="2" t="s">
        <v>484</v>
      </c>
      <c r="E69" s="3">
        <v>25</v>
      </c>
      <c r="F69" s="245" t="s">
        <v>357</v>
      </c>
      <c r="G69" s="247" t="str">
        <f>IFERROR(IF(VLOOKUP(TableHandbook[[#This Row],[UDC]],TableAvailabilities[],2,FALSE)&gt;0,"Y",""),"")</f>
        <v>Y</v>
      </c>
      <c r="H69" s="247" t="str">
        <f>IFERROR(IF(VLOOKUP(TableHandbook[[#This Row],[UDC]],TableAvailabilities[],3,FALSE)&gt;0,"Y",""),"")</f>
        <v/>
      </c>
      <c r="I69" s="247" t="str">
        <f>IFERROR(IF(VLOOKUP(TableHandbook[[#This Row],[UDC]],TableAvailabilities[],4,FALSE)&gt;0,"Y",""),"")</f>
        <v/>
      </c>
      <c r="J69" s="247" t="str">
        <f>IFERROR(IF(VLOOKUP(TableHandbook[[#This Row],[UDC]],TableAvailabilities[],5,FALSE)&gt;0,"Y",""),"")</f>
        <v/>
      </c>
      <c r="K69" s="2"/>
      <c r="L69" s="250" t="str">
        <f>IFERROR(VLOOKUP(TableHandbook[[#This Row],[UDC]],TableOMTEACH1[],7,FALSE),"")</f>
        <v/>
      </c>
      <c r="M69" s="248" t="str">
        <f>IFERROR(VLOOKUP(TableHandbook[[#This Row],[UDC]],TableOUMPTCHEC[],7,FALSE),"")</f>
        <v/>
      </c>
      <c r="N69" s="248" t="str">
        <f>IFERROR(VLOOKUP(TableHandbook[[#This Row],[UDC]],TableOUMPTCHPE[],7,FALSE),"")</f>
        <v/>
      </c>
      <c r="O69" s="248" t="str">
        <f>IFERROR(VLOOKUP(TableHandbook[[#This Row],[UDC]],TableOUMPTCHSE[],7,FALSE),"")</f>
        <v/>
      </c>
      <c r="P69" s="250" t="str">
        <f>IFERROR(VLOOKUP(TableHandbook[[#This Row],[UDC]],TableOCTESOL1[],7,FALSE),"")</f>
        <v/>
      </c>
      <c r="Q69" s="248" t="str">
        <f>IFERROR(VLOOKUP(TableHandbook[[#This Row],[UDC]],TableOCTESOL[],7,FALSE),"")</f>
        <v/>
      </c>
      <c r="R69" s="248" t="str">
        <f>IFERROR(VLOOKUP(TableHandbook[[#This Row],[UDC]],TableOMAPLING[],7,FALSE),"")</f>
        <v/>
      </c>
      <c r="S69" s="250" t="str">
        <f>IFERROR(VLOOKUP(TableHandbook[[#This Row],[UDC]],TableOCEDHE1[],7,FALSE),"")</f>
        <v/>
      </c>
      <c r="T69" s="248" t="str">
        <f>IFERROR(VLOOKUP(TableHandbook[[#This Row],[UDC]],TableOCEDHE[],7,FALSE),"")</f>
        <v/>
      </c>
      <c r="U69" s="248" t="str">
        <f>IFERROR(VLOOKUP(TableHandbook[[#This Row],[UDC]],TableOCEDUCS1[],7,FALSE),"")</f>
        <v/>
      </c>
      <c r="V69" s="248" t="str">
        <f>IFERROR(VLOOKUP(TableHandbook[[#This Row],[UDC]],TableOCEDUC[],7,FALSE),"")</f>
        <v/>
      </c>
      <c r="W69" s="248" t="str">
        <f>IFERROR(VLOOKUP(TableHandbook[[#This Row],[UDC]],TableOGEDUC[],7,FALSE),"")</f>
        <v/>
      </c>
      <c r="X69" s="248" t="str">
        <f>IFERROR(VLOOKUP(TableHandbook[[#This Row],[UDC]],TableOUMPEDUPR[],7,FALSE),"")</f>
        <v/>
      </c>
      <c r="Y69" s="248" t="str">
        <f>IFERROR(VLOOKUP(TableHandbook[[#This Row],[UDC]],TableOUMPEDUSC[],7,FALSE),"")</f>
        <v/>
      </c>
      <c r="Z69" s="250" t="str">
        <f>IFERROR(VLOOKUP(TableHandbook[[#This Row],[UDC]],TableOMEDUC[],7,FALSE),"")</f>
        <v>Option</v>
      </c>
      <c r="AA69" s="248" t="str">
        <f>IFERROR(VLOOKUP(TableHandbook[[#This Row],[UDC]],TableOSEPCULIN[],7,FALSE),"")</f>
        <v/>
      </c>
      <c r="AB69" s="248" t="str">
        <f>IFERROR(VLOOKUP(TableHandbook[[#This Row],[UDC]],TableOSEPLNTCH[],7,FALSE),"")</f>
        <v>Core</v>
      </c>
      <c r="AC69" s="248" t="str">
        <f>IFERROR(VLOOKUP(TableHandbook[[#This Row],[UDC]],TableOSEPSTEME[],7,FALSE),"")</f>
        <v/>
      </c>
    </row>
    <row r="70" spans="1:29" x14ac:dyDescent="0.25">
      <c r="A70" s="2" t="s">
        <v>168</v>
      </c>
      <c r="B70" s="3">
        <v>1</v>
      </c>
      <c r="C70" s="3" t="s">
        <v>485</v>
      </c>
      <c r="D70" s="2" t="s">
        <v>486</v>
      </c>
      <c r="E70" s="3">
        <v>25</v>
      </c>
      <c r="F70" s="245" t="s">
        <v>357</v>
      </c>
      <c r="G70" s="247" t="str">
        <f>IFERROR(IF(VLOOKUP(TableHandbook[[#This Row],[UDC]],TableAvailabilities[],2,FALSE)&gt;0,"Y",""),"")</f>
        <v>Y</v>
      </c>
      <c r="H70" s="247" t="str">
        <f>IFERROR(IF(VLOOKUP(TableHandbook[[#This Row],[UDC]],TableAvailabilities[],3,FALSE)&gt;0,"Y",""),"")</f>
        <v/>
      </c>
      <c r="I70" s="247" t="str">
        <f>IFERROR(IF(VLOOKUP(TableHandbook[[#This Row],[UDC]],TableAvailabilities[],4,FALSE)&gt;0,"Y",""),"")</f>
        <v/>
      </c>
      <c r="J70" s="247" t="str">
        <f>IFERROR(IF(VLOOKUP(TableHandbook[[#This Row],[UDC]],TableAvailabilities[],5,FALSE)&gt;0,"Y",""),"")</f>
        <v/>
      </c>
      <c r="K70" s="2"/>
      <c r="L70" s="250" t="str">
        <f>IFERROR(VLOOKUP(TableHandbook[[#This Row],[UDC]],TableOMTEACH1[],7,FALSE),"")</f>
        <v/>
      </c>
      <c r="M70" s="248" t="str">
        <f>IFERROR(VLOOKUP(TableHandbook[[#This Row],[UDC]],TableOUMPTCHEC[],7,FALSE),"")</f>
        <v/>
      </c>
      <c r="N70" s="248" t="str">
        <f>IFERROR(VLOOKUP(TableHandbook[[#This Row],[UDC]],TableOUMPTCHPE[],7,FALSE),"")</f>
        <v/>
      </c>
      <c r="O70" s="248" t="str">
        <f>IFERROR(VLOOKUP(TableHandbook[[#This Row],[UDC]],TableOUMPTCHSE[],7,FALSE),"")</f>
        <v/>
      </c>
      <c r="P70" s="250" t="str">
        <f>IFERROR(VLOOKUP(TableHandbook[[#This Row],[UDC]],TableOCTESOL1[],7,FALSE),"")</f>
        <v/>
      </c>
      <c r="Q70" s="248" t="str">
        <f>IFERROR(VLOOKUP(TableHandbook[[#This Row],[UDC]],TableOCTESOL[],7,FALSE),"")</f>
        <v/>
      </c>
      <c r="R70" s="248" t="str">
        <f>IFERROR(VLOOKUP(TableHandbook[[#This Row],[UDC]],TableOMAPLING[],7,FALSE),"")</f>
        <v/>
      </c>
      <c r="S70" s="250" t="str">
        <f>IFERROR(VLOOKUP(TableHandbook[[#This Row],[UDC]],TableOCEDHE1[],7,FALSE),"")</f>
        <v/>
      </c>
      <c r="T70" s="248" t="str">
        <f>IFERROR(VLOOKUP(TableHandbook[[#This Row],[UDC]],TableOCEDHE[],7,FALSE),"")</f>
        <v/>
      </c>
      <c r="U70" s="248" t="str">
        <f>IFERROR(VLOOKUP(TableHandbook[[#This Row],[UDC]],TableOCEDUCS1[],7,FALSE),"")</f>
        <v/>
      </c>
      <c r="V70" s="248" t="str">
        <f>IFERROR(VLOOKUP(TableHandbook[[#This Row],[UDC]],TableOCEDUC[],7,FALSE),"")</f>
        <v/>
      </c>
      <c r="W70" s="248" t="str">
        <f>IFERROR(VLOOKUP(TableHandbook[[#This Row],[UDC]],TableOGEDUC[],7,FALSE),"")</f>
        <v/>
      </c>
      <c r="X70" s="248" t="str">
        <f>IFERROR(VLOOKUP(TableHandbook[[#This Row],[UDC]],TableOUMPEDUPR[],7,FALSE),"")</f>
        <v/>
      </c>
      <c r="Y70" s="248" t="str">
        <f>IFERROR(VLOOKUP(TableHandbook[[#This Row],[UDC]],TableOUMPEDUSC[],7,FALSE),"")</f>
        <v/>
      </c>
      <c r="Z70" s="250" t="str">
        <f>IFERROR(VLOOKUP(TableHandbook[[#This Row],[UDC]],TableOMEDUC[],7,FALSE),"")</f>
        <v>Option</v>
      </c>
      <c r="AA70" s="248" t="str">
        <f>IFERROR(VLOOKUP(TableHandbook[[#This Row],[UDC]],TableOSEPCULIN[],7,FALSE),"")</f>
        <v>Core</v>
      </c>
      <c r="AB70" s="248" t="str">
        <f>IFERROR(VLOOKUP(TableHandbook[[#This Row],[UDC]],TableOSEPLNTCH[],7,FALSE),"")</f>
        <v/>
      </c>
      <c r="AC70" s="248" t="str">
        <f>IFERROR(VLOOKUP(TableHandbook[[#This Row],[UDC]],TableOSEPSTEME[],7,FALSE),"")</f>
        <v/>
      </c>
    </row>
    <row r="71" spans="1:29" x14ac:dyDescent="0.25">
      <c r="A71" s="2" t="s">
        <v>172</v>
      </c>
      <c r="B71" s="3">
        <v>1</v>
      </c>
      <c r="C71" s="3" t="s">
        <v>487</v>
      </c>
      <c r="D71" s="2" t="s">
        <v>488</v>
      </c>
      <c r="E71" s="3">
        <v>25</v>
      </c>
      <c r="F71" s="245" t="s">
        <v>357</v>
      </c>
      <c r="G71" s="247" t="str">
        <f>IFERROR(IF(VLOOKUP(TableHandbook[[#This Row],[UDC]],TableAvailabilities[],2,FALSE)&gt;0,"Y",""),"")</f>
        <v/>
      </c>
      <c r="H71" s="247" t="str">
        <f>IFERROR(IF(VLOOKUP(TableHandbook[[#This Row],[UDC]],TableAvailabilities[],3,FALSE)&gt;0,"Y",""),"")</f>
        <v/>
      </c>
      <c r="I71" s="247" t="str">
        <f>IFERROR(IF(VLOOKUP(TableHandbook[[#This Row],[UDC]],TableAvailabilities[],4,FALSE)&gt;0,"Y",""),"")</f>
        <v>Y</v>
      </c>
      <c r="J71" s="247" t="str">
        <f>IFERROR(IF(VLOOKUP(TableHandbook[[#This Row],[UDC]],TableAvailabilities[],5,FALSE)&gt;0,"Y",""),"")</f>
        <v/>
      </c>
      <c r="K71" s="2"/>
      <c r="L71" s="250" t="str">
        <f>IFERROR(VLOOKUP(TableHandbook[[#This Row],[UDC]],TableOMTEACH1[],7,FALSE),"")</f>
        <v/>
      </c>
      <c r="M71" s="248" t="str">
        <f>IFERROR(VLOOKUP(TableHandbook[[#This Row],[UDC]],TableOUMPTCHEC[],7,FALSE),"")</f>
        <v/>
      </c>
      <c r="N71" s="248" t="str">
        <f>IFERROR(VLOOKUP(TableHandbook[[#This Row],[UDC]],TableOUMPTCHPE[],7,FALSE),"")</f>
        <v/>
      </c>
      <c r="O71" s="248" t="str">
        <f>IFERROR(VLOOKUP(TableHandbook[[#This Row],[UDC]],TableOUMPTCHSE[],7,FALSE),"")</f>
        <v/>
      </c>
      <c r="P71" s="250" t="str">
        <f>IFERROR(VLOOKUP(TableHandbook[[#This Row],[UDC]],TableOCTESOL1[],7,FALSE),"")</f>
        <v/>
      </c>
      <c r="Q71" s="248" t="str">
        <f>IFERROR(VLOOKUP(TableHandbook[[#This Row],[UDC]],TableOCTESOL[],7,FALSE),"")</f>
        <v/>
      </c>
      <c r="R71" s="248" t="str">
        <f>IFERROR(VLOOKUP(TableHandbook[[#This Row],[UDC]],TableOMAPLING[],7,FALSE),"")</f>
        <v/>
      </c>
      <c r="S71" s="250" t="str">
        <f>IFERROR(VLOOKUP(TableHandbook[[#This Row],[UDC]],TableOCEDHE1[],7,FALSE),"")</f>
        <v/>
      </c>
      <c r="T71" s="248" t="str">
        <f>IFERROR(VLOOKUP(TableHandbook[[#This Row],[UDC]],TableOCEDHE[],7,FALSE),"")</f>
        <v/>
      </c>
      <c r="U71" s="248" t="str">
        <f>IFERROR(VLOOKUP(TableHandbook[[#This Row],[UDC]],TableOCEDUCS1[],7,FALSE),"")</f>
        <v/>
      </c>
      <c r="V71" s="248" t="str">
        <f>IFERROR(VLOOKUP(TableHandbook[[#This Row],[UDC]],TableOCEDUC[],7,FALSE),"")</f>
        <v/>
      </c>
      <c r="W71" s="248" t="str">
        <f>IFERROR(VLOOKUP(TableHandbook[[#This Row],[UDC]],TableOGEDUC[],7,FALSE),"")</f>
        <v/>
      </c>
      <c r="X71" s="248" t="str">
        <f>IFERROR(VLOOKUP(TableHandbook[[#This Row],[UDC]],TableOUMPEDUPR[],7,FALSE),"")</f>
        <v/>
      </c>
      <c r="Y71" s="248" t="str">
        <f>IFERROR(VLOOKUP(TableHandbook[[#This Row],[UDC]],TableOUMPEDUSC[],7,FALSE),"")</f>
        <v/>
      </c>
      <c r="Z71" s="250" t="str">
        <f>IFERROR(VLOOKUP(TableHandbook[[#This Row],[UDC]],TableOMEDUC[],7,FALSE),"")</f>
        <v>Option</v>
      </c>
      <c r="AA71" s="248" t="str">
        <f>IFERROR(VLOOKUP(TableHandbook[[#This Row],[UDC]],TableOSEPCULIN[],7,FALSE),"")</f>
        <v/>
      </c>
      <c r="AB71" s="248" t="str">
        <f>IFERROR(VLOOKUP(TableHandbook[[#This Row],[UDC]],TableOSEPLNTCH[],7,FALSE),"")</f>
        <v>Core</v>
      </c>
      <c r="AC71" s="248" t="str">
        <f>IFERROR(VLOOKUP(TableHandbook[[#This Row],[UDC]],TableOSEPSTEME[],7,FALSE),"")</f>
        <v/>
      </c>
    </row>
    <row r="72" spans="1:29" x14ac:dyDescent="0.25">
      <c r="A72" s="2" t="s">
        <v>173</v>
      </c>
      <c r="B72" s="3">
        <v>1</v>
      </c>
      <c r="C72" s="3" t="s">
        <v>489</v>
      </c>
      <c r="D72" s="2" t="s">
        <v>490</v>
      </c>
      <c r="E72" s="3">
        <v>25</v>
      </c>
      <c r="F72" s="245" t="s">
        <v>357</v>
      </c>
      <c r="G72" s="247" t="str">
        <f>IFERROR(IF(VLOOKUP(TableHandbook[[#This Row],[UDC]],TableAvailabilities[],2,FALSE)&gt;0,"Y",""),"")</f>
        <v>Y</v>
      </c>
      <c r="H72" s="247" t="str">
        <f>IFERROR(IF(VLOOKUP(TableHandbook[[#This Row],[UDC]],TableAvailabilities[],3,FALSE)&gt;0,"Y",""),"")</f>
        <v/>
      </c>
      <c r="I72" s="247" t="str">
        <f>IFERROR(IF(VLOOKUP(TableHandbook[[#This Row],[UDC]],TableAvailabilities[],4,FALSE)&gt;0,"Y",""),"")</f>
        <v/>
      </c>
      <c r="J72" s="247" t="str">
        <f>IFERROR(IF(VLOOKUP(TableHandbook[[#This Row],[UDC]],TableAvailabilities[],5,FALSE)&gt;0,"Y",""),"")</f>
        <v/>
      </c>
      <c r="K72" s="2"/>
      <c r="L72" s="250" t="str">
        <f>IFERROR(VLOOKUP(TableHandbook[[#This Row],[UDC]],TableOMTEACH1[],7,FALSE),"")</f>
        <v/>
      </c>
      <c r="M72" s="248" t="str">
        <f>IFERROR(VLOOKUP(TableHandbook[[#This Row],[UDC]],TableOUMPTCHEC[],7,FALSE),"")</f>
        <v/>
      </c>
      <c r="N72" s="248" t="str">
        <f>IFERROR(VLOOKUP(TableHandbook[[#This Row],[UDC]],TableOUMPTCHPE[],7,FALSE),"")</f>
        <v/>
      </c>
      <c r="O72" s="248" t="str">
        <f>IFERROR(VLOOKUP(TableHandbook[[#This Row],[UDC]],TableOUMPTCHSE[],7,FALSE),"")</f>
        <v/>
      </c>
      <c r="P72" s="250" t="str">
        <f>IFERROR(VLOOKUP(TableHandbook[[#This Row],[UDC]],TableOCTESOL1[],7,FALSE),"")</f>
        <v/>
      </c>
      <c r="Q72" s="248" t="str">
        <f>IFERROR(VLOOKUP(TableHandbook[[#This Row],[UDC]],TableOCTESOL[],7,FALSE),"")</f>
        <v/>
      </c>
      <c r="R72" s="248" t="str">
        <f>IFERROR(VLOOKUP(TableHandbook[[#This Row],[UDC]],TableOMAPLING[],7,FALSE),"")</f>
        <v/>
      </c>
      <c r="S72" s="250" t="str">
        <f>IFERROR(VLOOKUP(TableHandbook[[#This Row],[UDC]],TableOCEDHE1[],7,FALSE),"")</f>
        <v/>
      </c>
      <c r="T72" s="248" t="str">
        <f>IFERROR(VLOOKUP(TableHandbook[[#This Row],[UDC]],TableOCEDHE[],7,FALSE),"")</f>
        <v/>
      </c>
      <c r="U72" s="248" t="str">
        <f>IFERROR(VLOOKUP(TableHandbook[[#This Row],[UDC]],TableOCEDUCS1[],7,FALSE),"")</f>
        <v/>
      </c>
      <c r="V72" s="248" t="str">
        <f>IFERROR(VLOOKUP(TableHandbook[[#This Row],[UDC]],TableOCEDUC[],7,FALSE),"")</f>
        <v/>
      </c>
      <c r="W72" s="248" t="str">
        <f>IFERROR(VLOOKUP(TableHandbook[[#This Row],[UDC]],TableOGEDUC[],7,FALSE),"")</f>
        <v/>
      </c>
      <c r="X72" s="248" t="str">
        <f>IFERROR(VLOOKUP(TableHandbook[[#This Row],[UDC]],TableOUMPEDUPR[],7,FALSE),"")</f>
        <v/>
      </c>
      <c r="Y72" s="248" t="str">
        <f>IFERROR(VLOOKUP(TableHandbook[[#This Row],[UDC]],TableOUMPEDUSC[],7,FALSE),"")</f>
        <v/>
      </c>
      <c r="Z72" s="250" t="str">
        <f>IFERROR(VLOOKUP(TableHandbook[[#This Row],[UDC]],TableOMEDUC[],7,FALSE),"")</f>
        <v>Option</v>
      </c>
      <c r="AA72" s="248" t="str">
        <f>IFERROR(VLOOKUP(TableHandbook[[#This Row],[UDC]],TableOSEPCULIN[],7,FALSE),"")</f>
        <v/>
      </c>
      <c r="AB72" s="248" t="str">
        <f>IFERROR(VLOOKUP(TableHandbook[[#This Row],[UDC]],TableOSEPLNTCH[],7,FALSE),"")</f>
        <v/>
      </c>
      <c r="AC72" s="248" t="str">
        <f>IFERROR(VLOOKUP(TableHandbook[[#This Row],[UDC]],TableOSEPSTEME[],7,FALSE),"")</f>
        <v>Core</v>
      </c>
    </row>
    <row r="73" spans="1:29" x14ac:dyDescent="0.25">
      <c r="A73" s="2" t="s">
        <v>120</v>
      </c>
      <c r="B73" s="3">
        <v>1</v>
      </c>
      <c r="C73" s="3" t="s">
        <v>491</v>
      </c>
      <c r="D73" s="2" t="s">
        <v>492</v>
      </c>
      <c r="E73" s="3">
        <v>25</v>
      </c>
      <c r="F73" s="287" t="s">
        <v>493</v>
      </c>
      <c r="G73" s="247" t="str">
        <f>IFERROR(IF(VLOOKUP(TableHandbook[[#This Row],[UDC]],TableAvailabilities[],2,FALSE)&gt;0,"Y",""),"")</f>
        <v>Y</v>
      </c>
      <c r="H73" s="247" t="str">
        <f>IFERROR(IF(VLOOKUP(TableHandbook[[#This Row],[UDC]],TableAvailabilities[],3,FALSE)&gt;0,"Y",""),"")</f>
        <v/>
      </c>
      <c r="I73" s="247" t="str">
        <f>IFERROR(IF(VLOOKUP(TableHandbook[[#This Row],[UDC]],TableAvailabilities[],4,FALSE)&gt;0,"Y",""),"")</f>
        <v>Y</v>
      </c>
      <c r="J73" s="247" t="str">
        <f>IFERROR(IF(VLOOKUP(TableHandbook[[#This Row],[UDC]],TableAvailabilities[],5,FALSE)&gt;0,"Y",""),"")</f>
        <v/>
      </c>
      <c r="K73" s="2"/>
      <c r="L73" s="250" t="str">
        <f>IFERROR(VLOOKUP(TableHandbook[[#This Row],[UDC]],TableOMTEACH1[],7,FALSE),"")</f>
        <v/>
      </c>
      <c r="M73" s="248" t="str">
        <f>IFERROR(VLOOKUP(TableHandbook[[#This Row],[UDC]],TableOUMPTCHEC[],7,FALSE),"")</f>
        <v>Core</v>
      </c>
      <c r="N73" s="248" t="str">
        <f>IFERROR(VLOOKUP(TableHandbook[[#This Row],[UDC]],TableOUMPTCHPE[],7,FALSE),"")</f>
        <v>Core</v>
      </c>
      <c r="O73" s="248" t="str">
        <f>IFERROR(VLOOKUP(TableHandbook[[#This Row],[UDC]],TableOUMPTCHSE[],7,FALSE),"")</f>
        <v>Core</v>
      </c>
      <c r="P73" s="250" t="str">
        <f>IFERROR(VLOOKUP(TableHandbook[[#This Row],[UDC]],TableOCTESOL1[],7,FALSE),"")</f>
        <v/>
      </c>
      <c r="Q73" s="248" t="str">
        <f>IFERROR(VLOOKUP(TableHandbook[[#This Row],[UDC]],TableOCTESOL[],7,FALSE),"")</f>
        <v/>
      </c>
      <c r="R73" s="248" t="str">
        <f>IFERROR(VLOOKUP(TableHandbook[[#This Row],[UDC]],TableOMAPLING[],7,FALSE),"")</f>
        <v/>
      </c>
      <c r="S73" s="250" t="str">
        <f>IFERROR(VLOOKUP(TableHandbook[[#This Row],[UDC]],TableOCEDHE1[],7,FALSE),"")</f>
        <v/>
      </c>
      <c r="T73" s="248" t="str">
        <f>IFERROR(VLOOKUP(TableHandbook[[#This Row],[UDC]],TableOCEDHE[],7,FALSE),"")</f>
        <v/>
      </c>
      <c r="U73" s="248" t="str">
        <f>IFERROR(VLOOKUP(TableHandbook[[#This Row],[UDC]],TableOCEDUCS1[],7,FALSE),"")</f>
        <v/>
      </c>
      <c r="V73" s="248" t="str">
        <f>IFERROR(VLOOKUP(TableHandbook[[#This Row],[UDC]],TableOCEDUC[],7,FALSE),"")</f>
        <v/>
      </c>
      <c r="W73" s="248" t="str">
        <f>IFERROR(VLOOKUP(TableHandbook[[#This Row],[UDC]],TableOGEDUC[],7,FALSE),"")</f>
        <v/>
      </c>
      <c r="X73" s="248" t="str">
        <f>IFERROR(VLOOKUP(TableHandbook[[#This Row],[UDC]],TableOUMPEDUPR[],7,FALSE),"")</f>
        <v>Core</v>
      </c>
      <c r="Y73" s="248" t="str">
        <f>IFERROR(VLOOKUP(TableHandbook[[#This Row],[UDC]],TableOUMPEDUSC[],7,FALSE),"")</f>
        <v>Core</v>
      </c>
      <c r="Z73" s="250" t="str">
        <f>IFERROR(VLOOKUP(TableHandbook[[#This Row],[UDC]],TableOMEDUC[],7,FALSE),"")</f>
        <v/>
      </c>
      <c r="AA73" s="248" t="str">
        <f>IFERROR(VLOOKUP(TableHandbook[[#This Row],[UDC]],TableOSEPCULIN[],7,FALSE),"")</f>
        <v/>
      </c>
      <c r="AB73" s="248" t="str">
        <f>IFERROR(VLOOKUP(TableHandbook[[#This Row],[UDC]],TableOSEPLNTCH[],7,FALSE),"")</f>
        <v/>
      </c>
      <c r="AC73" s="248" t="str">
        <f>IFERROR(VLOOKUP(TableHandbook[[#This Row],[UDC]],TableOSEPSTEME[],7,FALSE),"")</f>
        <v/>
      </c>
    </row>
    <row r="74" spans="1:29" x14ac:dyDescent="0.25">
      <c r="A74" s="2" t="s">
        <v>129</v>
      </c>
      <c r="B74" s="3">
        <v>1</v>
      </c>
      <c r="C74" s="3" t="s">
        <v>494</v>
      </c>
      <c r="D74" s="2" t="s">
        <v>495</v>
      </c>
      <c r="E74" s="3">
        <v>25</v>
      </c>
      <c r="F74" s="287" t="s">
        <v>491</v>
      </c>
      <c r="G74" s="247" t="str">
        <f>IFERROR(IF(VLOOKUP(TableHandbook[[#This Row],[UDC]],TableAvailabilities[],2,FALSE)&gt;0,"Y",""),"")</f>
        <v>Y</v>
      </c>
      <c r="H74" s="247" t="str">
        <f>IFERROR(IF(VLOOKUP(TableHandbook[[#This Row],[UDC]],TableAvailabilities[],3,FALSE)&gt;0,"Y",""),"")</f>
        <v>Y</v>
      </c>
      <c r="I74" s="247" t="str">
        <f>IFERROR(IF(VLOOKUP(TableHandbook[[#This Row],[UDC]],TableAvailabilities[],4,FALSE)&gt;0,"Y",""),"")</f>
        <v>Y</v>
      </c>
      <c r="J74" s="247" t="str">
        <f>IFERROR(IF(VLOOKUP(TableHandbook[[#This Row],[UDC]],TableAvailabilities[],5,FALSE)&gt;0,"Y",""),"")</f>
        <v>Y</v>
      </c>
      <c r="K74" s="2"/>
      <c r="L74" s="250" t="str">
        <f>IFERROR(VLOOKUP(TableHandbook[[#This Row],[UDC]],TableOMTEACH1[],7,FALSE),"")</f>
        <v/>
      </c>
      <c r="M74" s="248" t="str">
        <f>IFERROR(VLOOKUP(TableHandbook[[#This Row],[UDC]],TableOUMPTCHEC[],7,FALSE),"")</f>
        <v>Core</v>
      </c>
      <c r="N74" s="248" t="str">
        <f>IFERROR(VLOOKUP(TableHandbook[[#This Row],[UDC]],TableOUMPTCHPE[],7,FALSE),"")</f>
        <v>Core</v>
      </c>
      <c r="O74" s="248" t="str">
        <f>IFERROR(VLOOKUP(TableHandbook[[#This Row],[UDC]],TableOUMPTCHSE[],7,FALSE),"")</f>
        <v>Core</v>
      </c>
      <c r="P74" s="250" t="str">
        <f>IFERROR(VLOOKUP(TableHandbook[[#This Row],[UDC]],TableOCTESOL1[],7,FALSE),"")</f>
        <v/>
      </c>
      <c r="Q74" s="248" t="str">
        <f>IFERROR(VLOOKUP(TableHandbook[[#This Row],[UDC]],TableOCTESOL[],7,FALSE),"")</f>
        <v/>
      </c>
      <c r="R74" s="248" t="str">
        <f>IFERROR(VLOOKUP(TableHandbook[[#This Row],[UDC]],TableOMAPLING[],7,FALSE),"")</f>
        <v/>
      </c>
      <c r="S74" s="250" t="str">
        <f>IFERROR(VLOOKUP(TableHandbook[[#This Row],[UDC]],TableOCEDHE1[],7,FALSE),"")</f>
        <v/>
      </c>
      <c r="T74" s="248" t="str">
        <f>IFERROR(VLOOKUP(TableHandbook[[#This Row],[UDC]],TableOCEDHE[],7,FALSE),"")</f>
        <v/>
      </c>
      <c r="U74" s="248" t="str">
        <f>IFERROR(VLOOKUP(TableHandbook[[#This Row],[UDC]],TableOCEDUCS1[],7,FALSE),"")</f>
        <v/>
      </c>
      <c r="V74" s="248" t="str">
        <f>IFERROR(VLOOKUP(TableHandbook[[#This Row],[UDC]],TableOCEDUC[],7,FALSE),"")</f>
        <v/>
      </c>
      <c r="W74" s="248" t="str">
        <f>IFERROR(VLOOKUP(TableHandbook[[#This Row],[UDC]],TableOGEDUC[],7,FALSE),"")</f>
        <v/>
      </c>
      <c r="X74" s="248" t="str">
        <f>IFERROR(VLOOKUP(TableHandbook[[#This Row],[UDC]],TableOUMPEDUPR[],7,FALSE),"")</f>
        <v/>
      </c>
      <c r="Y74" s="248" t="str">
        <f>IFERROR(VLOOKUP(TableHandbook[[#This Row],[UDC]],TableOUMPEDUSC[],7,FALSE),"")</f>
        <v/>
      </c>
      <c r="Z74" s="250" t="str">
        <f>IFERROR(VLOOKUP(TableHandbook[[#This Row],[UDC]],TableOMEDUC[],7,FALSE),"")</f>
        <v/>
      </c>
      <c r="AA74" s="248" t="str">
        <f>IFERROR(VLOOKUP(TableHandbook[[#This Row],[UDC]],TableOSEPCULIN[],7,FALSE),"")</f>
        <v/>
      </c>
      <c r="AB74" s="248" t="str">
        <f>IFERROR(VLOOKUP(TableHandbook[[#This Row],[UDC]],TableOSEPLNTCH[],7,FALSE),"")</f>
        <v/>
      </c>
      <c r="AC74" s="248" t="str">
        <f>IFERROR(VLOOKUP(TableHandbook[[#This Row],[UDC]],TableOSEPSTEME[],7,FALSE),"")</f>
        <v/>
      </c>
    </row>
    <row r="75" spans="1:29" x14ac:dyDescent="0.25">
      <c r="A75" s="2" t="s">
        <v>122</v>
      </c>
      <c r="B75" s="3">
        <v>1</v>
      </c>
      <c r="C75" s="3" t="s">
        <v>496</v>
      </c>
      <c r="D75" s="2" t="s">
        <v>497</v>
      </c>
      <c r="E75" s="3">
        <v>25</v>
      </c>
      <c r="F75" s="245" t="s">
        <v>357</v>
      </c>
      <c r="G75" s="247" t="str">
        <f>IFERROR(IF(VLOOKUP(TableHandbook[[#This Row],[UDC]],TableAvailabilities[],2,FALSE)&gt;0,"Y",""),"")</f>
        <v>Y</v>
      </c>
      <c r="H75" s="247" t="str">
        <f>IFERROR(IF(VLOOKUP(TableHandbook[[#This Row],[UDC]],TableAvailabilities[],3,FALSE)&gt;0,"Y",""),"")</f>
        <v/>
      </c>
      <c r="I75" s="247" t="str">
        <f>IFERROR(IF(VLOOKUP(TableHandbook[[#This Row],[UDC]],TableAvailabilities[],4,FALSE)&gt;0,"Y",""),"")</f>
        <v/>
      </c>
      <c r="J75" s="247" t="str">
        <f>IFERROR(IF(VLOOKUP(TableHandbook[[#This Row],[UDC]],TableAvailabilities[],5,FALSE)&gt;0,"Y",""),"")</f>
        <v>Y</v>
      </c>
      <c r="K75" s="2"/>
      <c r="L75" s="250" t="str">
        <f>IFERROR(VLOOKUP(TableHandbook[[#This Row],[UDC]],TableOMTEACH1[],7,FALSE),"")</f>
        <v/>
      </c>
      <c r="M75" s="248" t="str">
        <f>IFERROR(VLOOKUP(TableHandbook[[#This Row],[UDC]],TableOUMPTCHEC[],7,FALSE),"")</f>
        <v/>
      </c>
      <c r="N75" s="248" t="str">
        <f>IFERROR(VLOOKUP(TableHandbook[[#This Row],[UDC]],TableOUMPTCHPE[],7,FALSE),"")</f>
        <v>Core</v>
      </c>
      <c r="O75" s="248" t="str">
        <f>IFERROR(VLOOKUP(TableHandbook[[#This Row],[UDC]],TableOUMPTCHSE[],7,FALSE),"")</f>
        <v>Core</v>
      </c>
      <c r="P75" s="250" t="str">
        <f>IFERROR(VLOOKUP(TableHandbook[[#This Row],[UDC]],TableOCTESOL1[],7,FALSE),"")</f>
        <v/>
      </c>
      <c r="Q75" s="248" t="str">
        <f>IFERROR(VLOOKUP(TableHandbook[[#This Row],[UDC]],TableOCTESOL[],7,FALSE),"")</f>
        <v/>
      </c>
      <c r="R75" s="248" t="str">
        <f>IFERROR(VLOOKUP(TableHandbook[[#This Row],[UDC]],TableOMAPLING[],7,FALSE),"")</f>
        <v/>
      </c>
      <c r="S75" s="250" t="str">
        <f>IFERROR(VLOOKUP(TableHandbook[[#This Row],[UDC]],TableOCEDHE1[],7,FALSE),"")</f>
        <v/>
      </c>
      <c r="T75" s="248" t="str">
        <f>IFERROR(VLOOKUP(TableHandbook[[#This Row],[UDC]],TableOCEDHE[],7,FALSE),"")</f>
        <v/>
      </c>
      <c r="U75" s="248" t="str">
        <f>IFERROR(VLOOKUP(TableHandbook[[#This Row],[UDC]],TableOCEDUCS1[],7,FALSE),"")</f>
        <v/>
      </c>
      <c r="V75" s="248" t="str">
        <f>IFERROR(VLOOKUP(TableHandbook[[#This Row],[UDC]],TableOCEDUC[],7,FALSE),"")</f>
        <v/>
      </c>
      <c r="W75" s="248" t="str">
        <f>IFERROR(VLOOKUP(TableHandbook[[#This Row],[UDC]],TableOGEDUC[],7,FALSE),"")</f>
        <v/>
      </c>
      <c r="X75" s="248" t="str">
        <f>IFERROR(VLOOKUP(TableHandbook[[#This Row],[UDC]],TableOUMPEDUPR[],7,FALSE),"")</f>
        <v/>
      </c>
      <c r="Y75" s="248" t="str">
        <f>IFERROR(VLOOKUP(TableHandbook[[#This Row],[UDC]],TableOUMPEDUSC[],7,FALSE),"")</f>
        <v/>
      </c>
      <c r="Z75" s="250" t="str">
        <f>IFERROR(VLOOKUP(TableHandbook[[#This Row],[UDC]],TableOMEDUC[],7,FALSE),"")</f>
        <v/>
      </c>
      <c r="AA75" s="248" t="str">
        <f>IFERROR(VLOOKUP(TableHandbook[[#This Row],[UDC]],TableOSEPCULIN[],7,FALSE),"")</f>
        <v/>
      </c>
      <c r="AB75" s="248" t="str">
        <f>IFERROR(VLOOKUP(TableHandbook[[#This Row],[UDC]],TableOSEPLNTCH[],7,FALSE),"")</f>
        <v/>
      </c>
      <c r="AC75" s="248" t="str">
        <f>IFERROR(VLOOKUP(TableHandbook[[#This Row],[UDC]],TableOSEPSTEME[],7,FALSE),"")</f>
        <v/>
      </c>
    </row>
    <row r="76" spans="1:29" x14ac:dyDescent="0.25">
      <c r="A76" s="2" t="s">
        <v>498</v>
      </c>
      <c r="B76" s="3"/>
      <c r="C76" s="3"/>
      <c r="D76" s="2" t="s">
        <v>499</v>
      </c>
      <c r="E76" s="3"/>
      <c r="F76" s="245"/>
      <c r="G76" s="247" t="str">
        <f>IFERROR(IF(VLOOKUP(TableHandbook[[#This Row],[UDC]],TableAvailabilities[],2,FALSE)&gt;0,"Y",""),"")</f>
        <v/>
      </c>
      <c r="H76" s="247" t="str">
        <f>IFERROR(IF(VLOOKUP(TableHandbook[[#This Row],[UDC]],TableAvailabilities[],3,FALSE)&gt;0,"Y",""),"")</f>
        <v/>
      </c>
      <c r="I76" s="247" t="str">
        <f>IFERROR(IF(VLOOKUP(TableHandbook[[#This Row],[UDC]],TableAvailabilities[],4,FALSE)&gt;0,"Y",""),"")</f>
        <v/>
      </c>
      <c r="J76" s="247" t="str">
        <f>IFERROR(IF(VLOOKUP(TableHandbook[[#This Row],[UDC]],TableAvailabilities[],5,FALSE)&gt;0,"Y",""),"")</f>
        <v/>
      </c>
      <c r="K76" s="2"/>
      <c r="L76" s="250" t="str">
        <f>IFERROR(VLOOKUP(TableHandbook[[#This Row],[UDC]],TableOMTEACH1[],7,FALSE),"")</f>
        <v/>
      </c>
      <c r="M76" s="248" t="str">
        <f>IFERROR(VLOOKUP(TableHandbook[[#This Row],[UDC]],TableOUMPTCHEC[],7,FALSE),"")</f>
        <v/>
      </c>
      <c r="N76" s="248" t="str">
        <f>IFERROR(VLOOKUP(TableHandbook[[#This Row],[UDC]],TableOUMPTCHPE[],7,FALSE),"")</f>
        <v/>
      </c>
      <c r="O76" s="248" t="str">
        <f>IFERROR(VLOOKUP(TableHandbook[[#This Row],[UDC]],TableOUMPTCHSE[],7,FALSE),"")</f>
        <v>Option</v>
      </c>
      <c r="P76" s="250" t="str">
        <f>IFERROR(VLOOKUP(TableHandbook[[#This Row],[UDC]],TableOCTESOL1[],7,FALSE),"")</f>
        <v/>
      </c>
      <c r="Q76" s="248" t="str">
        <f>IFERROR(VLOOKUP(TableHandbook[[#This Row],[UDC]],TableOCTESOL[],7,FALSE),"")</f>
        <v/>
      </c>
      <c r="R76" s="248" t="str">
        <f>IFERROR(VLOOKUP(TableHandbook[[#This Row],[UDC]],TableOMAPLING[],7,FALSE),"")</f>
        <v/>
      </c>
      <c r="S76" s="250" t="str">
        <f>IFERROR(VLOOKUP(TableHandbook[[#This Row],[UDC]],TableOCEDHE1[],7,FALSE),"")</f>
        <v/>
      </c>
      <c r="T76" s="248" t="str">
        <f>IFERROR(VLOOKUP(TableHandbook[[#This Row],[UDC]],TableOCEDHE[],7,FALSE),"")</f>
        <v/>
      </c>
      <c r="U76" s="248" t="str">
        <f>IFERROR(VLOOKUP(TableHandbook[[#This Row],[UDC]],TableOCEDUCS1[],7,FALSE),"")</f>
        <v/>
      </c>
      <c r="V76" s="248" t="str">
        <f>IFERROR(VLOOKUP(TableHandbook[[#This Row],[UDC]],TableOCEDUC[],7,FALSE),"")</f>
        <v/>
      </c>
      <c r="W76" s="248" t="str">
        <f>IFERROR(VLOOKUP(TableHandbook[[#This Row],[UDC]],TableOGEDUC[],7,FALSE),"")</f>
        <v/>
      </c>
      <c r="X76" s="248" t="str">
        <f>IFERROR(VLOOKUP(TableHandbook[[#This Row],[UDC]],TableOUMPEDUPR[],7,FALSE),"")</f>
        <v/>
      </c>
      <c r="Y76" s="248" t="str">
        <f>IFERROR(VLOOKUP(TableHandbook[[#This Row],[UDC]],TableOUMPEDUSC[],7,FALSE),"")</f>
        <v/>
      </c>
      <c r="Z76" s="250" t="str">
        <f>IFERROR(VLOOKUP(TableHandbook[[#This Row],[UDC]],TableOMEDUC[],7,FALSE),"")</f>
        <v/>
      </c>
      <c r="AA76" s="248" t="str">
        <f>IFERROR(VLOOKUP(TableHandbook[[#This Row],[UDC]],TableOSEPCULIN[],7,FALSE),"")</f>
        <v/>
      </c>
      <c r="AB76" s="248" t="str">
        <f>IFERROR(VLOOKUP(TableHandbook[[#This Row],[UDC]],TableOSEPLNTCH[],7,FALSE),"")</f>
        <v/>
      </c>
      <c r="AC76" s="248" t="str">
        <f>IFERROR(VLOOKUP(TableHandbook[[#This Row],[UDC]],TableOSEPSTEME[],7,FALSE),"")</f>
        <v/>
      </c>
    </row>
    <row r="77" spans="1:29" x14ac:dyDescent="0.25">
      <c r="A77" s="2" t="s">
        <v>313</v>
      </c>
      <c r="B77" s="3"/>
      <c r="C77" s="3"/>
      <c r="D77" s="2" t="s">
        <v>500</v>
      </c>
      <c r="E77" s="3"/>
      <c r="F77" s="245"/>
      <c r="G77" s="247" t="str">
        <f>IFERROR(IF(VLOOKUP(TableHandbook[[#This Row],[UDC]],TableAvailabilities[],2,FALSE)&gt;0,"Y",""),"")</f>
        <v/>
      </c>
      <c r="H77" s="247" t="str">
        <f>IFERROR(IF(VLOOKUP(TableHandbook[[#This Row],[UDC]],TableAvailabilities[],3,FALSE)&gt;0,"Y",""),"")</f>
        <v/>
      </c>
      <c r="I77" s="247" t="str">
        <f>IFERROR(IF(VLOOKUP(TableHandbook[[#This Row],[UDC]],TableAvailabilities[],4,FALSE)&gt;0,"Y",""),"")</f>
        <v/>
      </c>
      <c r="J77" s="247" t="str">
        <f>IFERROR(IF(VLOOKUP(TableHandbook[[#This Row],[UDC]],TableAvailabilities[],5,FALSE)&gt;0,"Y",""),"")</f>
        <v/>
      </c>
      <c r="K77" s="2"/>
      <c r="L77" s="250" t="str">
        <f>IFERROR(VLOOKUP(TableHandbook[[#This Row],[UDC]],TableOMTEACH1[],7,FALSE),"")</f>
        <v/>
      </c>
      <c r="M77" s="248" t="str">
        <f>IFERROR(VLOOKUP(TableHandbook[[#This Row],[UDC]],TableOUMPTCHEC[],7,FALSE),"")</f>
        <v/>
      </c>
      <c r="N77" s="248" t="str">
        <f>IFERROR(VLOOKUP(TableHandbook[[#This Row],[UDC]],TableOUMPTCHPE[],7,FALSE),"")</f>
        <v/>
      </c>
      <c r="O77" s="248" t="str">
        <f>IFERROR(VLOOKUP(TableHandbook[[#This Row],[UDC]],TableOUMPTCHSE[],7,FALSE),"")</f>
        <v/>
      </c>
      <c r="P77" s="250" t="str">
        <f>IFERROR(VLOOKUP(TableHandbook[[#This Row],[UDC]],TableOCTESOL1[],7,FALSE),"")</f>
        <v/>
      </c>
      <c r="Q77" s="248" t="str">
        <f>IFERROR(VLOOKUP(TableHandbook[[#This Row],[UDC]],TableOCTESOL[],7,FALSE),"")</f>
        <v/>
      </c>
      <c r="R77" s="248" t="str">
        <f>IFERROR(VLOOKUP(TableHandbook[[#This Row],[UDC]],TableOMAPLING[],7,FALSE),"")</f>
        <v/>
      </c>
      <c r="S77" s="250" t="str">
        <f>IFERROR(VLOOKUP(TableHandbook[[#This Row],[UDC]],TableOCEDHE1[],7,FALSE),"")</f>
        <v/>
      </c>
      <c r="T77" s="248" t="str">
        <f>IFERROR(VLOOKUP(TableHandbook[[#This Row],[UDC]],TableOCEDHE[],7,FALSE),"")</f>
        <v/>
      </c>
      <c r="U77" s="248" t="str">
        <f>IFERROR(VLOOKUP(TableHandbook[[#This Row],[UDC]],TableOCEDUCS1[],7,FALSE),"")</f>
        <v/>
      </c>
      <c r="V77" s="248" t="str">
        <f>IFERROR(VLOOKUP(TableHandbook[[#This Row],[UDC]],TableOCEDUC[],7,FALSE),"")</f>
        <v/>
      </c>
      <c r="W77" s="248" t="str">
        <f>IFERROR(VLOOKUP(TableHandbook[[#This Row],[UDC]],TableOGEDUC[],7,FALSE),"")</f>
        <v/>
      </c>
      <c r="X77" s="248" t="str">
        <f>IFERROR(VLOOKUP(TableHandbook[[#This Row],[UDC]],TableOUMPEDUPR[],7,FALSE),"")</f>
        <v/>
      </c>
      <c r="Y77" s="248" t="str">
        <f>IFERROR(VLOOKUP(TableHandbook[[#This Row],[UDC]],TableOUMPEDUSC[],7,FALSE),"")</f>
        <v/>
      </c>
      <c r="Z77" s="250" t="str">
        <f>IFERROR(VLOOKUP(TableHandbook[[#This Row],[UDC]],TableOMEDUC[],7,FALSE),"")</f>
        <v/>
      </c>
      <c r="AA77" s="248" t="str">
        <f>IFERROR(VLOOKUP(TableHandbook[[#This Row],[UDC]],TableOSEPCULIN[],7,FALSE),"")</f>
        <v/>
      </c>
      <c r="AB77" s="248" t="str">
        <f>IFERROR(VLOOKUP(TableHandbook[[#This Row],[UDC]],TableOSEPLNTCH[],7,FALSE),"")</f>
        <v/>
      </c>
      <c r="AC77" s="248" t="str">
        <f>IFERROR(VLOOKUP(TableHandbook[[#This Row],[UDC]],TableOSEPSTEME[],7,FALSE),"")</f>
        <v/>
      </c>
    </row>
    <row r="78" spans="1:29" x14ac:dyDescent="0.25">
      <c r="A78" s="2" t="s">
        <v>286</v>
      </c>
      <c r="B78" s="3"/>
      <c r="C78" s="3"/>
      <c r="D78" s="2" t="s">
        <v>501</v>
      </c>
      <c r="E78" s="3">
        <v>25</v>
      </c>
      <c r="F78" s="245" t="s">
        <v>354</v>
      </c>
      <c r="G78" s="247" t="str">
        <f>IFERROR(IF(VLOOKUP(TableHandbook[[#This Row],[UDC]],TableAvailabilities[],2,FALSE)&gt;0,"Y",""),"")</f>
        <v/>
      </c>
      <c r="H78" s="247" t="str">
        <f>IFERROR(IF(VLOOKUP(TableHandbook[[#This Row],[UDC]],TableAvailabilities[],3,FALSE)&gt;0,"Y",""),"")</f>
        <v/>
      </c>
      <c r="I78" s="247" t="str">
        <f>IFERROR(IF(VLOOKUP(TableHandbook[[#This Row],[UDC]],TableAvailabilities[],4,FALSE)&gt;0,"Y",""),"")</f>
        <v/>
      </c>
      <c r="J78" s="247" t="str">
        <f>IFERROR(IF(VLOOKUP(TableHandbook[[#This Row],[UDC]],TableAvailabilities[],5,FALSE)&gt;0,"Y",""),"")</f>
        <v/>
      </c>
      <c r="K78" s="2"/>
      <c r="L78" s="250" t="str">
        <f>IFERROR(VLOOKUP(TableHandbook[[#This Row],[UDC]],TableOMTEACH1[],7,FALSE),"")</f>
        <v/>
      </c>
      <c r="M78" s="248" t="str">
        <f>IFERROR(VLOOKUP(TableHandbook[[#This Row],[UDC]],TableOUMPTCHEC[],7,FALSE),"")</f>
        <v/>
      </c>
      <c r="N78" s="248" t="str">
        <f>IFERROR(VLOOKUP(TableHandbook[[#This Row],[UDC]],TableOUMPTCHPE[],7,FALSE),"")</f>
        <v/>
      </c>
      <c r="O78" s="248" t="str">
        <f>IFERROR(VLOOKUP(TableHandbook[[#This Row],[UDC]],TableOUMPTCHSE[],7,FALSE),"")</f>
        <v/>
      </c>
      <c r="P78" s="250" t="str">
        <f>IFERROR(VLOOKUP(TableHandbook[[#This Row],[UDC]],TableOCTESOL1[],7,FALSE),"")</f>
        <v/>
      </c>
      <c r="Q78" s="248" t="str">
        <f>IFERROR(VLOOKUP(TableHandbook[[#This Row],[UDC]],TableOCTESOL[],7,FALSE),"")</f>
        <v/>
      </c>
      <c r="R78" s="248" t="str">
        <f>IFERROR(VLOOKUP(TableHandbook[[#This Row],[UDC]],TableOMAPLING[],7,FALSE),"")</f>
        <v/>
      </c>
      <c r="S78" s="250" t="str">
        <f>IFERROR(VLOOKUP(TableHandbook[[#This Row],[UDC]],TableOCEDHE1[],7,FALSE),"")</f>
        <v/>
      </c>
      <c r="T78" s="248" t="str">
        <f>IFERROR(VLOOKUP(TableHandbook[[#This Row],[UDC]],TableOCEDHE[],7,FALSE),"")</f>
        <v/>
      </c>
      <c r="U78" s="248" t="str">
        <f>IFERROR(VLOOKUP(TableHandbook[[#This Row],[UDC]],TableOCEDUCS1[],7,FALSE),"")</f>
        <v/>
      </c>
      <c r="V78" s="248" t="str">
        <f>IFERROR(VLOOKUP(TableHandbook[[#This Row],[UDC]],TableOCEDUC[],7,FALSE),"")</f>
        <v/>
      </c>
      <c r="W78" s="248" t="str">
        <f>IFERROR(VLOOKUP(TableHandbook[[#This Row],[UDC]],TableOGEDUC[],7,FALSE),"")</f>
        <v/>
      </c>
      <c r="X78" s="248" t="str">
        <f>IFERROR(VLOOKUP(TableHandbook[[#This Row],[UDC]],TableOUMPEDUPR[],7,FALSE),"")</f>
        <v/>
      </c>
      <c r="Y78" s="248" t="str">
        <f>IFERROR(VLOOKUP(TableHandbook[[#This Row],[UDC]],TableOUMPEDUSC[],7,FALSE),"")</f>
        <v/>
      </c>
      <c r="Z78" s="250" t="str">
        <f>IFERROR(VLOOKUP(TableHandbook[[#This Row],[UDC]],TableOMEDUC[],7,FALSE),"")</f>
        <v/>
      </c>
      <c r="AA78" s="248" t="str">
        <f>IFERROR(VLOOKUP(TableHandbook[[#This Row],[UDC]],TableOSEPCULIN[],7,FALSE),"")</f>
        <v/>
      </c>
      <c r="AB78" s="248" t="str">
        <f>IFERROR(VLOOKUP(TableHandbook[[#This Row],[UDC]],TableOSEPLNTCH[],7,FALSE),"")</f>
        <v/>
      </c>
      <c r="AC78" s="248" t="str">
        <f>IFERROR(VLOOKUP(TableHandbook[[#This Row],[UDC]],TableOSEPSTEME[],7,FALSE),"")</f>
        <v/>
      </c>
    </row>
    <row r="79" spans="1:29" x14ac:dyDescent="0.25">
      <c r="A79" s="2" t="s">
        <v>304</v>
      </c>
      <c r="B79" s="3"/>
      <c r="C79" s="3"/>
      <c r="D79" s="2" t="s">
        <v>502</v>
      </c>
      <c r="E79" s="3">
        <v>25</v>
      </c>
      <c r="F79" s="245" t="s">
        <v>354</v>
      </c>
      <c r="G79" s="247" t="str">
        <f>IFERROR(IF(VLOOKUP(TableHandbook[[#This Row],[UDC]],TableAvailabilities[],2,FALSE)&gt;0,"Y",""),"")</f>
        <v/>
      </c>
      <c r="H79" s="247" t="str">
        <f>IFERROR(IF(VLOOKUP(TableHandbook[[#This Row],[UDC]],TableAvailabilities[],3,FALSE)&gt;0,"Y",""),"")</f>
        <v/>
      </c>
      <c r="I79" s="247" t="str">
        <f>IFERROR(IF(VLOOKUP(TableHandbook[[#This Row],[UDC]],TableAvailabilities[],4,FALSE)&gt;0,"Y",""),"")</f>
        <v/>
      </c>
      <c r="J79" s="247" t="str">
        <f>IFERROR(IF(VLOOKUP(TableHandbook[[#This Row],[UDC]],TableAvailabilities[],5,FALSE)&gt;0,"Y",""),"")</f>
        <v/>
      </c>
      <c r="K79" s="2"/>
      <c r="L79" s="250" t="str">
        <f>IFERROR(VLOOKUP(TableHandbook[[#This Row],[UDC]],TableOMTEACH1[],7,FALSE),"")</f>
        <v/>
      </c>
      <c r="M79" s="248" t="str">
        <f>IFERROR(VLOOKUP(TableHandbook[[#This Row],[UDC]],TableOUMPTCHEC[],7,FALSE),"")</f>
        <v/>
      </c>
      <c r="N79" s="248" t="str">
        <f>IFERROR(VLOOKUP(TableHandbook[[#This Row],[UDC]],TableOUMPTCHPE[],7,FALSE),"")</f>
        <v/>
      </c>
      <c r="O79" s="248" t="str">
        <f>IFERROR(VLOOKUP(TableHandbook[[#This Row],[UDC]],TableOUMPTCHSE[],7,FALSE),"")</f>
        <v/>
      </c>
      <c r="P79" s="250" t="str">
        <f>IFERROR(VLOOKUP(TableHandbook[[#This Row],[UDC]],TableOCTESOL1[],7,FALSE),"")</f>
        <v/>
      </c>
      <c r="Q79" s="248" t="str">
        <f>IFERROR(VLOOKUP(TableHandbook[[#This Row],[UDC]],TableOCTESOL[],7,FALSE),"")</f>
        <v/>
      </c>
      <c r="R79" s="248" t="str">
        <f>IFERROR(VLOOKUP(TableHandbook[[#This Row],[UDC]],TableOMAPLING[],7,FALSE),"")</f>
        <v/>
      </c>
      <c r="S79" s="250" t="str">
        <f>IFERROR(VLOOKUP(TableHandbook[[#This Row],[UDC]],TableOCEDHE1[],7,FALSE),"")</f>
        <v/>
      </c>
      <c r="T79" s="248" t="str">
        <f>IFERROR(VLOOKUP(TableHandbook[[#This Row],[UDC]],TableOCEDHE[],7,FALSE),"")</f>
        <v/>
      </c>
      <c r="U79" s="248" t="str">
        <f>IFERROR(VLOOKUP(TableHandbook[[#This Row],[UDC]],TableOCEDUCS1[],7,FALSE),"")</f>
        <v/>
      </c>
      <c r="V79" s="248" t="str">
        <f>IFERROR(VLOOKUP(TableHandbook[[#This Row],[UDC]],TableOCEDUC[],7,FALSE),"")</f>
        <v/>
      </c>
      <c r="W79" s="248" t="str">
        <f>IFERROR(VLOOKUP(TableHandbook[[#This Row],[UDC]],TableOGEDUC[],7,FALSE),"")</f>
        <v/>
      </c>
      <c r="X79" s="248" t="str">
        <f>IFERROR(VLOOKUP(TableHandbook[[#This Row],[UDC]],TableOUMPEDUPR[],7,FALSE),"")</f>
        <v/>
      </c>
      <c r="Y79" s="248" t="str">
        <f>IFERROR(VLOOKUP(TableHandbook[[#This Row],[UDC]],TableOUMPEDUSC[],7,FALSE),"")</f>
        <v/>
      </c>
      <c r="Z79" s="250" t="str">
        <f>IFERROR(VLOOKUP(TableHandbook[[#This Row],[UDC]],TableOMEDUC[],7,FALSE),"")</f>
        <v/>
      </c>
      <c r="AA79" s="248" t="str">
        <f>IFERROR(VLOOKUP(TableHandbook[[#This Row],[UDC]],TableOSEPCULIN[],7,FALSE),"")</f>
        <v/>
      </c>
      <c r="AB79" s="248" t="str">
        <f>IFERROR(VLOOKUP(TableHandbook[[#This Row],[UDC]],TableOSEPLNTCH[],7,FALSE),"")</f>
        <v/>
      </c>
      <c r="AC79" s="248" t="str">
        <f>IFERROR(VLOOKUP(TableHandbook[[#This Row],[UDC]],TableOSEPSTEME[],7,FALSE),"")</f>
        <v/>
      </c>
    </row>
    <row r="80" spans="1:29" x14ac:dyDescent="0.25">
      <c r="A80" s="2" t="s">
        <v>344</v>
      </c>
      <c r="B80" s="3"/>
      <c r="C80" s="3"/>
      <c r="D80" s="2" t="s">
        <v>503</v>
      </c>
      <c r="E80" s="3">
        <v>25</v>
      </c>
      <c r="F80" s="245" t="s">
        <v>354</v>
      </c>
      <c r="G80" s="247" t="str">
        <f>IFERROR(IF(VLOOKUP(TableHandbook[[#This Row],[UDC]],TableAvailabilities[],2,FALSE)&gt;0,"Y",""),"")</f>
        <v/>
      </c>
      <c r="H80" s="247" t="str">
        <f>IFERROR(IF(VLOOKUP(TableHandbook[[#This Row],[UDC]],TableAvailabilities[],3,FALSE)&gt;0,"Y",""),"")</f>
        <v/>
      </c>
      <c r="I80" s="247" t="str">
        <f>IFERROR(IF(VLOOKUP(TableHandbook[[#This Row],[UDC]],TableAvailabilities[],4,FALSE)&gt;0,"Y",""),"")</f>
        <v/>
      </c>
      <c r="J80" s="247" t="str">
        <f>IFERROR(IF(VLOOKUP(TableHandbook[[#This Row],[UDC]],TableAvailabilities[],5,FALSE)&gt;0,"Y",""),"")</f>
        <v/>
      </c>
      <c r="K80" s="2"/>
      <c r="L80" s="250" t="str">
        <f>IFERROR(VLOOKUP(TableHandbook[[#This Row],[UDC]],TableOMTEACH1[],7,FALSE),"")</f>
        <v/>
      </c>
      <c r="M80" s="248" t="str">
        <f>IFERROR(VLOOKUP(TableHandbook[[#This Row],[UDC]],TableOUMPTCHEC[],7,FALSE),"")</f>
        <v/>
      </c>
      <c r="N80" s="248" t="str">
        <f>IFERROR(VLOOKUP(TableHandbook[[#This Row],[UDC]],TableOUMPTCHPE[],7,FALSE),"")</f>
        <v/>
      </c>
      <c r="O80" s="248" t="str">
        <f>IFERROR(VLOOKUP(TableHandbook[[#This Row],[UDC]],TableOUMPTCHSE[],7,FALSE),"")</f>
        <v/>
      </c>
      <c r="P80" s="250" t="str">
        <f>IFERROR(VLOOKUP(TableHandbook[[#This Row],[UDC]],TableOCTESOL1[],7,FALSE),"")</f>
        <v/>
      </c>
      <c r="Q80" s="248" t="str">
        <f>IFERROR(VLOOKUP(TableHandbook[[#This Row],[UDC]],TableOCTESOL[],7,FALSE),"")</f>
        <v/>
      </c>
      <c r="R80" s="248" t="str">
        <f>IFERROR(VLOOKUP(TableHandbook[[#This Row],[UDC]],TableOMAPLING[],7,FALSE),"")</f>
        <v/>
      </c>
      <c r="S80" s="250" t="str">
        <f>IFERROR(VLOOKUP(TableHandbook[[#This Row],[UDC]],TableOCEDHE1[],7,FALSE),"")</f>
        <v/>
      </c>
      <c r="T80" s="248" t="str">
        <f>IFERROR(VLOOKUP(TableHandbook[[#This Row],[UDC]],TableOCEDHE[],7,FALSE),"")</f>
        <v/>
      </c>
      <c r="U80" s="248" t="str">
        <f>IFERROR(VLOOKUP(TableHandbook[[#This Row],[UDC]],TableOCEDUCS1[],7,FALSE),"")</f>
        <v/>
      </c>
      <c r="V80" s="248" t="str">
        <f>IFERROR(VLOOKUP(TableHandbook[[#This Row],[UDC]],TableOCEDUC[],7,FALSE),"")</f>
        <v/>
      </c>
      <c r="W80" s="248" t="str">
        <f>IFERROR(VLOOKUP(TableHandbook[[#This Row],[UDC]],TableOGEDUC[],7,FALSE),"")</f>
        <v/>
      </c>
      <c r="X80" s="248" t="str">
        <f>IFERROR(VLOOKUP(TableHandbook[[#This Row],[UDC]],TableOUMPEDUPR[],7,FALSE),"")</f>
        <v/>
      </c>
      <c r="Y80" s="248" t="str">
        <f>IFERROR(VLOOKUP(TableHandbook[[#This Row],[UDC]],TableOUMPEDUSC[],7,FALSE),"")</f>
        <v/>
      </c>
      <c r="Z80" s="250" t="str">
        <f>IFERROR(VLOOKUP(TableHandbook[[#This Row],[UDC]],TableOMEDUC[],7,FALSE),"")</f>
        <v/>
      </c>
      <c r="AA80" s="248" t="str">
        <f>IFERROR(VLOOKUP(TableHandbook[[#This Row],[UDC]],TableOSEPCULIN[],7,FALSE),"")</f>
        <v/>
      </c>
      <c r="AB80" s="248" t="str">
        <f>IFERROR(VLOOKUP(TableHandbook[[#This Row],[UDC]],TableOSEPLNTCH[],7,FALSE),"")</f>
        <v/>
      </c>
      <c r="AC80" s="248" t="str">
        <f>IFERROR(VLOOKUP(TableHandbook[[#This Row],[UDC]],TableOSEPSTEME[],7,FALSE),"")</f>
        <v/>
      </c>
    </row>
    <row r="81" spans="1:29" x14ac:dyDescent="0.25">
      <c r="A81" s="2" t="s">
        <v>345</v>
      </c>
      <c r="B81" s="3"/>
      <c r="C81" s="3"/>
      <c r="D81" s="2" t="s">
        <v>504</v>
      </c>
      <c r="E81" s="3">
        <v>25</v>
      </c>
      <c r="F81" s="245" t="s">
        <v>354</v>
      </c>
      <c r="G81" s="247" t="str">
        <f>IFERROR(IF(VLOOKUP(TableHandbook[[#This Row],[UDC]],TableAvailabilities[],2,FALSE)&gt;0,"Y",""),"")</f>
        <v/>
      </c>
      <c r="H81" s="247" t="str">
        <f>IFERROR(IF(VLOOKUP(TableHandbook[[#This Row],[UDC]],TableAvailabilities[],3,FALSE)&gt;0,"Y",""),"")</f>
        <v/>
      </c>
      <c r="I81" s="247" t="str">
        <f>IFERROR(IF(VLOOKUP(TableHandbook[[#This Row],[UDC]],TableAvailabilities[],4,FALSE)&gt;0,"Y",""),"")</f>
        <v/>
      </c>
      <c r="J81" s="247" t="str">
        <f>IFERROR(IF(VLOOKUP(TableHandbook[[#This Row],[UDC]],TableAvailabilities[],5,FALSE)&gt;0,"Y",""),"")</f>
        <v/>
      </c>
      <c r="K81" s="2"/>
      <c r="L81" s="250" t="str">
        <f>IFERROR(VLOOKUP(TableHandbook[[#This Row],[UDC]],TableOMTEACH1[],7,FALSE),"")</f>
        <v/>
      </c>
      <c r="M81" s="248" t="str">
        <f>IFERROR(VLOOKUP(TableHandbook[[#This Row],[UDC]],TableOUMPTCHEC[],7,FALSE),"")</f>
        <v/>
      </c>
      <c r="N81" s="248" t="str">
        <f>IFERROR(VLOOKUP(TableHandbook[[#This Row],[UDC]],TableOUMPTCHPE[],7,FALSE),"")</f>
        <v/>
      </c>
      <c r="O81" s="248" t="str">
        <f>IFERROR(VLOOKUP(TableHandbook[[#This Row],[UDC]],TableOUMPTCHSE[],7,FALSE),"")</f>
        <v/>
      </c>
      <c r="P81" s="250" t="str">
        <f>IFERROR(VLOOKUP(TableHandbook[[#This Row],[UDC]],TableOCTESOL1[],7,FALSE),"")</f>
        <v/>
      </c>
      <c r="Q81" s="248" t="str">
        <f>IFERROR(VLOOKUP(TableHandbook[[#This Row],[UDC]],TableOCTESOL[],7,FALSE),"")</f>
        <v/>
      </c>
      <c r="R81" s="248" t="str">
        <f>IFERROR(VLOOKUP(TableHandbook[[#This Row],[UDC]],TableOMAPLING[],7,FALSE),"")</f>
        <v/>
      </c>
      <c r="S81" s="250" t="str">
        <f>IFERROR(VLOOKUP(TableHandbook[[#This Row],[UDC]],TableOCEDHE1[],7,FALSE),"")</f>
        <v/>
      </c>
      <c r="T81" s="248" t="str">
        <f>IFERROR(VLOOKUP(TableHandbook[[#This Row],[UDC]],TableOCEDHE[],7,FALSE),"")</f>
        <v/>
      </c>
      <c r="U81" s="248" t="str">
        <f>IFERROR(VLOOKUP(TableHandbook[[#This Row],[UDC]],TableOCEDUCS1[],7,FALSE),"")</f>
        <v/>
      </c>
      <c r="V81" s="248" t="str">
        <f>IFERROR(VLOOKUP(TableHandbook[[#This Row],[UDC]],TableOCEDUC[],7,FALSE),"")</f>
        <v/>
      </c>
      <c r="W81" s="248" t="str">
        <f>IFERROR(VLOOKUP(TableHandbook[[#This Row],[UDC]],TableOGEDUC[],7,FALSE),"")</f>
        <v/>
      </c>
      <c r="X81" s="248" t="str">
        <f>IFERROR(VLOOKUP(TableHandbook[[#This Row],[UDC]],TableOUMPEDUPR[],7,FALSE),"")</f>
        <v/>
      </c>
      <c r="Y81" s="248" t="str">
        <f>IFERROR(VLOOKUP(TableHandbook[[#This Row],[UDC]],TableOUMPEDUSC[],7,FALSE),"")</f>
        <v/>
      </c>
      <c r="Z81" s="250" t="str">
        <f>IFERROR(VLOOKUP(TableHandbook[[#This Row],[UDC]],TableOMEDUC[],7,FALSE),"")</f>
        <v/>
      </c>
      <c r="AA81" s="248" t="str">
        <f>IFERROR(VLOOKUP(TableHandbook[[#This Row],[UDC]],TableOSEPCULIN[],7,FALSE),"")</f>
        <v/>
      </c>
      <c r="AB81" s="248" t="str">
        <f>IFERROR(VLOOKUP(TableHandbook[[#This Row],[UDC]],TableOSEPLNTCH[],7,FALSE),"")</f>
        <v/>
      </c>
      <c r="AC81" s="248" t="str">
        <f>IFERROR(VLOOKUP(TableHandbook[[#This Row],[UDC]],TableOSEPSTEME[],7,FALSE),"")</f>
        <v/>
      </c>
    </row>
    <row r="82" spans="1:29" x14ac:dyDescent="0.25">
      <c r="A82" s="2" t="s">
        <v>179</v>
      </c>
      <c r="B82" s="3">
        <v>1</v>
      </c>
      <c r="C82" s="3" t="s">
        <v>505</v>
      </c>
      <c r="D82" s="2" t="s">
        <v>506</v>
      </c>
      <c r="E82" s="3">
        <v>25</v>
      </c>
      <c r="F82" s="245" t="s">
        <v>357</v>
      </c>
      <c r="G82" s="247" t="str">
        <f>IFERROR(IF(VLOOKUP(TableHandbook[[#This Row],[UDC]],TableAvailabilities[],2,FALSE)&gt;0,"Y",""),"")</f>
        <v>Y</v>
      </c>
      <c r="H82" s="247" t="str">
        <f>IFERROR(IF(VLOOKUP(TableHandbook[[#This Row],[UDC]],TableAvailabilities[],3,FALSE)&gt;0,"Y",""),"")</f>
        <v/>
      </c>
      <c r="I82" s="247" t="str">
        <f>IFERROR(IF(VLOOKUP(TableHandbook[[#This Row],[UDC]],TableAvailabilities[],4,FALSE)&gt;0,"Y",""),"")</f>
        <v>Y</v>
      </c>
      <c r="J82" s="247" t="str">
        <f>IFERROR(IF(VLOOKUP(TableHandbook[[#This Row],[UDC]],TableAvailabilities[],5,FALSE)&gt;0,"Y",""),"")</f>
        <v/>
      </c>
      <c r="K82" s="2"/>
      <c r="L82" s="250" t="str">
        <f>IFERROR(VLOOKUP(TableHandbook[[#This Row],[UDC]],TableOMTEACH1[],7,FALSE),"")</f>
        <v/>
      </c>
      <c r="M82" s="248" t="str">
        <f>IFERROR(VLOOKUP(TableHandbook[[#This Row],[UDC]],TableOUMPTCHEC[],7,FALSE),"")</f>
        <v/>
      </c>
      <c r="N82" s="248" t="str">
        <f>IFERROR(VLOOKUP(TableHandbook[[#This Row],[UDC]],TableOUMPTCHPE[],7,FALSE),"")</f>
        <v/>
      </c>
      <c r="O82" s="248" t="str">
        <f>IFERROR(VLOOKUP(TableHandbook[[#This Row],[UDC]],TableOUMPTCHSE[],7,FALSE),"")</f>
        <v/>
      </c>
      <c r="P82" s="250" t="str">
        <f>IFERROR(VLOOKUP(TableHandbook[[#This Row],[UDC]],TableOCTESOL1[],7,FALSE),"")</f>
        <v/>
      </c>
      <c r="Q82" s="248" t="str">
        <f>IFERROR(VLOOKUP(TableHandbook[[#This Row],[UDC]],TableOCTESOL[],7,FALSE),"")</f>
        <v/>
      </c>
      <c r="R82" s="248" t="str">
        <f>IFERROR(VLOOKUP(TableHandbook[[#This Row],[UDC]],TableOMAPLING[],7,FALSE),"")</f>
        <v>Core</v>
      </c>
      <c r="S82" s="250" t="str">
        <f>IFERROR(VLOOKUP(TableHandbook[[#This Row],[UDC]],TableOCEDHE1[],7,FALSE),"")</f>
        <v/>
      </c>
      <c r="T82" s="248" t="str">
        <f>IFERROR(VLOOKUP(TableHandbook[[#This Row],[UDC]],TableOCEDHE[],7,FALSE),"")</f>
        <v/>
      </c>
      <c r="U82" s="248" t="str">
        <f>IFERROR(VLOOKUP(TableHandbook[[#This Row],[UDC]],TableOCEDUCS1[],7,FALSE),"")</f>
        <v/>
      </c>
      <c r="V82" s="248" t="str">
        <f>IFERROR(VLOOKUP(TableHandbook[[#This Row],[UDC]],TableOCEDUC[],7,FALSE),"")</f>
        <v/>
      </c>
      <c r="W82" s="248" t="str">
        <f>IFERROR(VLOOKUP(TableHandbook[[#This Row],[UDC]],TableOGEDUC[],7,FALSE),"")</f>
        <v/>
      </c>
      <c r="X82" s="248" t="str">
        <f>IFERROR(VLOOKUP(TableHandbook[[#This Row],[UDC]],TableOUMPEDUPR[],7,FALSE),"")</f>
        <v/>
      </c>
      <c r="Y82" s="248" t="str">
        <f>IFERROR(VLOOKUP(TableHandbook[[#This Row],[UDC]],TableOUMPEDUSC[],7,FALSE),"")</f>
        <v/>
      </c>
      <c r="Z82" s="250" t="str">
        <f>IFERROR(VLOOKUP(TableHandbook[[#This Row],[UDC]],TableOMEDUC[],7,FALSE),"")</f>
        <v>Option</v>
      </c>
      <c r="AA82" s="248" t="str">
        <f>IFERROR(VLOOKUP(TableHandbook[[#This Row],[UDC]],TableOSEPCULIN[],7,FALSE),"")</f>
        <v>Core</v>
      </c>
      <c r="AB82" s="248" t="str">
        <f>IFERROR(VLOOKUP(TableHandbook[[#This Row],[UDC]],TableOSEPLNTCH[],7,FALSE),"")</f>
        <v/>
      </c>
      <c r="AC82" s="248" t="str">
        <f>IFERROR(VLOOKUP(TableHandbook[[#This Row],[UDC]],TableOSEPSTEME[],7,FALSE),"")</f>
        <v/>
      </c>
    </row>
    <row r="83" spans="1:29" x14ac:dyDescent="0.25">
      <c r="A83" s="2" t="s">
        <v>230</v>
      </c>
      <c r="B83" s="3">
        <v>1</v>
      </c>
      <c r="C83" s="3" t="s">
        <v>507</v>
      </c>
      <c r="D83" s="2" t="s">
        <v>508</v>
      </c>
      <c r="E83" s="3">
        <v>25</v>
      </c>
      <c r="F83" s="245" t="s">
        <v>357</v>
      </c>
      <c r="G83" s="247" t="str">
        <f>IFERROR(IF(VLOOKUP(TableHandbook[[#This Row],[UDC]],TableAvailabilities[],2,FALSE)&gt;0,"Y",""),"")</f>
        <v>Y</v>
      </c>
      <c r="H83" s="247" t="str">
        <f>IFERROR(IF(VLOOKUP(TableHandbook[[#This Row],[UDC]],TableAvailabilities[],3,FALSE)&gt;0,"Y",""),"")</f>
        <v/>
      </c>
      <c r="I83" s="247" t="str">
        <f>IFERROR(IF(VLOOKUP(TableHandbook[[#This Row],[UDC]],TableAvailabilities[],4,FALSE)&gt;0,"Y",""),"")</f>
        <v/>
      </c>
      <c r="J83" s="247" t="str">
        <f>IFERROR(IF(VLOOKUP(TableHandbook[[#This Row],[UDC]],TableAvailabilities[],5,FALSE)&gt;0,"Y",""),"")</f>
        <v/>
      </c>
      <c r="K83" s="2"/>
      <c r="L83" s="250" t="str">
        <f>IFERROR(VLOOKUP(TableHandbook[[#This Row],[UDC]],TableOMTEACH1[],7,FALSE),"")</f>
        <v/>
      </c>
      <c r="M83" s="248" t="str">
        <f>IFERROR(VLOOKUP(TableHandbook[[#This Row],[UDC]],TableOUMPTCHEC[],7,FALSE),"")</f>
        <v/>
      </c>
      <c r="N83" s="248" t="str">
        <f>IFERROR(VLOOKUP(TableHandbook[[#This Row],[UDC]],TableOUMPTCHPE[],7,FALSE),"")</f>
        <v/>
      </c>
      <c r="O83" s="248" t="str">
        <f>IFERROR(VLOOKUP(TableHandbook[[#This Row],[UDC]],TableOUMPTCHSE[],7,FALSE),"")</f>
        <v/>
      </c>
      <c r="P83" s="250" t="str">
        <f>IFERROR(VLOOKUP(TableHandbook[[#This Row],[UDC]],TableOCTESOL1[],7,FALSE),"")</f>
        <v/>
      </c>
      <c r="Q83" s="248" t="str">
        <f>IFERROR(VLOOKUP(TableHandbook[[#This Row],[UDC]],TableOCTESOL[],7,FALSE),"")</f>
        <v/>
      </c>
      <c r="R83" s="248" t="str">
        <f>IFERROR(VLOOKUP(TableHandbook[[#This Row],[UDC]],TableOMAPLING[],7,FALSE),"")</f>
        <v>Core</v>
      </c>
      <c r="S83" s="250" t="str">
        <f>IFERROR(VLOOKUP(TableHandbook[[#This Row],[UDC]],TableOCEDHE1[],7,FALSE),"")</f>
        <v/>
      </c>
      <c r="T83" s="248" t="str">
        <f>IFERROR(VLOOKUP(TableHandbook[[#This Row],[UDC]],TableOCEDHE[],7,FALSE),"")</f>
        <v/>
      </c>
      <c r="U83" s="248" t="str">
        <f>IFERROR(VLOOKUP(TableHandbook[[#This Row],[UDC]],TableOCEDUCS1[],7,FALSE),"")</f>
        <v/>
      </c>
      <c r="V83" s="248" t="str">
        <f>IFERROR(VLOOKUP(TableHandbook[[#This Row],[UDC]],TableOCEDUC[],7,FALSE),"")</f>
        <v/>
      </c>
      <c r="W83" s="248" t="str">
        <f>IFERROR(VLOOKUP(TableHandbook[[#This Row],[UDC]],TableOGEDUC[],7,FALSE),"")</f>
        <v/>
      </c>
      <c r="X83" s="248" t="str">
        <f>IFERROR(VLOOKUP(TableHandbook[[#This Row],[UDC]],TableOUMPEDUPR[],7,FALSE),"")</f>
        <v/>
      </c>
      <c r="Y83" s="248" t="str">
        <f>IFERROR(VLOOKUP(TableHandbook[[#This Row],[UDC]],TableOUMPEDUSC[],7,FALSE),"")</f>
        <v/>
      </c>
      <c r="Z83" s="250" t="str">
        <f>IFERROR(VLOOKUP(TableHandbook[[#This Row],[UDC]],TableOMEDUC[],7,FALSE),"")</f>
        <v/>
      </c>
      <c r="AA83" s="248" t="str">
        <f>IFERROR(VLOOKUP(TableHandbook[[#This Row],[UDC]],TableOSEPCULIN[],7,FALSE),"")</f>
        <v/>
      </c>
      <c r="AB83" s="248" t="str">
        <f>IFERROR(VLOOKUP(TableHandbook[[#This Row],[UDC]],TableOSEPLNTCH[],7,FALSE),"")</f>
        <v/>
      </c>
      <c r="AC83" s="248" t="str">
        <f>IFERROR(VLOOKUP(TableHandbook[[#This Row],[UDC]],TableOSEPSTEME[],7,FALSE),"")</f>
        <v/>
      </c>
    </row>
    <row r="84" spans="1:29" x14ac:dyDescent="0.25">
      <c r="A84" s="2" t="s">
        <v>509</v>
      </c>
      <c r="B84" s="3"/>
      <c r="C84" s="3"/>
      <c r="D84" s="2" t="s">
        <v>510</v>
      </c>
      <c r="E84" s="3" t="s">
        <v>511</v>
      </c>
      <c r="F84" s="245"/>
      <c r="G84" s="247" t="str">
        <f>IFERROR(IF(VLOOKUP(TableHandbook[[#This Row],[UDC]],TableAvailabilities[],2,FALSE)&gt;0,"Y",""),"")</f>
        <v/>
      </c>
      <c r="H84" s="247" t="str">
        <f>IFERROR(IF(VLOOKUP(TableHandbook[[#This Row],[UDC]],TableAvailabilities[],3,FALSE)&gt;0,"Y",""),"")</f>
        <v/>
      </c>
      <c r="I84" s="247" t="str">
        <f>IFERROR(IF(VLOOKUP(TableHandbook[[#This Row],[UDC]],TableAvailabilities[],4,FALSE)&gt;0,"Y",""),"")</f>
        <v/>
      </c>
      <c r="J84" s="247" t="str">
        <f>IFERROR(IF(VLOOKUP(TableHandbook[[#This Row],[UDC]],TableAvailabilities[],5,FALSE)&gt;0,"Y",""),"")</f>
        <v/>
      </c>
      <c r="K84" s="2"/>
      <c r="L84" s="250" t="str">
        <f>IFERROR(VLOOKUP(TableHandbook[[#This Row],[UDC]],TableOMTEACH1[],7,FALSE),"")</f>
        <v/>
      </c>
      <c r="M84" s="248" t="str">
        <f>IFERROR(VLOOKUP(TableHandbook[[#This Row],[UDC]],TableOUMPTCHEC[],7,FALSE),"")</f>
        <v/>
      </c>
      <c r="N84" s="248" t="str">
        <f>IFERROR(VLOOKUP(TableHandbook[[#This Row],[UDC]],TableOUMPTCHPE[],7,FALSE),"")</f>
        <v/>
      </c>
      <c r="O84" s="248" t="str">
        <f>IFERROR(VLOOKUP(TableHandbook[[#This Row],[UDC]],TableOUMPTCHSE[],7,FALSE),"")</f>
        <v/>
      </c>
      <c r="P84" s="250" t="str">
        <f>IFERROR(VLOOKUP(TableHandbook[[#This Row],[UDC]],TableOCTESOL1[],7,FALSE),"")</f>
        <v/>
      </c>
      <c r="Q84" s="248" t="str">
        <f>IFERROR(VLOOKUP(TableHandbook[[#This Row],[UDC]],TableOCTESOL[],7,FALSE),"")</f>
        <v/>
      </c>
      <c r="R84" s="248" t="str">
        <f>IFERROR(VLOOKUP(TableHandbook[[#This Row],[UDC]],TableOMAPLING[],7,FALSE),"")</f>
        <v/>
      </c>
      <c r="S84" s="250" t="str">
        <f>IFERROR(VLOOKUP(TableHandbook[[#This Row],[UDC]],TableOCEDHE1[],7,FALSE),"")</f>
        <v/>
      </c>
      <c r="T84" s="248" t="str">
        <f>IFERROR(VLOOKUP(TableHandbook[[#This Row],[UDC]],TableOCEDHE[],7,FALSE),"")</f>
        <v/>
      </c>
      <c r="U84" s="248" t="str">
        <f>IFERROR(VLOOKUP(TableHandbook[[#This Row],[UDC]],TableOCEDUCS1[],7,FALSE),"")</f>
        <v/>
      </c>
      <c r="V84" s="248" t="str">
        <f>IFERROR(VLOOKUP(TableHandbook[[#This Row],[UDC]],TableOCEDUC[],7,FALSE),"")</f>
        <v/>
      </c>
      <c r="W84" s="248" t="str">
        <f>IFERROR(VLOOKUP(TableHandbook[[#This Row],[UDC]],TableOGEDUC[],7,FALSE),"")</f>
        <v/>
      </c>
      <c r="X84" s="248" t="str">
        <f>IFERROR(VLOOKUP(TableHandbook[[#This Row],[UDC]],TableOUMPEDUPR[],7,FALSE),"")</f>
        <v/>
      </c>
      <c r="Y84" s="248" t="str">
        <f>IFERROR(VLOOKUP(TableHandbook[[#This Row],[UDC]],TableOUMPEDUSC[],7,FALSE),"")</f>
        <v/>
      </c>
      <c r="Z84" s="250" t="str">
        <f>IFERROR(VLOOKUP(TableHandbook[[#This Row],[UDC]],TableOMEDUC[],7,FALSE),"")</f>
        <v/>
      </c>
      <c r="AA84" s="248" t="str">
        <f>IFERROR(VLOOKUP(TableHandbook[[#This Row],[UDC]],TableOSEPCULIN[],7,FALSE),"")</f>
        <v/>
      </c>
      <c r="AB84" s="248" t="str">
        <f>IFERROR(VLOOKUP(TableHandbook[[#This Row],[UDC]],TableOSEPLNTCH[],7,FALSE),"")</f>
        <v/>
      </c>
      <c r="AC84" s="248" t="str">
        <f>IFERROR(VLOOKUP(TableHandbook[[#This Row],[UDC]],TableOSEPSTEME[],7,FALSE),"")</f>
        <v/>
      </c>
    </row>
    <row r="85" spans="1:29" x14ac:dyDescent="0.25">
      <c r="A85" s="2" t="s">
        <v>512</v>
      </c>
      <c r="B85" s="3">
        <v>0</v>
      </c>
      <c r="C85" s="3"/>
      <c r="D85" s="2" t="s">
        <v>513</v>
      </c>
      <c r="E85" s="3">
        <v>100</v>
      </c>
      <c r="F85" s="245"/>
      <c r="G85" s="247" t="str">
        <f>IFERROR(IF(VLOOKUP(TableHandbook[[#This Row],[UDC]],TableAvailabilities[],2,FALSE)&gt;0,"Y",""),"")</f>
        <v/>
      </c>
      <c r="H85" s="247" t="str">
        <f>IFERROR(IF(VLOOKUP(TableHandbook[[#This Row],[UDC]],TableAvailabilities[],3,FALSE)&gt;0,"Y",""),"")</f>
        <v/>
      </c>
      <c r="I85" s="247" t="str">
        <f>IFERROR(IF(VLOOKUP(TableHandbook[[#This Row],[UDC]],TableAvailabilities[],4,FALSE)&gt;0,"Y",""),"")</f>
        <v/>
      </c>
      <c r="J85" s="247" t="str">
        <f>IFERROR(IF(VLOOKUP(TableHandbook[[#This Row],[UDC]],TableAvailabilities[],5,FALSE)&gt;0,"Y",""),"")</f>
        <v/>
      </c>
      <c r="K85" s="3"/>
      <c r="L85" s="250" t="str">
        <f>IFERROR(VLOOKUP(TableHandbook[[#This Row],[UDC]],TableOMTEACH1[],7,FALSE),"")</f>
        <v/>
      </c>
      <c r="M85" s="248" t="str">
        <f>IFERROR(VLOOKUP(TableHandbook[[#This Row],[UDC]],TableOUMPTCHEC[],7,FALSE),"")</f>
        <v/>
      </c>
      <c r="N85" s="248" t="str">
        <f>IFERROR(VLOOKUP(TableHandbook[[#This Row],[UDC]],TableOUMPTCHPE[],7,FALSE),"")</f>
        <v/>
      </c>
      <c r="O85" s="248" t="str">
        <f>IFERROR(VLOOKUP(TableHandbook[[#This Row],[UDC]],TableOUMPTCHSE[],7,FALSE),"")</f>
        <v/>
      </c>
      <c r="P85" s="250" t="str">
        <f>IFERROR(VLOOKUP(TableHandbook[[#This Row],[UDC]],TableOCTESOL1[],7,FALSE),"")</f>
        <v/>
      </c>
      <c r="Q85" s="248" t="str">
        <f>IFERROR(VLOOKUP(TableHandbook[[#This Row],[UDC]],TableOCTESOL[],7,FALSE),"")</f>
        <v/>
      </c>
      <c r="R85" s="248" t="str">
        <f>IFERROR(VLOOKUP(TableHandbook[[#This Row],[UDC]],TableOMAPLING[],7,FALSE),"")</f>
        <v/>
      </c>
      <c r="S85" s="250" t="str">
        <f>IFERROR(VLOOKUP(TableHandbook[[#This Row],[UDC]],TableOCEDHE1[],7,FALSE),"")</f>
        <v/>
      </c>
      <c r="T85" s="248" t="str">
        <f>IFERROR(VLOOKUP(TableHandbook[[#This Row],[UDC]],TableOCEDHE[],7,FALSE),"")</f>
        <v/>
      </c>
      <c r="U85" s="248" t="str">
        <f>IFERROR(VLOOKUP(TableHandbook[[#This Row],[UDC]],TableOCEDUCS1[],7,FALSE),"")</f>
        <v/>
      </c>
      <c r="V85" s="248" t="str">
        <f>IFERROR(VLOOKUP(TableHandbook[[#This Row],[UDC]],TableOCEDUC[],7,FALSE),"")</f>
        <v/>
      </c>
      <c r="W85" s="248" t="str">
        <f>IFERROR(VLOOKUP(TableHandbook[[#This Row],[UDC]],TableOGEDUC[],7,FALSE),"")</f>
        <v/>
      </c>
      <c r="X85" s="248" t="str">
        <f>IFERROR(VLOOKUP(TableHandbook[[#This Row],[UDC]],TableOUMPEDUPR[],7,FALSE),"")</f>
        <v/>
      </c>
      <c r="Y85" s="248" t="str">
        <f>IFERROR(VLOOKUP(TableHandbook[[#This Row],[UDC]],TableOUMPEDUSC[],7,FALSE),"")</f>
        <v/>
      </c>
      <c r="Z85" s="250" t="str">
        <f>IFERROR(VLOOKUP(TableHandbook[[#This Row],[UDC]],TableOMEDUC[],7,FALSE),"")</f>
        <v>Option</v>
      </c>
      <c r="AA85" s="248" t="str">
        <f>IFERROR(VLOOKUP(TableHandbook[[#This Row],[UDC]],TableOSEPCULIN[],7,FALSE),"")</f>
        <v/>
      </c>
      <c r="AB85" s="248" t="str">
        <f>IFERROR(VLOOKUP(TableHandbook[[#This Row],[UDC]],TableOSEPLNTCH[],7,FALSE),"")</f>
        <v/>
      </c>
      <c r="AC85" s="248" t="str">
        <f>IFERROR(VLOOKUP(TableHandbook[[#This Row],[UDC]],TableOSEPSTEME[],7,FALSE),"")</f>
        <v/>
      </c>
    </row>
    <row r="86" spans="1:29" x14ac:dyDescent="0.25">
      <c r="A86" s="2" t="s">
        <v>514</v>
      </c>
      <c r="B86" s="3"/>
      <c r="C86" s="3"/>
      <c r="D86" s="2" t="s">
        <v>515</v>
      </c>
      <c r="E86" s="3">
        <v>100</v>
      </c>
      <c r="F86" s="245"/>
      <c r="G86" s="247" t="str">
        <f>IFERROR(IF(VLOOKUP(TableHandbook[[#This Row],[UDC]],TableAvailabilities[],2,FALSE)&gt;0,"Y",""),"")</f>
        <v/>
      </c>
      <c r="H86" s="247" t="str">
        <f>IFERROR(IF(VLOOKUP(TableHandbook[[#This Row],[UDC]],TableAvailabilities[],3,FALSE)&gt;0,"Y",""),"")</f>
        <v/>
      </c>
      <c r="I86" s="247" t="str">
        <f>IFERROR(IF(VLOOKUP(TableHandbook[[#This Row],[UDC]],TableAvailabilities[],4,FALSE)&gt;0,"Y",""),"")</f>
        <v/>
      </c>
      <c r="J86" s="247" t="str">
        <f>IFERROR(IF(VLOOKUP(TableHandbook[[#This Row],[UDC]],TableAvailabilities[],5,FALSE)&gt;0,"Y",""),"")</f>
        <v/>
      </c>
      <c r="K86" s="2"/>
      <c r="L86" s="250" t="str">
        <f>IFERROR(VLOOKUP(TableHandbook[[#This Row],[UDC]],TableOMTEACH1[],7,FALSE),"")</f>
        <v/>
      </c>
      <c r="M86" s="248" t="str">
        <f>IFERROR(VLOOKUP(TableHandbook[[#This Row],[UDC]],TableOUMPTCHEC[],7,FALSE),"")</f>
        <v/>
      </c>
      <c r="N86" s="248" t="str">
        <f>IFERROR(VLOOKUP(TableHandbook[[#This Row],[UDC]],TableOUMPTCHPE[],7,FALSE),"")</f>
        <v/>
      </c>
      <c r="O86" s="248" t="str">
        <f>IFERROR(VLOOKUP(TableHandbook[[#This Row],[UDC]],TableOUMPTCHSE[],7,FALSE),"")</f>
        <v/>
      </c>
      <c r="P86" s="250" t="str">
        <f>IFERROR(VLOOKUP(TableHandbook[[#This Row],[UDC]],TableOCTESOL1[],7,FALSE),"")</f>
        <v/>
      </c>
      <c r="Q86" s="248" t="str">
        <f>IFERROR(VLOOKUP(TableHandbook[[#This Row],[UDC]],TableOCTESOL[],7,FALSE),"")</f>
        <v/>
      </c>
      <c r="R86" s="248" t="str">
        <f>IFERROR(VLOOKUP(TableHandbook[[#This Row],[UDC]],TableOMAPLING[],7,FALSE),"")</f>
        <v/>
      </c>
      <c r="S86" s="250" t="str">
        <f>IFERROR(VLOOKUP(TableHandbook[[#This Row],[UDC]],TableOCEDHE1[],7,FALSE),"")</f>
        <v/>
      </c>
      <c r="T86" s="248" t="str">
        <f>IFERROR(VLOOKUP(TableHandbook[[#This Row],[UDC]],TableOCEDHE[],7,FALSE),"")</f>
        <v/>
      </c>
      <c r="U86" s="248" t="str">
        <f>IFERROR(VLOOKUP(TableHandbook[[#This Row],[UDC]],TableOCEDUCS1[],7,FALSE),"")</f>
        <v>Option</v>
      </c>
      <c r="V86" s="248" t="str">
        <f>IFERROR(VLOOKUP(TableHandbook[[#This Row],[UDC]],TableOCEDUC[],7,FALSE),"")</f>
        <v>Option</v>
      </c>
      <c r="W86" s="248" t="str">
        <f>IFERROR(VLOOKUP(TableHandbook[[#This Row],[UDC]],TableOGEDUC[],7,FALSE),"")</f>
        <v/>
      </c>
      <c r="X86" s="248" t="str">
        <f>IFERROR(VLOOKUP(TableHandbook[[#This Row],[UDC]],TableOUMPEDUPR[],7,FALSE),"")</f>
        <v/>
      </c>
      <c r="Y86" s="248" t="str">
        <f>IFERROR(VLOOKUP(TableHandbook[[#This Row],[UDC]],TableOUMPEDUSC[],7,FALSE),"")</f>
        <v/>
      </c>
      <c r="Z86" s="250" t="str">
        <f>IFERROR(VLOOKUP(TableHandbook[[#This Row],[UDC]],TableOMEDUC[],7,FALSE),"")</f>
        <v/>
      </c>
      <c r="AA86" s="248" t="str">
        <f>IFERROR(VLOOKUP(TableHandbook[[#This Row],[UDC]],TableOSEPCULIN[],7,FALSE),"")</f>
        <v/>
      </c>
      <c r="AB86" s="248" t="str">
        <f>IFERROR(VLOOKUP(TableHandbook[[#This Row],[UDC]],TableOSEPLNTCH[],7,FALSE),"")</f>
        <v/>
      </c>
      <c r="AC86" s="248" t="str">
        <f>IFERROR(VLOOKUP(TableHandbook[[#This Row],[UDC]],TableOSEPSTEME[],7,FALSE),"")</f>
        <v/>
      </c>
    </row>
    <row r="87" spans="1:29" x14ac:dyDescent="0.25">
      <c r="A87" s="2" t="s">
        <v>182</v>
      </c>
      <c r="B87" s="3">
        <v>1</v>
      </c>
      <c r="C87" s="3"/>
      <c r="D87" s="2" t="s">
        <v>181</v>
      </c>
      <c r="E87" s="3">
        <v>100</v>
      </c>
      <c r="F87" s="245"/>
      <c r="G87" s="247" t="str">
        <f>IFERROR(IF(VLOOKUP(TableHandbook[[#This Row],[UDC]],TableAvailabilities[],2,FALSE)&gt;0,"Y",""),"")</f>
        <v/>
      </c>
      <c r="H87" s="247" t="str">
        <f>IFERROR(IF(VLOOKUP(TableHandbook[[#This Row],[UDC]],TableAvailabilities[],3,FALSE)&gt;0,"Y",""),"")</f>
        <v/>
      </c>
      <c r="I87" s="247" t="str">
        <f>IFERROR(IF(VLOOKUP(TableHandbook[[#This Row],[UDC]],TableAvailabilities[],4,FALSE)&gt;0,"Y",""),"")</f>
        <v/>
      </c>
      <c r="J87" s="247" t="str">
        <f>IFERROR(IF(VLOOKUP(TableHandbook[[#This Row],[UDC]],TableAvailabilities[],5,FALSE)&gt;0,"Y",""),"")</f>
        <v/>
      </c>
      <c r="K87" s="2"/>
      <c r="L87" s="250" t="str">
        <f>IFERROR(VLOOKUP(TableHandbook[[#This Row],[UDC]],TableOMTEACH1[],7,FALSE),"")</f>
        <v/>
      </c>
      <c r="M87" s="248" t="str">
        <f>IFERROR(VLOOKUP(TableHandbook[[#This Row],[UDC]],TableOUMPTCHEC[],7,FALSE),"")</f>
        <v/>
      </c>
      <c r="N87" s="248" t="str">
        <f>IFERROR(VLOOKUP(TableHandbook[[#This Row],[UDC]],TableOUMPTCHPE[],7,FALSE),"")</f>
        <v/>
      </c>
      <c r="O87" s="248" t="str">
        <f>IFERROR(VLOOKUP(TableHandbook[[#This Row],[UDC]],TableOUMPTCHSE[],7,FALSE),"")</f>
        <v/>
      </c>
      <c r="P87" s="250" t="str">
        <f>IFERROR(VLOOKUP(TableHandbook[[#This Row],[UDC]],TableOCTESOL1[],7,FALSE),"")</f>
        <v/>
      </c>
      <c r="Q87" s="248" t="str">
        <f>IFERROR(VLOOKUP(TableHandbook[[#This Row],[UDC]],TableOCTESOL[],7,FALSE),"")</f>
        <v/>
      </c>
      <c r="R87" s="248" t="str">
        <f>IFERROR(VLOOKUP(TableHandbook[[#This Row],[UDC]],TableOMAPLING[],7,FALSE),"")</f>
        <v/>
      </c>
      <c r="S87" s="250" t="str">
        <f>IFERROR(VLOOKUP(TableHandbook[[#This Row],[UDC]],TableOCEDHE1[],7,FALSE),"")</f>
        <v/>
      </c>
      <c r="T87" s="248" t="str">
        <f>IFERROR(VLOOKUP(TableHandbook[[#This Row],[UDC]],TableOCEDHE[],7,FALSE),"")</f>
        <v/>
      </c>
      <c r="U87" s="248" t="str">
        <f>IFERROR(VLOOKUP(TableHandbook[[#This Row],[UDC]],TableOCEDUCS1[],7,FALSE),"")</f>
        <v/>
      </c>
      <c r="V87" s="248" t="str">
        <f>IFERROR(VLOOKUP(TableHandbook[[#This Row],[UDC]],TableOCEDUC[],7,FALSE),"")</f>
        <v/>
      </c>
      <c r="W87" s="248" t="str">
        <f>IFERROR(VLOOKUP(TableHandbook[[#This Row],[UDC]],TableOGEDUC[],7,FALSE),"")</f>
        <v/>
      </c>
      <c r="X87" s="248" t="str">
        <f>IFERROR(VLOOKUP(TableHandbook[[#This Row],[UDC]],TableOUMPEDUPR[],7,FALSE),"")</f>
        <v/>
      </c>
      <c r="Y87" s="248" t="str">
        <f>IFERROR(VLOOKUP(TableHandbook[[#This Row],[UDC]],TableOUMPEDUSC[],7,FALSE),"")</f>
        <v/>
      </c>
      <c r="Z87" s="250" t="str">
        <f>IFERROR(VLOOKUP(TableHandbook[[#This Row],[UDC]],TableOMEDUC[],7,FALSE),"")</f>
        <v>Option</v>
      </c>
      <c r="AA87" s="248" t="str">
        <f>IFERROR(VLOOKUP(TableHandbook[[#This Row],[UDC]],TableOSEPCULIN[],7,FALSE),"")</f>
        <v/>
      </c>
      <c r="AB87" s="248" t="str">
        <f>IFERROR(VLOOKUP(TableHandbook[[#This Row],[UDC]],TableOSEPLNTCH[],7,FALSE),"")</f>
        <v/>
      </c>
      <c r="AC87" s="248" t="str">
        <f>IFERROR(VLOOKUP(TableHandbook[[#This Row],[UDC]],TableOSEPSTEME[],7,FALSE),"")</f>
        <v/>
      </c>
    </row>
    <row r="88" spans="1:29" x14ac:dyDescent="0.25">
      <c r="A88" s="2" t="s">
        <v>185</v>
      </c>
      <c r="B88" s="3">
        <v>1</v>
      </c>
      <c r="C88" s="3"/>
      <c r="D88" s="2" t="s">
        <v>184</v>
      </c>
      <c r="E88" s="3">
        <v>100</v>
      </c>
      <c r="F88" s="245"/>
      <c r="G88" s="247" t="str">
        <f>IFERROR(IF(VLOOKUP(TableHandbook[[#This Row],[UDC]],TableAvailabilities[],2,FALSE)&gt;0,"Y",""),"")</f>
        <v/>
      </c>
      <c r="H88" s="247" t="str">
        <f>IFERROR(IF(VLOOKUP(TableHandbook[[#This Row],[UDC]],TableAvailabilities[],3,FALSE)&gt;0,"Y",""),"")</f>
        <v/>
      </c>
      <c r="I88" s="247" t="str">
        <f>IFERROR(IF(VLOOKUP(TableHandbook[[#This Row],[UDC]],TableAvailabilities[],4,FALSE)&gt;0,"Y",""),"")</f>
        <v/>
      </c>
      <c r="J88" s="247" t="str">
        <f>IFERROR(IF(VLOOKUP(TableHandbook[[#This Row],[UDC]],TableAvailabilities[],5,FALSE)&gt;0,"Y",""),"")</f>
        <v/>
      </c>
      <c r="K88" s="2"/>
      <c r="L88" s="250" t="str">
        <f>IFERROR(VLOOKUP(TableHandbook[[#This Row],[UDC]],TableOMTEACH1[],7,FALSE),"")</f>
        <v/>
      </c>
      <c r="M88" s="248" t="str">
        <f>IFERROR(VLOOKUP(TableHandbook[[#This Row],[UDC]],TableOUMPTCHEC[],7,FALSE),"")</f>
        <v/>
      </c>
      <c r="N88" s="248" t="str">
        <f>IFERROR(VLOOKUP(TableHandbook[[#This Row],[UDC]],TableOUMPTCHPE[],7,FALSE),"")</f>
        <v/>
      </c>
      <c r="O88" s="248" t="str">
        <f>IFERROR(VLOOKUP(TableHandbook[[#This Row],[UDC]],TableOUMPTCHSE[],7,FALSE),"")</f>
        <v/>
      </c>
      <c r="P88" s="250" t="str">
        <f>IFERROR(VLOOKUP(TableHandbook[[#This Row],[UDC]],TableOCTESOL1[],7,FALSE),"")</f>
        <v/>
      </c>
      <c r="Q88" s="248" t="str">
        <f>IFERROR(VLOOKUP(TableHandbook[[#This Row],[UDC]],TableOCTESOL[],7,FALSE),"")</f>
        <v/>
      </c>
      <c r="R88" s="248" t="str">
        <f>IFERROR(VLOOKUP(TableHandbook[[#This Row],[UDC]],TableOMAPLING[],7,FALSE),"")</f>
        <v/>
      </c>
      <c r="S88" s="250" t="str">
        <f>IFERROR(VLOOKUP(TableHandbook[[#This Row],[UDC]],TableOCEDHE1[],7,FALSE),"")</f>
        <v/>
      </c>
      <c r="T88" s="248" t="str">
        <f>IFERROR(VLOOKUP(TableHandbook[[#This Row],[UDC]],TableOCEDHE[],7,FALSE),"")</f>
        <v/>
      </c>
      <c r="U88" s="248" t="str">
        <f>IFERROR(VLOOKUP(TableHandbook[[#This Row],[UDC]],TableOCEDUCS1[],7,FALSE),"")</f>
        <v/>
      </c>
      <c r="V88" s="248" t="str">
        <f>IFERROR(VLOOKUP(TableHandbook[[#This Row],[UDC]],TableOCEDUC[],7,FALSE),"")</f>
        <v/>
      </c>
      <c r="W88" s="248" t="str">
        <f>IFERROR(VLOOKUP(TableHandbook[[#This Row],[UDC]],TableOGEDUC[],7,FALSE),"")</f>
        <v/>
      </c>
      <c r="X88" s="248" t="str">
        <f>IFERROR(VLOOKUP(TableHandbook[[#This Row],[UDC]],TableOUMPEDUPR[],7,FALSE),"")</f>
        <v/>
      </c>
      <c r="Y88" s="248" t="str">
        <f>IFERROR(VLOOKUP(TableHandbook[[#This Row],[UDC]],TableOUMPEDUSC[],7,FALSE),"")</f>
        <v/>
      </c>
      <c r="Z88" s="250" t="str">
        <f>IFERROR(VLOOKUP(TableHandbook[[#This Row],[UDC]],TableOMEDUC[],7,FALSE),"")</f>
        <v>Option</v>
      </c>
      <c r="AA88" s="248" t="str">
        <f>IFERROR(VLOOKUP(TableHandbook[[#This Row],[UDC]],TableOSEPCULIN[],7,FALSE),"")</f>
        <v/>
      </c>
      <c r="AB88" s="248" t="str">
        <f>IFERROR(VLOOKUP(TableHandbook[[#This Row],[UDC]],TableOSEPLNTCH[],7,FALSE),"")</f>
        <v/>
      </c>
      <c r="AC88" s="248" t="str">
        <f>IFERROR(VLOOKUP(TableHandbook[[#This Row],[UDC]],TableOSEPSTEME[],7,FALSE),"")</f>
        <v/>
      </c>
    </row>
    <row r="89" spans="1:29" x14ac:dyDescent="0.25">
      <c r="A89" s="2" t="s">
        <v>187</v>
      </c>
      <c r="B89" s="3">
        <v>1</v>
      </c>
      <c r="C89" s="3"/>
      <c r="D89" s="2" t="s">
        <v>186</v>
      </c>
      <c r="E89" s="3">
        <v>100</v>
      </c>
      <c r="F89" s="245"/>
      <c r="G89" s="247" t="str">
        <f>IFERROR(IF(VLOOKUP(TableHandbook[[#This Row],[UDC]],TableAvailabilities[],2,FALSE)&gt;0,"Y",""),"")</f>
        <v/>
      </c>
      <c r="H89" s="247" t="str">
        <f>IFERROR(IF(VLOOKUP(TableHandbook[[#This Row],[UDC]],TableAvailabilities[],3,FALSE)&gt;0,"Y",""),"")</f>
        <v/>
      </c>
      <c r="I89" s="247" t="str">
        <f>IFERROR(IF(VLOOKUP(TableHandbook[[#This Row],[UDC]],TableAvailabilities[],4,FALSE)&gt;0,"Y",""),"")</f>
        <v/>
      </c>
      <c r="J89" s="247" t="str">
        <f>IFERROR(IF(VLOOKUP(TableHandbook[[#This Row],[UDC]],TableAvailabilities[],5,FALSE)&gt;0,"Y",""),"")</f>
        <v/>
      </c>
      <c r="K89" s="2"/>
      <c r="L89" s="250" t="str">
        <f>IFERROR(VLOOKUP(TableHandbook[[#This Row],[UDC]],TableOMTEACH1[],7,FALSE),"")</f>
        <v/>
      </c>
      <c r="M89" s="248" t="str">
        <f>IFERROR(VLOOKUP(TableHandbook[[#This Row],[UDC]],TableOUMPTCHEC[],7,FALSE),"")</f>
        <v/>
      </c>
      <c r="N89" s="248" t="str">
        <f>IFERROR(VLOOKUP(TableHandbook[[#This Row],[UDC]],TableOUMPTCHPE[],7,FALSE),"")</f>
        <v/>
      </c>
      <c r="O89" s="248" t="str">
        <f>IFERROR(VLOOKUP(TableHandbook[[#This Row],[UDC]],TableOUMPTCHSE[],7,FALSE),"")</f>
        <v/>
      </c>
      <c r="P89" s="250" t="str">
        <f>IFERROR(VLOOKUP(TableHandbook[[#This Row],[UDC]],TableOCTESOL1[],7,FALSE),"")</f>
        <v/>
      </c>
      <c r="Q89" s="248" t="str">
        <f>IFERROR(VLOOKUP(TableHandbook[[#This Row],[UDC]],TableOCTESOL[],7,FALSE),"")</f>
        <v/>
      </c>
      <c r="R89" s="248" t="str">
        <f>IFERROR(VLOOKUP(TableHandbook[[#This Row],[UDC]],TableOMAPLING[],7,FALSE),"")</f>
        <v/>
      </c>
      <c r="S89" s="250" t="str">
        <f>IFERROR(VLOOKUP(TableHandbook[[#This Row],[UDC]],TableOCEDHE1[],7,FALSE),"")</f>
        <v/>
      </c>
      <c r="T89" s="248" t="str">
        <f>IFERROR(VLOOKUP(TableHandbook[[#This Row],[UDC]],TableOCEDHE[],7,FALSE),"")</f>
        <v/>
      </c>
      <c r="U89" s="248" t="str">
        <f>IFERROR(VLOOKUP(TableHandbook[[#This Row],[UDC]],TableOCEDUCS1[],7,FALSE),"")</f>
        <v/>
      </c>
      <c r="V89" s="248" t="str">
        <f>IFERROR(VLOOKUP(TableHandbook[[#This Row],[UDC]],TableOCEDUC[],7,FALSE),"")</f>
        <v/>
      </c>
      <c r="W89" s="248" t="str">
        <f>IFERROR(VLOOKUP(TableHandbook[[#This Row],[UDC]],TableOGEDUC[],7,FALSE),"")</f>
        <v/>
      </c>
      <c r="X89" s="248" t="str">
        <f>IFERROR(VLOOKUP(TableHandbook[[#This Row],[UDC]],TableOUMPEDUPR[],7,FALSE),"")</f>
        <v/>
      </c>
      <c r="Y89" s="248" t="str">
        <f>IFERROR(VLOOKUP(TableHandbook[[#This Row],[UDC]],TableOUMPEDUSC[],7,FALSE),"")</f>
        <v/>
      </c>
      <c r="Z89" s="250" t="str">
        <f>IFERROR(VLOOKUP(TableHandbook[[#This Row],[UDC]],TableOMEDUC[],7,FALSE),"")</f>
        <v>Option</v>
      </c>
      <c r="AA89" s="248" t="str">
        <f>IFERROR(VLOOKUP(TableHandbook[[#This Row],[UDC]],TableOSEPCULIN[],7,FALSE),"")</f>
        <v/>
      </c>
      <c r="AB89" s="248" t="str">
        <f>IFERROR(VLOOKUP(TableHandbook[[#This Row],[UDC]],TableOSEPLNTCH[],7,FALSE),"")</f>
        <v/>
      </c>
      <c r="AC89" s="248" t="str">
        <f>IFERROR(VLOOKUP(TableHandbook[[#This Row],[UDC]],TableOSEPSTEME[],7,FALSE),"")</f>
        <v/>
      </c>
    </row>
    <row r="90" spans="1:29" x14ac:dyDescent="0.25">
      <c r="A90" s="2" t="s">
        <v>141</v>
      </c>
      <c r="B90" s="3">
        <v>1</v>
      </c>
      <c r="C90" s="3"/>
      <c r="D90" s="2" t="s">
        <v>140</v>
      </c>
      <c r="E90" s="3">
        <v>200</v>
      </c>
      <c r="F90" s="245"/>
      <c r="G90" s="247" t="str">
        <f>IFERROR(IF(VLOOKUP(TableHandbook[[#This Row],[UDC]],TableAvailabilities[],2,FALSE)&gt;0,"Y",""),"")</f>
        <v/>
      </c>
      <c r="H90" s="247" t="str">
        <f>IFERROR(IF(VLOOKUP(TableHandbook[[#This Row],[UDC]],TableAvailabilities[],3,FALSE)&gt;0,"Y",""),"")</f>
        <v/>
      </c>
      <c r="I90" s="247" t="str">
        <f>IFERROR(IF(VLOOKUP(TableHandbook[[#This Row],[UDC]],TableAvailabilities[],4,FALSE)&gt;0,"Y",""),"")</f>
        <v/>
      </c>
      <c r="J90" s="247" t="str">
        <f>IFERROR(IF(VLOOKUP(TableHandbook[[#This Row],[UDC]],TableAvailabilities[],5,FALSE)&gt;0,"Y",""),"")</f>
        <v/>
      </c>
      <c r="K90" s="2"/>
      <c r="L90" s="250" t="str">
        <f>IFERROR(VLOOKUP(TableHandbook[[#This Row],[UDC]],TableOMTEACH1[],7,FALSE),"")</f>
        <v/>
      </c>
      <c r="M90" s="248" t="str">
        <f>IFERROR(VLOOKUP(TableHandbook[[#This Row],[UDC]],TableOUMPTCHEC[],7,FALSE),"")</f>
        <v/>
      </c>
      <c r="N90" s="248" t="str">
        <f>IFERROR(VLOOKUP(TableHandbook[[#This Row],[UDC]],TableOUMPTCHPE[],7,FALSE),"")</f>
        <v/>
      </c>
      <c r="O90" s="248" t="str">
        <f>IFERROR(VLOOKUP(TableHandbook[[#This Row],[UDC]],TableOUMPTCHSE[],7,FALSE),"")</f>
        <v/>
      </c>
      <c r="P90" s="250" t="str">
        <f>IFERROR(VLOOKUP(TableHandbook[[#This Row],[UDC]],TableOCTESOL1[],7,FALSE),"")</f>
        <v/>
      </c>
      <c r="Q90" s="248" t="str">
        <f>IFERROR(VLOOKUP(TableHandbook[[#This Row],[UDC]],TableOCTESOL[],7,FALSE),"")</f>
        <v/>
      </c>
      <c r="R90" s="248" t="str">
        <f>IFERROR(VLOOKUP(TableHandbook[[#This Row],[UDC]],TableOMAPLING[],7,FALSE),"")</f>
        <v/>
      </c>
      <c r="S90" s="250" t="str">
        <f>IFERROR(VLOOKUP(TableHandbook[[#This Row],[UDC]],TableOCEDHE1[],7,FALSE),"")</f>
        <v/>
      </c>
      <c r="T90" s="248" t="str">
        <f>IFERROR(VLOOKUP(TableHandbook[[#This Row],[UDC]],TableOCEDHE[],7,FALSE),"")</f>
        <v/>
      </c>
      <c r="U90" s="248" t="str">
        <f>IFERROR(VLOOKUP(TableHandbook[[#This Row],[UDC]],TableOCEDUCS1[],7,FALSE),"")</f>
        <v/>
      </c>
      <c r="V90" s="248" t="str">
        <f>IFERROR(VLOOKUP(TableHandbook[[#This Row],[UDC]],TableOCEDUC[],7,FALSE),"")</f>
        <v/>
      </c>
      <c r="W90" s="248" t="str">
        <f>IFERROR(VLOOKUP(TableHandbook[[#This Row],[UDC]],TableOGEDUC[],7,FALSE),"")</f>
        <v>AltCore</v>
      </c>
      <c r="X90" s="248" t="str">
        <f>IFERROR(VLOOKUP(TableHandbook[[#This Row],[UDC]],TableOUMPEDUPR[],7,FALSE),"")</f>
        <v/>
      </c>
      <c r="Y90" s="248" t="str">
        <f>IFERROR(VLOOKUP(TableHandbook[[#This Row],[UDC]],TableOUMPEDUSC[],7,FALSE),"")</f>
        <v/>
      </c>
      <c r="Z90" s="250" t="str">
        <f>IFERROR(VLOOKUP(TableHandbook[[#This Row],[UDC]],TableOMEDUC[],7,FALSE),"")</f>
        <v/>
      </c>
      <c r="AA90" s="248" t="str">
        <f>IFERROR(VLOOKUP(TableHandbook[[#This Row],[UDC]],TableOSEPCULIN[],7,FALSE),"")</f>
        <v/>
      </c>
      <c r="AB90" s="248" t="str">
        <f>IFERROR(VLOOKUP(TableHandbook[[#This Row],[UDC]],TableOSEPLNTCH[],7,FALSE),"")</f>
        <v/>
      </c>
      <c r="AC90" s="248" t="str">
        <f>IFERROR(VLOOKUP(TableHandbook[[#This Row],[UDC]],TableOSEPSTEME[],7,FALSE),"")</f>
        <v/>
      </c>
    </row>
    <row r="91" spans="1:29" x14ac:dyDescent="0.25">
      <c r="A91" s="2" t="s">
        <v>160</v>
      </c>
      <c r="B91" s="3">
        <v>1</v>
      </c>
      <c r="C91" s="3"/>
      <c r="D91" s="2" t="s">
        <v>159</v>
      </c>
      <c r="E91" s="3">
        <v>200</v>
      </c>
      <c r="F91" s="245"/>
      <c r="G91" s="247" t="str">
        <f>IFERROR(IF(VLOOKUP(TableHandbook[[#This Row],[UDC]],TableAvailabilities[],2,FALSE)&gt;0,"Y",""),"")</f>
        <v/>
      </c>
      <c r="H91" s="247" t="str">
        <f>IFERROR(IF(VLOOKUP(TableHandbook[[#This Row],[UDC]],TableAvailabilities[],3,FALSE)&gt;0,"Y",""),"")</f>
        <v/>
      </c>
      <c r="I91" s="247" t="str">
        <f>IFERROR(IF(VLOOKUP(TableHandbook[[#This Row],[UDC]],TableAvailabilities[],4,FALSE)&gt;0,"Y",""),"")</f>
        <v/>
      </c>
      <c r="J91" s="247" t="str">
        <f>IFERROR(IF(VLOOKUP(TableHandbook[[#This Row],[UDC]],TableAvailabilities[],5,FALSE)&gt;0,"Y",""),"")</f>
        <v/>
      </c>
      <c r="K91" s="2"/>
      <c r="L91" s="250" t="str">
        <f>IFERROR(VLOOKUP(TableHandbook[[#This Row],[UDC]],TableOMTEACH1[],7,FALSE),"")</f>
        <v/>
      </c>
      <c r="M91" s="248" t="str">
        <f>IFERROR(VLOOKUP(TableHandbook[[#This Row],[UDC]],TableOUMPTCHEC[],7,FALSE),"")</f>
        <v/>
      </c>
      <c r="N91" s="248" t="str">
        <f>IFERROR(VLOOKUP(TableHandbook[[#This Row],[UDC]],TableOUMPTCHPE[],7,FALSE),"")</f>
        <v/>
      </c>
      <c r="O91" s="248" t="str">
        <f>IFERROR(VLOOKUP(TableHandbook[[#This Row],[UDC]],TableOUMPTCHSE[],7,FALSE),"")</f>
        <v/>
      </c>
      <c r="P91" s="250" t="str">
        <f>IFERROR(VLOOKUP(TableHandbook[[#This Row],[UDC]],TableOCTESOL1[],7,FALSE),"")</f>
        <v/>
      </c>
      <c r="Q91" s="248" t="str">
        <f>IFERROR(VLOOKUP(TableHandbook[[#This Row],[UDC]],TableOCTESOL[],7,FALSE),"")</f>
        <v/>
      </c>
      <c r="R91" s="248" t="str">
        <f>IFERROR(VLOOKUP(TableHandbook[[#This Row],[UDC]],TableOMAPLING[],7,FALSE),"")</f>
        <v/>
      </c>
      <c r="S91" s="250" t="str">
        <f>IFERROR(VLOOKUP(TableHandbook[[#This Row],[UDC]],TableOCEDHE1[],7,FALSE),"")</f>
        <v/>
      </c>
      <c r="T91" s="248" t="str">
        <f>IFERROR(VLOOKUP(TableHandbook[[#This Row],[UDC]],TableOCEDHE[],7,FALSE),"")</f>
        <v/>
      </c>
      <c r="U91" s="248" t="str">
        <f>IFERROR(VLOOKUP(TableHandbook[[#This Row],[UDC]],TableOCEDUCS1[],7,FALSE),"")</f>
        <v/>
      </c>
      <c r="V91" s="248" t="str">
        <f>IFERROR(VLOOKUP(TableHandbook[[#This Row],[UDC]],TableOCEDUC[],7,FALSE),"")</f>
        <v/>
      </c>
      <c r="W91" s="248" t="str">
        <f>IFERROR(VLOOKUP(TableHandbook[[#This Row],[UDC]],TableOGEDUC[],7,FALSE),"")</f>
        <v>AltCore</v>
      </c>
      <c r="X91" s="248" t="str">
        <f>IFERROR(VLOOKUP(TableHandbook[[#This Row],[UDC]],TableOUMPEDUPR[],7,FALSE),"")</f>
        <v/>
      </c>
      <c r="Y91" s="248" t="str">
        <f>IFERROR(VLOOKUP(TableHandbook[[#This Row],[UDC]],TableOUMPEDUSC[],7,FALSE),"")</f>
        <v/>
      </c>
      <c r="Z91" s="250" t="str">
        <f>IFERROR(VLOOKUP(TableHandbook[[#This Row],[UDC]],TableOMEDUC[],7,FALSE),"")</f>
        <v/>
      </c>
      <c r="AA91" s="248" t="str">
        <f>IFERROR(VLOOKUP(TableHandbook[[#This Row],[UDC]],TableOSEPCULIN[],7,FALSE),"")</f>
        <v/>
      </c>
      <c r="AB91" s="248" t="str">
        <f>IFERROR(VLOOKUP(TableHandbook[[#This Row],[UDC]],TableOSEPLNTCH[],7,FALSE),"")</f>
        <v/>
      </c>
      <c r="AC91" s="248" t="str">
        <f>IFERROR(VLOOKUP(TableHandbook[[#This Row],[UDC]],TableOSEPSTEME[],7,FALSE),"")</f>
        <v/>
      </c>
    </row>
    <row r="92" spans="1:29" x14ac:dyDescent="0.25">
      <c r="A92" s="2" t="s">
        <v>127</v>
      </c>
      <c r="B92" s="3">
        <v>2</v>
      </c>
      <c r="C92" s="3"/>
      <c r="D92" s="2" t="s">
        <v>14</v>
      </c>
      <c r="E92" s="3">
        <v>400</v>
      </c>
      <c r="F92" s="245"/>
      <c r="G92" s="247" t="str">
        <f>IFERROR(IF(VLOOKUP(TableHandbook[[#This Row],[UDC]],TableAvailabilities[],2,FALSE)&gt;0,"Y",""),"")</f>
        <v/>
      </c>
      <c r="H92" s="247" t="str">
        <f>IFERROR(IF(VLOOKUP(TableHandbook[[#This Row],[UDC]],TableAvailabilities[],3,FALSE)&gt;0,"Y",""),"")</f>
        <v/>
      </c>
      <c r="I92" s="247" t="str">
        <f>IFERROR(IF(VLOOKUP(TableHandbook[[#This Row],[UDC]],TableAvailabilities[],4,FALSE)&gt;0,"Y",""),"")</f>
        <v/>
      </c>
      <c r="J92" s="247" t="str">
        <f>IFERROR(IF(VLOOKUP(TableHandbook[[#This Row],[UDC]],TableAvailabilities[],5,FALSE)&gt;0,"Y",""),"")</f>
        <v/>
      </c>
      <c r="K92" s="2"/>
      <c r="L92" s="250" t="str">
        <f>IFERROR(VLOOKUP(TableHandbook[[#This Row],[UDC]],TableOMTEACH1[],7,FALSE),"")</f>
        <v>AltCore</v>
      </c>
      <c r="M92" s="248" t="str">
        <f>IFERROR(VLOOKUP(TableHandbook[[#This Row],[UDC]],TableOUMPTCHEC[],7,FALSE),"")</f>
        <v/>
      </c>
      <c r="N92" s="248" t="str">
        <f>IFERROR(VLOOKUP(TableHandbook[[#This Row],[UDC]],TableOUMPTCHPE[],7,FALSE),"")</f>
        <v/>
      </c>
      <c r="O92" s="248" t="str">
        <f>IFERROR(VLOOKUP(TableHandbook[[#This Row],[UDC]],TableOUMPTCHSE[],7,FALSE),"")</f>
        <v/>
      </c>
      <c r="P92" s="250" t="str">
        <f>IFERROR(VLOOKUP(TableHandbook[[#This Row],[UDC]],TableOCTESOL1[],7,FALSE),"")</f>
        <v/>
      </c>
      <c r="Q92" s="248" t="str">
        <f>IFERROR(VLOOKUP(TableHandbook[[#This Row],[UDC]],TableOCTESOL[],7,FALSE),"")</f>
        <v/>
      </c>
      <c r="R92" s="248" t="str">
        <f>IFERROR(VLOOKUP(TableHandbook[[#This Row],[UDC]],TableOMAPLING[],7,FALSE),"")</f>
        <v/>
      </c>
      <c r="S92" s="250" t="str">
        <f>IFERROR(VLOOKUP(TableHandbook[[#This Row],[UDC]],TableOCEDHE1[],7,FALSE),"")</f>
        <v/>
      </c>
      <c r="T92" s="248" t="str">
        <f>IFERROR(VLOOKUP(TableHandbook[[#This Row],[UDC]],TableOCEDHE[],7,FALSE),"")</f>
        <v/>
      </c>
      <c r="U92" s="248" t="str">
        <f>IFERROR(VLOOKUP(TableHandbook[[#This Row],[UDC]],TableOCEDUCS1[],7,FALSE),"")</f>
        <v/>
      </c>
      <c r="V92" s="248" t="str">
        <f>IFERROR(VLOOKUP(TableHandbook[[#This Row],[UDC]],TableOCEDUC[],7,FALSE),"")</f>
        <v/>
      </c>
      <c r="W92" s="248" t="str">
        <f>IFERROR(VLOOKUP(TableHandbook[[#This Row],[UDC]],TableOGEDUC[],7,FALSE),"")</f>
        <v/>
      </c>
      <c r="X92" s="248" t="str">
        <f>IFERROR(VLOOKUP(TableHandbook[[#This Row],[UDC]],TableOUMPEDUPR[],7,FALSE),"")</f>
        <v/>
      </c>
      <c r="Y92" s="248" t="str">
        <f>IFERROR(VLOOKUP(TableHandbook[[#This Row],[UDC]],TableOUMPEDUSC[],7,FALSE),"")</f>
        <v/>
      </c>
      <c r="Z92" s="250" t="str">
        <f>IFERROR(VLOOKUP(TableHandbook[[#This Row],[UDC]],TableOMEDUC[],7,FALSE),"")</f>
        <v/>
      </c>
      <c r="AA92" s="248" t="str">
        <f>IFERROR(VLOOKUP(TableHandbook[[#This Row],[UDC]],TableOSEPCULIN[],7,FALSE),"")</f>
        <v/>
      </c>
      <c r="AB92" s="248" t="str">
        <f>IFERROR(VLOOKUP(TableHandbook[[#This Row],[UDC]],TableOSEPLNTCH[],7,FALSE),"")</f>
        <v/>
      </c>
      <c r="AC92" s="248" t="str">
        <f>IFERROR(VLOOKUP(TableHandbook[[#This Row],[UDC]],TableOSEPSTEME[],7,FALSE),"")</f>
        <v/>
      </c>
    </row>
    <row r="93" spans="1:29" x14ac:dyDescent="0.25">
      <c r="A93" s="2" t="s">
        <v>128</v>
      </c>
      <c r="B93" s="3">
        <v>2</v>
      </c>
      <c r="C93" s="3"/>
      <c r="D93" s="2" t="s">
        <v>36</v>
      </c>
      <c r="E93" s="3">
        <v>400</v>
      </c>
      <c r="F93" s="245"/>
      <c r="G93" s="247" t="str">
        <f>IFERROR(IF(VLOOKUP(TableHandbook[[#This Row],[UDC]],TableAvailabilities[],2,FALSE)&gt;0,"Y",""),"")</f>
        <v/>
      </c>
      <c r="H93" s="247" t="str">
        <f>IFERROR(IF(VLOOKUP(TableHandbook[[#This Row],[UDC]],TableAvailabilities[],3,FALSE)&gt;0,"Y",""),"")</f>
        <v/>
      </c>
      <c r="I93" s="247" t="str">
        <f>IFERROR(IF(VLOOKUP(TableHandbook[[#This Row],[UDC]],TableAvailabilities[],4,FALSE)&gt;0,"Y",""),"")</f>
        <v/>
      </c>
      <c r="J93" s="247" t="str">
        <f>IFERROR(IF(VLOOKUP(TableHandbook[[#This Row],[UDC]],TableAvailabilities[],5,FALSE)&gt;0,"Y",""),"")</f>
        <v/>
      </c>
      <c r="K93" s="2"/>
      <c r="L93" s="250" t="str">
        <f>IFERROR(VLOOKUP(TableHandbook[[#This Row],[UDC]],TableOMTEACH1[],7,FALSE),"")</f>
        <v>AltCore</v>
      </c>
      <c r="M93" s="248" t="str">
        <f>IFERROR(VLOOKUP(TableHandbook[[#This Row],[UDC]],TableOUMPTCHEC[],7,FALSE),"")</f>
        <v/>
      </c>
      <c r="N93" s="248" t="str">
        <f>IFERROR(VLOOKUP(TableHandbook[[#This Row],[UDC]],TableOUMPTCHPE[],7,FALSE),"")</f>
        <v/>
      </c>
      <c r="O93" s="248" t="str">
        <f>IFERROR(VLOOKUP(TableHandbook[[#This Row],[UDC]],TableOUMPTCHSE[],7,FALSE),"")</f>
        <v/>
      </c>
      <c r="P93" s="250" t="str">
        <f>IFERROR(VLOOKUP(TableHandbook[[#This Row],[UDC]],TableOCTESOL1[],7,FALSE),"")</f>
        <v/>
      </c>
      <c r="Q93" s="248" t="str">
        <f>IFERROR(VLOOKUP(TableHandbook[[#This Row],[UDC]],TableOCTESOL[],7,FALSE),"")</f>
        <v/>
      </c>
      <c r="R93" s="248" t="str">
        <f>IFERROR(VLOOKUP(TableHandbook[[#This Row],[UDC]],TableOMAPLING[],7,FALSE),"")</f>
        <v/>
      </c>
      <c r="S93" s="250" t="str">
        <f>IFERROR(VLOOKUP(TableHandbook[[#This Row],[UDC]],TableOCEDHE1[],7,FALSE),"")</f>
        <v/>
      </c>
      <c r="T93" s="248" t="str">
        <f>IFERROR(VLOOKUP(TableHandbook[[#This Row],[UDC]],TableOCEDHE[],7,FALSE),"")</f>
        <v/>
      </c>
      <c r="U93" s="248" t="str">
        <f>IFERROR(VLOOKUP(TableHandbook[[#This Row],[UDC]],TableOCEDUCS1[],7,FALSE),"")</f>
        <v/>
      </c>
      <c r="V93" s="248" t="str">
        <f>IFERROR(VLOOKUP(TableHandbook[[#This Row],[UDC]],TableOCEDUC[],7,FALSE),"")</f>
        <v/>
      </c>
      <c r="W93" s="248" t="str">
        <f>IFERROR(VLOOKUP(TableHandbook[[#This Row],[UDC]],TableOGEDUC[],7,FALSE),"")</f>
        <v/>
      </c>
      <c r="X93" s="248" t="str">
        <f>IFERROR(VLOOKUP(TableHandbook[[#This Row],[UDC]],TableOUMPEDUPR[],7,FALSE),"")</f>
        <v/>
      </c>
      <c r="Y93" s="248" t="str">
        <f>IFERROR(VLOOKUP(TableHandbook[[#This Row],[UDC]],TableOUMPEDUSC[],7,FALSE),"")</f>
        <v/>
      </c>
      <c r="Z93" s="250" t="str">
        <f>IFERROR(VLOOKUP(TableHandbook[[#This Row],[UDC]],TableOMEDUC[],7,FALSE),"")</f>
        <v/>
      </c>
      <c r="AA93" s="248" t="str">
        <f>IFERROR(VLOOKUP(TableHandbook[[#This Row],[UDC]],TableOSEPCULIN[],7,FALSE),"")</f>
        <v/>
      </c>
      <c r="AB93" s="248" t="str">
        <f>IFERROR(VLOOKUP(TableHandbook[[#This Row],[UDC]],TableOSEPLNTCH[],7,FALSE),"")</f>
        <v/>
      </c>
      <c r="AC93" s="248" t="str">
        <f>IFERROR(VLOOKUP(TableHandbook[[#This Row],[UDC]],TableOSEPSTEME[],7,FALSE),"")</f>
        <v/>
      </c>
    </row>
    <row r="94" spans="1:29" x14ac:dyDescent="0.25">
      <c r="A94" s="2" t="s">
        <v>132</v>
      </c>
      <c r="B94" s="3">
        <v>3</v>
      </c>
      <c r="C94" s="3"/>
      <c r="D94" s="2" t="s">
        <v>131</v>
      </c>
      <c r="E94" s="3">
        <v>400</v>
      </c>
      <c r="F94" s="245"/>
      <c r="G94" s="247" t="str">
        <f>IFERROR(IF(VLOOKUP(TableHandbook[[#This Row],[UDC]],TableAvailabilities[],2,FALSE)&gt;0,"Y",""),"")</f>
        <v/>
      </c>
      <c r="H94" s="247" t="str">
        <f>IFERROR(IF(VLOOKUP(TableHandbook[[#This Row],[UDC]],TableAvailabilities[],3,FALSE)&gt;0,"Y",""),"")</f>
        <v/>
      </c>
      <c r="I94" s="247" t="str">
        <f>IFERROR(IF(VLOOKUP(TableHandbook[[#This Row],[UDC]],TableAvailabilities[],4,FALSE)&gt;0,"Y",""),"")</f>
        <v/>
      </c>
      <c r="J94" s="247" t="str">
        <f>IFERROR(IF(VLOOKUP(TableHandbook[[#This Row],[UDC]],TableAvailabilities[],5,FALSE)&gt;0,"Y",""),"")</f>
        <v/>
      </c>
      <c r="K94" s="2"/>
      <c r="L94" s="250" t="str">
        <f>IFERROR(VLOOKUP(TableHandbook[[#This Row],[UDC]],TableOMTEACH1[],7,FALSE),"")</f>
        <v>AltCore</v>
      </c>
      <c r="M94" s="248" t="str">
        <f>IFERROR(VLOOKUP(TableHandbook[[#This Row],[UDC]],TableOUMPTCHEC[],7,FALSE),"")</f>
        <v/>
      </c>
      <c r="N94" s="248" t="str">
        <f>IFERROR(VLOOKUP(TableHandbook[[#This Row],[UDC]],TableOUMPTCHPE[],7,FALSE),"")</f>
        <v/>
      </c>
      <c r="O94" s="248" t="str">
        <f>IFERROR(VLOOKUP(TableHandbook[[#This Row],[UDC]],TableOUMPTCHSE[],7,FALSE),"")</f>
        <v/>
      </c>
      <c r="P94" s="250" t="str">
        <f>IFERROR(VLOOKUP(TableHandbook[[#This Row],[UDC]],TableOCTESOL1[],7,FALSE),"")</f>
        <v/>
      </c>
      <c r="Q94" s="248" t="str">
        <f>IFERROR(VLOOKUP(TableHandbook[[#This Row],[UDC]],TableOCTESOL[],7,FALSE),"")</f>
        <v/>
      </c>
      <c r="R94" s="248" t="str">
        <f>IFERROR(VLOOKUP(TableHandbook[[#This Row],[UDC]],TableOMAPLING[],7,FALSE),"")</f>
        <v/>
      </c>
      <c r="S94" s="250" t="str">
        <f>IFERROR(VLOOKUP(TableHandbook[[#This Row],[UDC]],TableOCEDHE1[],7,FALSE),"")</f>
        <v/>
      </c>
      <c r="T94" s="248" t="str">
        <f>IFERROR(VLOOKUP(TableHandbook[[#This Row],[UDC]],TableOCEDHE[],7,FALSE),"")</f>
        <v/>
      </c>
      <c r="U94" s="248" t="str">
        <f>IFERROR(VLOOKUP(TableHandbook[[#This Row],[UDC]],TableOCEDUCS1[],7,FALSE),"")</f>
        <v/>
      </c>
      <c r="V94" s="248" t="str">
        <f>IFERROR(VLOOKUP(TableHandbook[[#This Row],[UDC]],TableOCEDUC[],7,FALSE),"")</f>
        <v/>
      </c>
      <c r="W94" s="248" t="str">
        <f>IFERROR(VLOOKUP(TableHandbook[[#This Row],[UDC]],TableOGEDUC[],7,FALSE),"")</f>
        <v/>
      </c>
      <c r="X94" s="248" t="str">
        <f>IFERROR(VLOOKUP(TableHandbook[[#This Row],[UDC]],TableOUMPEDUPR[],7,FALSE),"")</f>
        <v/>
      </c>
      <c r="Y94" s="248" t="str">
        <f>IFERROR(VLOOKUP(TableHandbook[[#This Row],[UDC]],TableOUMPEDUSC[],7,FALSE),"")</f>
        <v/>
      </c>
      <c r="Z94" s="250" t="str">
        <f>IFERROR(VLOOKUP(TableHandbook[[#This Row],[UDC]],TableOMEDUC[],7,FALSE),"")</f>
        <v/>
      </c>
      <c r="AA94" s="248" t="str">
        <f>IFERROR(VLOOKUP(TableHandbook[[#This Row],[UDC]],TableOSEPCULIN[],7,FALSE),"")</f>
        <v/>
      </c>
      <c r="AB94" s="248" t="str">
        <f>IFERROR(VLOOKUP(TableHandbook[[#This Row],[UDC]],TableOSEPLNTCH[],7,FALSE),"")</f>
        <v/>
      </c>
      <c r="AC94" s="248" t="str">
        <f>IFERROR(VLOOKUP(TableHandbook[[#This Row],[UDC]],TableOSEPSTEME[],7,FALSE),"")</f>
        <v/>
      </c>
    </row>
    <row r="95" spans="1:29" x14ac:dyDescent="0.25">
      <c r="A95" s="2" t="s">
        <v>516</v>
      </c>
      <c r="B95" s="3"/>
      <c r="C95" s="3"/>
      <c r="D95" s="2" t="s">
        <v>499</v>
      </c>
      <c r="E95" s="3"/>
      <c r="F95" s="245"/>
      <c r="G95" s="247" t="str">
        <f>IFERROR(IF(VLOOKUP(TableHandbook[[#This Row],[UDC]],TableAvailabilities[],2,FALSE)&gt;0,"Y",""),"")</f>
        <v/>
      </c>
      <c r="H95" s="247" t="str">
        <f>IFERROR(IF(VLOOKUP(TableHandbook[[#This Row],[UDC]],TableAvailabilities[],3,FALSE)&gt;0,"Y",""),"")</f>
        <v/>
      </c>
      <c r="I95" s="247" t="str">
        <f>IFERROR(IF(VLOOKUP(TableHandbook[[#This Row],[UDC]],TableAvailabilities[],4,FALSE)&gt;0,"Y",""),"")</f>
        <v/>
      </c>
      <c r="J95" s="247" t="str">
        <f>IFERROR(IF(VLOOKUP(TableHandbook[[#This Row],[UDC]],TableAvailabilities[],5,FALSE)&gt;0,"Y",""),"")</f>
        <v/>
      </c>
      <c r="K95" s="2"/>
      <c r="L95" s="250" t="str">
        <f>IFERROR(VLOOKUP(TableHandbook[[#This Row],[UDC]],TableOMTEACH1[],7,FALSE),"")</f>
        <v/>
      </c>
      <c r="M95" s="248" t="str">
        <f>IFERROR(VLOOKUP(TableHandbook[[#This Row],[UDC]],TableOUMPTCHEC[],7,FALSE),"")</f>
        <v/>
      </c>
      <c r="N95" s="248" t="str">
        <f>IFERROR(VLOOKUP(TableHandbook[[#This Row],[UDC]],TableOUMPTCHPE[],7,FALSE),"")</f>
        <v/>
      </c>
      <c r="O95" s="248" t="str">
        <f>IFERROR(VLOOKUP(TableHandbook[[#This Row],[UDC]],TableOUMPTCHSE[],7,FALSE),"")</f>
        <v>Option</v>
      </c>
      <c r="P95" s="250" t="str">
        <f>IFERROR(VLOOKUP(TableHandbook[[#This Row],[UDC]],TableOCTESOL1[],7,FALSE),"")</f>
        <v/>
      </c>
      <c r="Q95" s="248" t="str">
        <f>IFERROR(VLOOKUP(TableHandbook[[#This Row],[UDC]],TableOCTESOL[],7,FALSE),"")</f>
        <v/>
      </c>
      <c r="R95" s="248" t="str">
        <f>IFERROR(VLOOKUP(TableHandbook[[#This Row],[UDC]],TableOMAPLING[],7,FALSE),"")</f>
        <v/>
      </c>
      <c r="S95" s="250" t="str">
        <f>IFERROR(VLOOKUP(TableHandbook[[#This Row],[UDC]],TableOCEDHE1[],7,FALSE),"")</f>
        <v/>
      </c>
      <c r="T95" s="248" t="str">
        <f>IFERROR(VLOOKUP(TableHandbook[[#This Row],[UDC]],TableOCEDHE[],7,FALSE),"")</f>
        <v/>
      </c>
      <c r="U95" s="248" t="str">
        <f>IFERROR(VLOOKUP(TableHandbook[[#This Row],[UDC]],TableOCEDUCS1[],7,FALSE),"")</f>
        <v/>
      </c>
      <c r="V95" s="248" t="str">
        <f>IFERROR(VLOOKUP(TableHandbook[[#This Row],[UDC]],TableOCEDUC[],7,FALSE),"")</f>
        <v/>
      </c>
      <c r="W95" s="248" t="str">
        <f>IFERROR(VLOOKUP(TableHandbook[[#This Row],[UDC]],TableOGEDUC[],7,FALSE),"")</f>
        <v/>
      </c>
      <c r="X95" s="248" t="str">
        <f>IFERROR(VLOOKUP(TableHandbook[[#This Row],[UDC]],TableOUMPEDUPR[],7,FALSE),"")</f>
        <v/>
      </c>
      <c r="Y95" s="248" t="str">
        <f>IFERROR(VLOOKUP(TableHandbook[[#This Row],[UDC]],TableOUMPEDUSC[],7,FALSE),"")</f>
        <v/>
      </c>
      <c r="Z95" s="250" t="str">
        <f>IFERROR(VLOOKUP(TableHandbook[[#This Row],[UDC]],TableOMEDUC[],7,FALSE),"")</f>
        <v/>
      </c>
      <c r="AA95" s="248" t="str">
        <f>IFERROR(VLOOKUP(TableHandbook[[#This Row],[UDC]],TableOSEPCULIN[],7,FALSE),"")</f>
        <v/>
      </c>
      <c r="AB95" s="248" t="str">
        <f>IFERROR(VLOOKUP(TableHandbook[[#This Row],[UDC]],TableOSEPLNTCH[],7,FALSE),"")</f>
        <v/>
      </c>
      <c r="AC95" s="248" t="str">
        <f>IFERROR(VLOOKUP(TableHandbook[[#This Row],[UDC]],TableOSEPSTEME[],7,FALSE),"")</f>
        <v/>
      </c>
    </row>
    <row r="96" spans="1:29" x14ac:dyDescent="0.25">
      <c r="A96" s="2" t="s">
        <v>167</v>
      </c>
      <c r="B96" s="3"/>
      <c r="C96" s="3"/>
      <c r="D96" s="2" t="s">
        <v>517</v>
      </c>
      <c r="E96" s="3">
        <v>25</v>
      </c>
      <c r="F96" s="245" t="s">
        <v>354</v>
      </c>
      <c r="G96" s="247" t="str">
        <f>IFERROR(IF(VLOOKUP(TableHandbook[[#This Row],[UDC]],TableAvailabilities[],2,FALSE)&gt;0,"Y",""),"")</f>
        <v/>
      </c>
      <c r="H96" s="247" t="str">
        <f>IFERROR(IF(VLOOKUP(TableHandbook[[#This Row],[UDC]],TableAvailabilities[],3,FALSE)&gt;0,"Y",""),"")</f>
        <v/>
      </c>
      <c r="I96" s="247" t="str">
        <f>IFERROR(IF(VLOOKUP(TableHandbook[[#This Row],[UDC]],TableAvailabilities[],4,FALSE)&gt;0,"Y",""),"")</f>
        <v/>
      </c>
      <c r="J96" s="247" t="str">
        <f>IFERROR(IF(VLOOKUP(TableHandbook[[#This Row],[UDC]],TableAvailabilities[],5,FALSE)&gt;0,"Y",""),"")</f>
        <v/>
      </c>
      <c r="K96" s="2"/>
      <c r="L96" s="250" t="str">
        <f>IFERROR(VLOOKUP(TableHandbook[[#This Row],[UDC]],TableOMTEACH1[],7,FALSE),"")</f>
        <v/>
      </c>
      <c r="M96" s="248" t="str">
        <f>IFERROR(VLOOKUP(TableHandbook[[#This Row],[UDC]],TableOUMPTCHEC[],7,FALSE),"")</f>
        <v/>
      </c>
      <c r="N96" s="248" t="str">
        <f>IFERROR(VLOOKUP(TableHandbook[[#This Row],[UDC]],TableOUMPTCHPE[],7,FALSE),"")</f>
        <v/>
      </c>
      <c r="O96" s="248" t="str">
        <f>IFERROR(VLOOKUP(TableHandbook[[#This Row],[UDC]],TableOUMPTCHSE[],7,FALSE),"")</f>
        <v/>
      </c>
      <c r="P96" s="250" t="str">
        <f>IFERROR(VLOOKUP(TableHandbook[[#This Row],[UDC]],TableOCTESOL1[],7,FALSE),"")</f>
        <v/>
      </c>
      <c r="Q96" s="248" t="str">
        <f>IFERROR(VLOOKUP(TableHandbook[[#This Row],[UDC]],TableOCTESOL[],7,FALSE),"")</f>
        <v/>
      </c>
      <c r="R96" s="248" t="str">
        <f>IFERROR(VLOOKUP(TableHandbook[[#This Row],[UDC]],TableOMAPLING[],7,FALSE),"")</f>
        <v/>
      </c>
      <c r="S96" s="250" t="str">
        <f>IFERROR(VLOOKUP(TableHandbook[[#This Row],[UDC]],TableOCEDHE1[],7,FALSE),"")</f>
        <v/>
      </c>
      <c r="T96" s="248" t="str">
        <f>IFERROR(VLOOKUP(TableHandbook[[#This Row],[UDC]],TableOCEDHE[],7,FALSE),"")</f>
        <v/>
      </c>
      <c r="U96" s="248" t="str">
        <f>IFERROR(VLOOKUP(TableHandbook[[#This Row],[UDC]],TableOCEDUCS1[],7,FALSE),"")</f>
        <v/>
      </c>
      <c r="V96" s="248" t="str">
        <f>IFERROR(VLOOKUP(TableHandbook[[#This Row],[UDC]],TableOCEDUC[],7,FALSE),"")</f>
        <v/>
      </c>
      <c r="W96" s="248" t="str">
        <f>IFERROR(VLOOKUP(TableHandbook[[#This Row],[UDC]],TableOGEDUC[],7,FALSE),"")</f>
        <v/>
      </c>
      <c r="X96" s="248" t="str">
        <f>IFERROR(VLOOKUP(TableHandbook[[#This Row],[UDC]],TableOUMPEDUPR[],7,FALSE),"")</f>
        <v/>
      </c>
      <c r="Y96" s="248" t="str">
        <f>IFERROR(VLOOKUP(TableHandbook[[#This Row],[UDC]],TableOUMPEDUSC[],7,FALSE),"")</f>
        <v/>
      </c>
      <c r="Z96" s="250" t="str">
        <f>IFERROR(VLOOKUP(TableHandbook[[#This Row],[UDC]],TableOMEDUC[],7,FALSE),"")</f>
        <v/>
      </c>
      <c r="AA96" s="248" t="str">
        <f>IFERROR(VLOOKUP(TableHandbook[[#This Row],[UDC]],TableOSEPCULIN[],7,FALSE),"")</f>
        <v/>
      </c>
      <c r="AB96" s="248" t="str">
        <f>IFERROR(VLOOKUP(TableHandbook[[#This Row],[UDC]],TableOSEPLNTCH[],7,FALSE),"")</f>
        <v/>
      </c>
      <c r="AC96" s="248" t="str">
        <f>IFERROR(VLOOKUP(TableHandbook[[#This Row],[UDC]],TableOSEPSTEME[],7,FALSE),"")</f>
        <v/>
      </c>
    </row>
    <row r="97" spans="1:29" x14ac:dyDescent="0.25">
      <c r="A97" s="2" t="s">
        <v>329</v>
      </c>
      <c r="B97" s="3"/>
      <c r="C97" s="3"/>
      <c r="D97" s="2" t="s">
        <v>518</v>
      </c>
      <c r="E97" s="3"/>
      <c r="F97" s="245"/>
      <c r="G97" s="247" t="str">
        <f>IFERROR(IF(VLOOKUP(TableHandbook[[#This Row],[UDC]],TableAvailabilities[],2,FALSE)&gt;0,"Y",""),"")</f>
        <v/>
      </c>
      <c r="H97" s="247" t="str">
        <f>IFERROR(IF(VLOOKUP(TableHandbook[[#This Row],[UDC]],TableAvailabilities[],3,FALSE)&gt;0,"Y",""),"")</f>
        <v/>
      </c>
      <c r="I97" s="247" t="str">
        <f>IFERROR(IF(VLOOKUP(TableHandbook[[#This Row],[UDC]],TableAvailabilities[],4,FALSE)&gt;0,"Y",""),"")</f>
        <v/>
      </c>
      <c r="J97" s="247" t="str">
        <f>IFERROR(IF(VLOOKUP(TableHandbook[[#This Row],[UDC]],TableAvailabilities[],5,FALSE)&gt;0,"Y",""),"")</f>
        <v/>
      </c>
      <c r="K97" s="2"/>
      <c r="L97" s="250" t="str">
        <f>IFERROR(VLOOKUP(TableHandbook[[#This Row],[UDC]],TableOMTEACH1[],7,FALSE),"")</f>
        <v/>
      </c>
      <c r="M97" s="248" t="str">
        <f>IFERROR(VLOOKUP(TableHandbook[[#This Row],[UDC]],TableOUMPTCHEC[],7,FALSE),"")</f>
        <v/>
      </c>
      <c r="N97" s="248" t="str">
        <f>IFERROR(VLOOKUP(TableHandbook[[#This Row],[UDC]],TableOUMPTCHPE[],7,FALSE),"")</f>
        <v/>
      </c>
      <c r="O97" s="248" t="str">
        <f>IFERROR(VLOOKUP(TableHandbook[[#This Row],[UDC]],TableOUMPTCHSE[],7,FALSE),"")</f>
        <v/>
      </c>
      <c r="P97" s="250" t="str">
        <f>IFERROR(VLOOKUP(TableHandbook[[#This Row],[UDC]],TableOCTESOL1[],7,FALSE),"")</f>
        <v/>
      </c>
      <c r="Q97" s="248" t="str">
        <f>IFERROR(VLOOKUP(TableHandbook[[#This Row],[UDC]],TableOCTESOL[],7,FALSE),"")</f>
        <v/>
      </c>
      <c r="R97" s="248" t="str">
        <f>IFERROR(VLOOKUP(TableHandbook[[#This Row],[UDC]],TableOMAPLING[],7,FALSE),"")</f>
        <v/>
      </c>
      <c r="S97" s="250" t="str">
        <f>IFERROR(VLOOKUP(TableHandbook[[#This Row],[UDC]],TableOCEDHE1[],7,FALSE),"")</f>
        <v/>
      </c>
      <c r="T97" s="248" t="str">
        <f>IFERROR(VLOOKUP(TableHandbook[[#This Row],[UDC]],TableOCEDHE[],7,FALSE),"")</f>
        <v/>
      </c>
      <c r="U97" s="248" t="str">
        <f>IFERROR(VLOOKUP(TableHandbook[[#This Row],[UDC]],TableOCEDUCS1[],7,FALSE),"")</f>
        <v/>
      </c>
      <c r="V97" s="248" t="str">
        <f>IFERROR(VLOOKUP(TableHandbook[[#This Row],[UDC]],TableOCEDUC[],7,FALSE),"")</f>
        <v/>
      </c>
      <c r="W97" s="248" t="str">
        <f>IFERROR(VLOOKUP(TableHandbook[[#This Row],[UDC]],TableOGEDUC[],7,FALSE),"")</f>
        <v/>
      </c>
      <c r="X97" s="248" t="str">
        <f>IFERROR(VLOOKUP(TableHandbook[[#This Row],[UDC]],TableOUMPEDUPR[],7,FALSE),"")</f>
        <v/>
      </c>
      <c r="Y97" s="248" t="str">
        <f>IFERROR(VLOOKUP(TableHandbook[[#This Row],[UDC]],TableOUMPEDUSC[],7,FALSE),"")</f>
        <v/>
      </c>
      <c r="Z97" s="250" t="str">
        <f>IFERROR(VLOOKUP(TableHandbook[[#This Row],[UDC]],TableOMEDUC[],7,FALSE),"")</f>
        <v/>
      </c>
      <c r="AA97" s="248" t="str">
        <f>IFERROR(VLOOKUP(TableHandbook[[#This Row],[UDC]],TableOSEPCULIN[],7,FALSE),"")</f>
        <v/>
      </c>
      <c r="AB97" s="248" t="str">
        <f>IFERROR(VLOOKUP(TableHandbook[[#This Row],[UDC]],TableOSEPLNTCH[],7,FALSE),"")</f>
        <v/>
      </c>
      <c r="AC97" s="248" t="str">
        <f>IFERROR(VLOOKUP(TableHandbook[[#This Row],[UDC]],TableOSEPSTEME[],7,FALSE),"")</f>
        <v/>
      </c>
    </row>
    <row r="98" spans="1:29" x14ac:dyDescent="0.25">
      <c r="A98" s="2" t="s">
        <v>295</v>
      </c>
      <c r="B98" s="3"/>
      <c r="C98" s="3"/>
      <c r="D98" s="2" t="s">
        <v>519</v>
      </c>
      <c r="E98" s="3">
        <v>25</v>
      </c>
      <c r="F98" s="245" t="s">
        <v>354</v>
      </c>
      <c r="G98" s="247" t="str">
        <f>IFERROR(IF(VLOOKUP(TableHandbook[[#This Row],[UDC]],TableAvailabilities[],2,FALSE)&gt;0,"Y",""),"")</f>
        <v/>
      </c>
      <c r="H98" s="247" t="str">
        <f>IFERROR(IF(VLOOKUP(TableHandbook[[#This Row],[UDC]],TableAvailabilities[],3,FALSE)&gt;0,"Y",""),"")</f>
        <v/>
      </c>
      <c r="I98" s="247" t="str">
        <f>IFERROR(IF(VLOOKUP(TableHandbook[[#This Row],[UDC]],TableAvailabilities[],4,FALSE)&gt;0,"Y",""),"")</f>
        <v/>
      </c>
      <c r="J98" s="247" t="str">
        <f>IFERROR(IF(VLOOKUP(TableHandbook[[#This Row],[UDC]],TableAvailabilities[],5,FALSE)&gt;0,"Y",""),"")</f>
        <v/>
      </c>
      <c r="K98" s="2"/>
      <c r="L98" s="250" t="str">
        <f>IFERROR(VLOOKUP(TableHandbook[[#This Row],[UDC]],TableOMTEACH1[],7,FALSE),"")</f>
        <v/>
      </c>
      <c r="M98" s="248" t="str">
        <f>IFERROR(VLOOKUP(TableHandbook[[#This Row],[UDC]],TableOUMPTCHEC[],7,FALSE),"")</f>
        <v/>
      </c>
      <c r="N98" s="248" t="str">
        <f>IFERROR(VLOOKUP(TableHandbook[[#This Row],[UDC]],TableOUMPTCHPE[],7,FALSE),"")</f>
        <v/>
      </c>
      <c r="O98" s="248" t="str">
        <f>IFERROR(VLOOKUP(TableHandbook[[#This Row],[UDC]],TableOUMPTCHSE[],7,FALSE),"")</f>
        <v/>
      </c>
      <c r="P98" s="250" t="str">
        <f>IFERROR(VLOOKUP(TableHandbook[[#This Row],[UDC]],TableOCTESOL1[],7,FALSE),"")</f>
        <v/>
      </c>
      <c r="Q98" s="248" t="str">
        <f>IFERROR(VLOOKUP(TableHandbook[[#This Row],[UDC]],TableOCTESOL[],7,FALSE),"")</f>
        <v/>
      </c>
      <c r="R98" s="248" t="str">
        <f>IFERROR(VLOOKUP(TableHandbook[[#This Row],[UDC]],TableOMAPLING[],7,FALSE),"")</f>
        <v/>
      </c>
      <c r="S98" s="250" t="str">
        <f>IFERROR(VLOOKUP(TableHandbook[[#This Row],[UDC]],TableOCEDHE1[],7,FALSE),"")</f>
        <v/>
      </c>
      <c r="T98" s="248" t="str">
        <f>IFERROR(VLOOKUP(TableHandbook[[#This Row],[UDC]],TableOCEDHE[],7,FALSE),"")</f>
        <v/>
      </c>
      <c r="U98" s="248" t="str">
        <f>IFERROR(VLOOKUP(TableHandbook[[#This Row],[UDC]],TableOCEDUCS1[],7,FALSE),"")</f>
        <v/>
      </c>
      <c r="V98" s="248" t="str">
        <f>IFERROR(VLOOKUP(TableHandbook[[#This Row],[UDC]],TableOCEDUC[],7,FALSE),"")</f>
        <v/>
      </c>
      <c r="W98" s="248" t="str">
        <f>IFERROR(VLOOKUP(TableHandbook[[#This Row],[UDC]],TableOGEDUC[],7,FALSE),"")</f>
        <v/>
      </c>
      <c r="X98" s="248" t="str">
        <f>IFERROR(VLOOKUP(TableHandbook[[#This Row],[UDC]],TableOUMPEDUPR[],7,FALSE),"")</f>
        <v/>
      </c>
      <c r="Y98" s="248" t="str">
        <f>IFERROR(VLOOKUP(TableHandbook[[#This Row],[UDC]],TableOUMPEDUSC[],7,FALSE),"")</f>
        <v/>
      </c>
      <c r="Z98" s="250" t="str">
        <f>IFERROR(VLOOKUP(TableHandbook[[#This Row],[UDC]],TableOMEDUC[],7,FALSE),"")</f>
        <v/>
      </c>
      <c r="AA98" s="248" t="str">
        <f>IFERROR(VLOOKUP(TableHandbook[[#This Row],[UDC]],TableOSEPCULIN[],7,FALSE),"")</f>
        <v/>
      </c>
      <c r="AB98" s="248" t="str">
        <f>IFERROR(VLOOKUP(TableHandbook[[#This Row],[UDC]],TableOSEPLNTCH[],7,FALSE),"")</f>
        <v/>
      </c>
      <c r="AC98" s="248" t="str">
        <f>IFERROR(VLOOKUP(TableHandbook[[#This Row],[UDC]],TableOSEPSTEME[],7,FALSE),"")</f>
        <v/>
      </c>
    </row>
    <row r="99" spans="1:29" x14ac:dyDescent="0.25">
      <c r="A99" s="2" t="s">
        <v>307</v>
      </c>
      <c r="B99" s="3"/>
      <c r="C99" s="3"/>
      <c r="D99" s="2" t="s">
        <v>520</v>
      </c>
      <c r="E99" s="3">
        <v>25</v>
      </c>
      <c r="F99" s="245" t="s">
        <v>354</v>
      </c>
      <c r="G99" s="247" t="str">
        <f>IFERROR(IF(VLOOKUP(TableHandbook[[#This Row],[UDC]],TableAvailabilities[],2,FALSE)&gt;0,"Y",""),"")</f>
        <v/>
      </c>
      <c r="H99" s="247" t="str">
        <f>IFERROR(IF(VLOOKUP(TableHandbook[[#This Row],[UDC]],TableAvailabilities[],3,FALSE)&gt;0,"Y",""),"")</f>
        <v/>
      </c>
      <c r="I99" s="247" t="str">
        <f>IFERROR(IF(VLOOKUP(TableHandbook[[#This Row],[UDC]],TableAvailabilities[],4,FALSE)&gt;0,"Y",""),"")</f>
        <v/>
      </c>
      <c r="J99" s="247" t="str">
        <f>IFERROR(IF(VLOOKUP(TableHandbook[[#This Row],[UDC]],TableAvailabilities[],5,FALSE)&gt;0,"Y",""),"")</f>
        <v/>
      </c>
      <c r="K99" s="2"/>
      <c r="L99" s="250" t="str">
        <f>IFERROR(VLOOKUP(TableHandbook[[#This Row],[UDC]],TableOMTEACH1[],7,FALSE),"")</f>
        <v/>
      </c>
      <c r="M99" s="248" t="str">
        <f>IFERROR(VLOOKUP(TableHandbook[[#This Row],[UDC]],TableOUMPTCHEC[],7,FALSE),"")</f>
        <v/>
      </c>
      <c r="N99" s="248" t="str">
        <f>IFERROR(VLOOKUP(TableHandbook[[#This Row],[UDC]],TableOUMPTCHPE[],7,FALSE),"")</f>
        <v/>
      </c>
      <c r="O99" s="248" t="str">
        <f>IFERROR(VLOOKUP(TableHandbook[[#This Row],[UDC]],TableOUMPTCHSE[],7,FALSE),"")</f>
        <v/>
      </c>
      <c r="P99" s="250" t="str">
        <f>IFERROR(VLOOKUP(TableHandbook[[#This Row],[UDC]],TableOCTESOL1[],7,FALSE),"")</f>
        <v/>
      </c>
      <c r="Q99" s="248" t="str">
        <f>IFERROR(VLOOKUP(TableHandbook[[#This Row],[UDC]],TableOCTESOL[],7,FALSE),"")</f>
        <v/>
      </c>
      <c r="R99" s="248" t="str">
        <f>IFERROR(VLOOKUP(TableHandbook[[#This Row],[UDC]],TableOMAPLING[],7,FALSE),"")</f>
        <v/>
      </c>
      <c r="S99" s="250" t="str">
        <f>IFERROR(VLOOKUP(TableHandbook[[#This Row],[UDC]],TableOCEDHE1[],7,FALSE),"")</f>
        <v/>
      </c>
      <c r="T99" s="248" t="str">
        <f>IFERROR(VLOOKUP(TableHandbook[[#This Row],[UDC]],TableOCEDHE[],7,FALSE),"")</f>
        <v/>
      </c>
      <c r="U99" s="248" t="str">
        <f>IFERROR(VLOOKUP(TableHandbook[[#This Row],[UDC]],TableOCEDUCS1[],7,FALSE),"")</f>
        <v/>
      </c>
      <c r="V99" s="248" t="str">
        <f>IFERROR(VLOOKUP(TableHandbook[[#This Row],[UDC]],TableOCEDUC[],7,FALSE),"")</f>
        <v/>
      </c>
      <c r="W99" s="248" t="str">
        <f>IFERROR(VLOOKUP(TableHandbook[[#This Row],[UDC]],TableOGEDUC[],7,FALSE),"")</f>
        <v/>
      </c>
      <c r="X99" s="248" t="str">
        <f>IFERROR(VLOOKUP(TableHandbook[[#This Row],[UDC]],TableOUMPEDUPR[],7,FALSE),"")</f>
        <v/>
      </c>
      <c r="Y99" s="248" t="str">
        <f>IFERROR(VLOOKUP(TableHandbook[[#This Row],[UDC]],TableOUMPEDUSC[],7,FALSE),"")</f>
        <v/>
      </c>
      <c r="Z99" s="250" t="str">
        <f>IFERROR(VLOOKUP(TableHandbook[[#This Row],[UDC]],TableOMEDUC[],7,FALSE),"")</f>
        <v/>
      </c>
      <c r="AA99" s="248" t="str">
        <f>IFERROR(VLOOKUP(TableHandbook[[#This Row],[UDC]],TableOSEPCULIN[],7,FALSE),"")</f>
        <v/>
      </c>
      <c r="AB99" s="248" t="str">
        <f>IFERROR(VLOOKUP(TableHandbook[[#This Row],[UDC]],TableOSEPLNTCH[],7,FALSE),"")</f>
        <v/>
      </c>
      <c r="AC99" s="248" t="str">
        <f>IFERROR(VLOOKUP(TableHandbook[[#This Row],[UDC]],TableOSEPSTEME[],7,FALSE),"")</f>
        <v/>
      </c>
    </row>
  </sheetData>
  <sortState xmlns:xlrd2="http://schemas.microsoft.com/office/spreadsheetml/2017/richdata2" ref="A24:D38">
    <sortCondition ref="A24"/>
  </sortState>
  <conditionalFormatting sqref="A3:A99">
    <cfRule type="duplicateValues" dxfId="69" priority="120"/>
  </conditionalFormatting>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R231"/>
  <sheetViews>
    <sheetView zoomScale="70" zoomScaleNormal="70" workbookViewId="0">
      <pane ySplit="1" topLeftCell="A2" activePane="bottomLeft" state="frozen"/>
      <selection activeCell="D7" sqref="D7"/>
      <selection pane="bottomLeft" activeCell="D7" sqref="D7"/>
    </sheetView>
  </sheetViews>
  <sheetFormatPr defaultRowHeight="15.75" x14ac:dyDescent="0.25"/>
  <cols>
    <col min="1" max="1" width="13.5" customWidth="1"/>
    <col min="2" max="2" width="8.75" style="1" customWidth="1"/>
    <col min="3" max="3" width="12" bestFit="1" customWidth="1"/>
    <col min="4" max="4" width="61.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61.25" customWidth="1"/>
    <col min="13" max="13" width="14.375" bestFit="1" customWidth="1"/>
    <col min="14" max="14" width="13" bestFit="1" customWidth="1"/>
    <col min="15" max="15" width="10.875" bestFit="1" customWidth="1"/>
    <col min="16" max="16" width="9" customWidth="1"/>
    <col min="17" max="17" width="13.75" customWidth="1"/>
    <col min="18" max="18" width="11.5" bestFit="1" customWidth="1"/>
  </cols>
  <sheetData>
    <row r="1" spans="1:18" x14ac:dyDescent="0.25">
      <c r="A1" s="70" t="s">
        <v>521</v>
      </c>
      <c r="P1" s="261">
        <v>45292</v>
      </c>
    </row>
    <row r="2" spans="1:18" x14ac:dyDescent="0.25">
      <c r="B2"/>
      <c r="E2"/>
      <c r="F2" s="87"/>
      <c r="G2" s="88" t="s">
        <v>522</v>
      </c>
      <c r="H2" s="258">
        <v>44562</v>
      </c>
      <c r="J2" s="259" t="s">
        <v>123</v>
      </c>
      <c r="K2" s="260" t="s">
        <v>98</v>
      </c>
      <c r="L2" s="119" t="s">
        <v>523</v>
      </c>
      <c r="M2" s="88"/>
      <c r="N2" s="242" t="s">
        <v>524</v>
      </c>
      <c r="O2" s="208">
        <v>45552</v>
      </c>
    </row>
    <row r="3" spans="1:18" x14ac:dyDescent="0.25">
      <c r="A3" t="s">
        <v>0</v>
      </c>
      <c r="B3" s="1" t="s">
        <v>525</v>
      </c>
      <c r="C3" t="s">
        <v>21</v>
      </c>
      <c r="D3" t="s">
        <v>3</v>
      </c>
      <c r="E3" s="89" t="s">
        <v>526</v>
      </c>
      <c r="F3" t="s">
        <v>527</v>
      </c>
      <c r="G3" t="s">
        <v>528</v>
      </c>
      <c r="H3" t="s">
        <v>529</v>
      </c>
      <c r="I3" t="s">
        <v>22</v>
      </c>
      <c r="J3" t="s">
        <v>530</v>
      </c>
      <c r="K3" t="s">
        <v>1</v>
      </c>
      <c r="L3" t="s">
        <v>531</v>
      </c>
      <c r="M3" t="s">
        <v>58</v>
      </c>
      <c r="N3" s="193" t="s">
        <v>532</v>
      </c>
      <c r="O3" s="193" t="s">
        <v>533</v>
      </c>
      <c r="Q3" t="s">
        <v>534</v>
      </c>
      <c r="R3" t="s">
        <v>535</v>
      </c>
    </row>
    <row r="4" spans="1:18" x14ac:dyDescent="0.25">
      <c r="A4" t="str">
        <f>TableOMTEACH1[[#This Row],[Study Package Code]]</f>
        <v/>
      </c>
      <c r="B4" s="1">
        <f>TableOMTEACH1[[#This Row],[Ver]]</f>
        <v>0</v>
      </c>
      <c r="D4" t="str">
        <f>TableOMTEACH1[[#This Row],[Structure Line]]</f>
        <v>Master of Teaching Major List</v>
      </c>
      <c r="E4" s="89">
        <f>TableOMTEACH1[[#This Row],[Credit Points]]</f>
        <v>400</v>
      </c>
      <c r="F4">
        <v>1</v>
      </c>
      <c r="G4" t="s">
        <v>536</v>
      </c>
      <c r="H4">
        <v>1</v>
      </c>
      <c r="I4" t="s">
        <v>537</v>
      </c>
      <c r="J4" t="s">
        <v>511</v>
      </c>
      <c r="K4">
        <v>0</v>
      </c>
      <c r="L4" t="s">
        <v>538</v>
      </c>
      <c r="M4">
        <v>400</v>
      </c>
      <c r="N4" s="194"/>
      <c r="O4" s="194"/>
      <c r="Q4" t="s">
        <v>511</v>
      </c>
      <c r="R4">
        <v>0</v>
      </c>
    </row>
    <row r="5" spans="1:18" x14ac:dyDescent="0.25">
      <c r="A5" t="str">
        <f>TableOMTEACH1[[#This Row],[Study Package Code]]</f>
        <v>OUMP-TCHEC</v>
      </c>
      <c r="B5" s="1">
        <f>TableOMTEACH1[[#This Row],[Ver]]</f>
        <v>2</v>
      </c>
      <c r="D5" t="str">
        <f>TableOMTEACH1[[#This Row],[Structure Line]]</f>
        <v>Early Childhood Education Major (MTeach OpenUnis)</v>
      </c>
      <c r="E5" s="89">
        <f>TableOMTEACH1[[#This Row],[Credit Points]]</f>
        <v>400</v>
      </c>
      <c r="F5">
        <v>1</v>
      </c>
      <c r="G5" t="s">
        <v>536</v>
      </c>
      <c r="H5">
        <v>1</v>
      </c>
      <c r="I5" t="s">
        <v>537</v>
      </c>
      <c r="J5" t="s">
        <v>127</v>
      </c>
      <c r="K5">
        <v>2</v>
      </c>
      <c r="L5" t="s">
        <v>14</v>
      </c>
      <c r="M5">
        <v>400</v>
      </c>
      <c r="N5" s="194">
        <v>44562</v>
      </c>
      <c r="O5" s="194"/>
      <c r="Q5" t="s">
        <v>127</v>
      </c>
      <c r="R5">
        <v>2</v>
      </c>
    </row>
    <row r="6" spans="1:18" x14ac:dyDescent="0.25">
      <c r="A6" t="str">
        <f>TableOMTEACH1[[#This Row],[Study Package Code]]</f>
        <v>OUMP-TCHPE</v>
      </c>
      <c r="B6" s="1">
        <f>TableOMTEACH1[[#This Row],[Ver]]</f>
        <v>2</v>
      </c>
      <c r="D6" t="str">
        <f>TableOMTEACH1[[#This Row],[Structure Line]]</f>
        <v>Primary Education Major (MTeach OpenUnis)</v>
      </c>
      <c r="E6" s="89">
        <f>TableOMTEACH1[[#This Row],[Credit Points]]</f>
        <v>400</v>
      </c>
      <c r="F6">
        <v>1</v>
      </c>
      <c r="G6" t="s">
        <v>536</v>
      </c>
      <c r="H6">
        <v>1</v>
      </c>
      <c r="I6" t="s">
        <v>537</v>
      </c>
      <c r="J6" t="s">
        <v>128</v>
      </c>
      <c r="K6">
        <v>2</v>
      </c>
      <c r="L6" t="s">
        <v>36</v>
      </c>
      <c r="M6">
        <v>400</v>
      </c>
      <c r="N6" s="194">
        <v>44562</v>
      </c>
      <c r="O6" s="194"/>
      <c r="Q6" t="s">
        <v>128</v>
      </c>
      <c r="R6">
        <v>2</v>
      </c>
    </row>
    <row r="7" spans="1:18" x14ac:dyDescent="0.25">
      <c r="A7" t="str">
        <f>TableOMTEACH1[[#This Row],[Study Package Code]]</f>
        <v>OUMP-TCHSE</v>
      </c>
      <c r="B7" s="1">
        <f>TableOMTEACH1[[#This Row],[Ver]]</f>
        <v>3</v>
      </c>
      <c r="D7" t="str">
        <f>TableOMTEACH1[[#This Row],[Structure Line]]</f>
        <v>Secondary Education Major (MTeach OpenUnis)</v>
      </c>
      <c r="E7" s="89">
        <f>TableOMTEACH1[[#This Row],[Credit Points]]</f>
        <v>400</v>
      </c>
      <c r="F7">
        <v>1</v>
      </c>
      <c r="G7" t="s">
        <v>536</v>
      </c>
      <c r="H7">
        <v>1</v>
      </c>
      <c r="I7" t="s">
        <v>537</v>
      </c>
      <c r="J7" t="s">
        <v>132</v>
      </c>
      <c r="K7">
        <v>3</v>
      </c>
      <c r="L7" t="s">
        <v>131</v>
      </c>
      <c r="M7">
        <v>400</v>
      </c>
      <c r="N7" s="194">
        <v>44562</v>
      </c>
      <c r="O7" s="194"/>
      <c r="Q7" t="s">
        <v>132</v>
      </c>
      <c r="R7">
        <v>3</v>
      </c>
    </row>
    <row r="8" spans="1:18" x14ac:dyDescent="0.25">
      <c r="B8"/>
      <c r="E8"/>
      <c r="F8" s="87"/>
      <c r="G8" s="88" t="s">
        <v>522</v>
      </c>
      <c r="H8" s="258">
        <v>44562</v>
      </c>
      <c r="J8" s="259" t="s">
        <v>127</v>
      </c>
      <c r="K8" s="260" t="s">
        <v>98</v>
      </c>
      <c r="L8" s="119" t="s">
        <v>14</v>
      </c>
      <c r="N8" s="242" t="s">
        <v>524</v>
      </c>
      <c r="O8" s="208">
        <v>45552</v>
      </c>
    </row>
    <row r="9" spans="1:18" x14ac:dyDescent="0.25">
      <c r="A9" t="s">
        <v>0</v>
      </c>
      <c r="B9" s="1" t="s">
        <v>525</v>
      </c>
      <c r="C9" t="s">
        <v>21</v>
      </c>
      <c r="D9" t="s">
        <v>3</v>
      </c>
      <c r="E9" s="89" t="s">
        <v>526</v>
      </c>
      <c r="F9" t="s">
        <v>527</v>
      </c>
      <c r="G9" t="s">
        <v>528</v>
      </c>
      <c r="H9" t="s">
        <v>529</v>
      </c>
      <c r="I9" t="s">
        <v>22</v>
      </c>
      <c r="J9" t="s">
        <v>530</v>
      </c>
      <c r="K9" t="s">
        <v>1</v>
      </c>
      <c r="L9" t="s">
        <v>531</v>
      </c>
      <c r="M9" t="s">
        <v>58</v>
      </c>
      <c r="N9" s="193" t="s">
        <v>532</v>
      </c>
      <c r="O9" s="193" t="s">
        <v>533</v>
      </c>
      <c r="Q9" t="s">
        <v>534</v>
      </c>
      <c r="R9" t="s">
        <v>535</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89">
        <f>TableOUMPTCHEC[[#This Row],[Credit Points]]</f>
        <v>25</v>
      </c>
      <c r="F10">
        <v>1</v>
      </c>
      <c r="G10" t="s">
        <v>539</v>
      </c>
      <c r="H10">
        <v>1</v>
      </c>
      <c r="I10" t="s">
        <v>537</v>
      </c>
      <c r="J10" t="s">
        <v>81</v>
      </c>
      <c r="K10">
        <v>1</v>
      </c>
      <c r="L10" t="s">
        <v>540</v>
      </c>
      <c r="M10">
        <v>25</v>
      </c>
      <c r="N10" s="194">
        <v>44562</v>
      </c>
      <c r="O10" s="194"/>
      <c r="Q10" t="s">
        <v>81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89">
        <f>TableOUMPTCHEC[[#This Row],[Credit Points]]</f>
        <v>25</v>
      </c>
      <c r="F11">
        <v>2</v>
      </c>
      <c r="G11" t="s">
        <v>539</v>
      </c>
      <c r="H11">
        <v>1</v>
      </c>
      <c r="I11" t="s">
        <v>537</v>
      </c>
      <c r="J11" t="s">
        <v>91</v>
      </c>
      <c r="K11">
        <v>1</v>
      </c>
      <c r="L11" t="s">
        <v>541</v>
      </c>
      <c r="M11">
        <v>25</v>
      </c>
      <c r="N11" s="194">
        <v>43101</v>
      </c>
      <c r="O11" s="194"/>
      <c r="Q11" t="s">
        <v>91</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89">
        <f>TableOUMPTCHEC[[#This Row],[Credit Points]]</f>
        <v>25</v>
      </c>
      <c r="F12">
        <v>3</v>
      </c>
      <c r="G12" t="s">
        <v>539</v>
      </c>
      <c r="H12">
        <v>1</v>
      </c>
      <c r="I12" t="s">
        <v>537</v>
      </c>
      <c r="J12" t="s">
        <v>99</v>
      </c>
      <c r="K12">
        <v>2</v>
      </c>
      <c r="L12" t="s">
        <v>542</v>
      </c>
      <c r="M12">
        <v>25</v>
      </c>
      <c r="N12" s="194">
        <v>44562</v>
      </c>
      <c r="O12" s="194"/>
      <c r="Q12" t="s">
        <v>99</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89">
        <f>TableOUMPTCHEC[[#This Row],[Credit Points]]</f>
        <v>25</v>
      </c>
      <c r="F13">
        <v>4</v>
      </c>
      <c r="G13" t="s">
        <v>539</v>
      </c>
      <c r="H13">
        <v>1</v>
      </c>
      <c r="I13" t="s">
        <v>537</v>
      </c>
      <c r="J13" t="s">
        <v>84</v>
      </c>
      <c r="K13">
        <v>1</v>
      </c>
      <c r="L13" t="s">
        <v>543</v>
      </c>
      <c r="M13">
        <v>25</v>
      </c>
      <c r="N13" s="194">
        <v>43101</v>
      </c>
      <c r="O13" s="194"/>
      <c r="Q13" t="s">
        <v>84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89">
        <f>TableOUMPTCHEC[[#This Row],[Credit Points]]</f>
        <v>25</v>
      </c>
      <c r="F14">
        <v>5</v>
      </c>
      <c r="G14" t="s">
        <v>539</v>
      </c>
      <c r="H14">
        <v>1</v>
      </c>
      <c r="I14" t="s">
        <v>537</v>
      </c>
      <c r="J14" t="s">
        <v>85</v>
      </c>
      <c r="K14">
        <v>1</v>
      </c>
      <c r="L14" t="s">
        <v>544</v>
      </c>
      <c r="M14">
        <v>25</v>
      </c>
      <c r="N14" s="194">
        <v>43101</v>
      </c>
      <c r="O14" s="194"/>
      <c r="Q14" t="s">
        <v>85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89">
        <f>TableOUMPTCHEC[[#This Row],[Credit Points]]</f>
        <v>25</v>
      </c>
      <c r="F15">
        <v>6</v>
      </c>
      <c r="G15" t="s">
        <v>539</v>
      </c>
      <c r="H15">
        <v>1</v>
      </c>
      <c r="I15" t="s">
        <v>537</v>
      </c>
      <c r="J15" t="s">
        <v>77</v>
      </c>
      <c r="K15">
        <v>1</v>
      </c>
      <c r="L15" t="s">
        <v>545</v>
      </c>
      <c r="M15">
        <v>25</v>
      </c>
      <c r="N15" s="194">
        <v>43101</v>
      </c>
      <c r="O15" s="194"/>
      <c r="Q15" t="s">
        <v>77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89">
        <f>TableOUMPTCHEC[[#This Row],[Credit Points]]</f>
        <v>25</v>
      </c>
      <c r="F16">
        <v>7</v>
      </c>
      <c r="G16" t="s">
        <v>539</v>
      </c>
      <c r="H16">
        <v>1</v>
      </c>
      <c r="I16" t="s">
        <v>537</v>
      </c>
      <c r="J16" t="s">
        <v>80</v>
      </c>
      <c r="K16">
        <v>1</v>
      </c>
      <c r="L16" t="s">
        <v>546</v>
      </c>
      <c r="M16">
        <v>25</v>
      </c>
      <c r="N16" s="194">
        <v>42736</v>
      </c>
      <c r="O16" s="194"/>
      <c r="Q16" t="s">
        <v>80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89">
        <f>TableOUMPTCHEC[[#This Row],[Credit Points]]</f>
        <v>25</v>
      </c>
      <c r="F17">
        <v>8</v>
      </c>
      <c r="G17" t="s">
        <v>539</v>
      </c>
      <c r="H17">
        <v>1</v>
      </c>
      <c r="I17" t="s">
        <v>537</v>
      </c>
      <c r="J17" t="s">
        <v>75</v>
      </c>
      <c r="K17">
        <v>2</v>
      </c>
      <c r="L17" t="s">
        <v>547</v>
      </c>
      <c r="M17">
        <v>25</v>
      </c>
      <c r="N17" s="194">
        <v>44197</v>
      </c>
      <c r="O17" s="194"/>
      <c r="Q17" t="s">
        <v>75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89">
        <f>TableOUMPTCHEC[[#This Row],[Credit Points]]</f>
        <v>25</v>
      </c>
      <c r="F18">
        <v>9</v>
      </c>
      <c r="G18" t="s">
        <v>539</v>
      </c>
      <c r="H18">
        <v>2</v>
      </c>
      <c r="I18" t="s">
        <v>537</v>
      </c>
      <c r="J18" t="s">
        <v>120</v>
      </c>
      <c r="K18">
        <v>1</v>
      </c>
      <c r="L18" t="s">
        <v>548</v>
      </c>
      <c r="M18">
        <v>25</v>
      </c>
      <c r="N18" s="194">
        <v>44562</v>
      </c>
      <c r="O18" s="194"/>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89">
        <f>TableOUMPTCHEC[[#This Row],[Credit Points]]</f>
        <v>25</v>
      </c>
      <c r="F19">
        <v>10</v>
      </c>
      <c r="G19" t="s">
        <v>539</v>
      </c>
      <c r="H19">
        <v>2</v>
      </c>
      <c r="I19" t="s">
        <v>537</v>
      </c>
      <c r="J19" t="s">
        <v>129</v>
      </c>
      <c r="K19">
        <v>1</v>
      </c>
      <c r="L19" t="s">
        <v>549</v>
      </c>
      <c r="M19">
        <v>25</v>
      </c>
      <c r="N19" s="194">
        <v>44562</v>
      </c>
      <c r="O19" s="194"/>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89">
        <f>TableOUMPTCHEC[[#This Row],[Credit Points]]</f>
        <v>25</v>
      </c>
      <c r="F20">
        <v>11</v>
      </c>
      <c r="G20" t="s">
        <v>539</v>
      </c>
      <c r="H20">
        <v>2</v>
      </c>
      <c r="I20" t="s">
        <v>537</v>
      </c>
      <c r="J20" t="s">
        <v>118</v>
      </c>
      <c r="K20">
        <v>1</v>
      </c>
      <c r="L20" t="s">
        <v>550</v>
      </c>
      <c r="M20">
        <v>25</v>
      </c>
      <c r="N20" s="194">
        <v>43101</v>
      </c>
      <c r="O20" s="194"/>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89">
        <f>TableOUMPTCHEC[[#This Row],[Credit Points]]</f>
        <v>25</v>
      </c>
      <c r="F21">
        <v>12</v>
      </c>
      <c r="G21" t="s">
        <v>539</v>
      </c>
      <c r="H21">
        <v>2</v>
      </c>
      <c r="I21" t="s">
        <v>537</v>
      </c>
      <c r="J21" t="s">
        <v>83</v>
      </c>
      <c r="K21">
        <v>1</v>
      </c>
      <c r="L21" t="s">
        <v>551</v>
      </c>
      <c r="M21">
        <v>25</v>
      </c>
      <c r="N21" s="194">
        <v>43101</v>
      </c>
      <c r="O21" s="194"/>
      <c r="Q21" t="s">
        <v>83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89">
        <f>TableOUMPTCHEC[[#This Row],[Credit Points]]</f>
        <v>25</v>
      </c>
      <c r="F22">
        <v>13</v>
      </c>
      <c r="G22" t="s">
        <v>539</v>
      </c>
      <c r="H22">
        <v>2</v>
      </c>
      <c r="I22" t="s">
        <v>537</v>
      </c>
      <c r="J22" t="s">
        <v>107</v>
      </c>
      <c r="K22">
        <v>1</v>
      </c>
      <c r="L22" t="s">
        <v>552</v>
      </c>
      <c r="M22">
        <v>25</v>
      </c>
      <c r="N22" s="194">
        <v>43101</v>
      </c>
      <c r="O22" s="194"/>
      <c r="Q22" t="s">
        <v>107</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89">
        <f>TableOUMPTCHEC[[#This Row],[Credit Points]]</f>
        <v>25</v>
      </c>
      <c r="F23">
        <v>14</v>
      </c>
      <c r="G23" t="s">
        <v>539</v>
      </c>
      <c r="H23">
        <v>2</v>
      </c>
      <c r="I23" t="s">
        <v>537</v>
      </c>
      <c r="J23" t="s">
        <v>114</v>
      </c>
      <c r="K23">
        <v>1</v>
      </c>
      <c r="L23" t="s">
        <v>553</v>
      </c>
      <c r="M23">
        <v>25</v>
      </c>
      <c r="N23" s="194">
        <v>44562</v>
      </c>
      <c r="O23" s="194"/>
      <c r="Q23" t="s">
        <v>114</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89">
        <f>TableOUMPTCHEC[[#This Row],[Credit Points]]</f>
        <v>25</v>
      </c>
      <c r="F24">
        <v>15</v>
      </c>
      <c r="G24" t="s">
        <v>539</v>
      </c>
      <c r="H24">
        <v>2</v>
      </c>
      <c r="I24" t="s">
        <v>537</v>
      </c>
      <c r="J24" t="s">
        <v>119</v>
      </c>
      <c r="K24">
        <v>1</v>
      </c>
      <c r="L24" t="s">
        <v>554</v>
      </c>
      <c r="M24">
        <v>25</v>
      </c>
      <c r="N24" s="194">
        <v>44562</v>
      </c>
      <c r="O24" s="194"/>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89">
        <f>TableOUMPTCHEC[[#This Row],[Credit Points]]</f>
        <v>25</v>
      </c>
      <c r="F25">
        <v>16</v>
      </c>
      <c r="G25" t="s">
        <v>539</v>
      </c>
      <c r="H25">
        <v>2</v>
      </c>
      <c r="I25" t="s">
        <v>537</v>
      </c>
      <c r="J25" t="s">
        <v>95</v>
      </c>
      <c r="K25">
        <v>1</v>
      </c>
      <c r="L25" t="s">
        <v>555</v>
      </c>
      <c r="M25">
        <v>25</v>
      </c>
      <c r="N25" s="194">
        <v>42736</v>
      </c>
      <c r="O25" s="194"/>
      <c r="Q25" t="s">
        <v>95</v>
      </c>
      <c r="R25">
        <v>1</v>
      </c>
    </row>
    <row r="26" spans="1:18" x14ac:dyDescent="0.25">
      <c r="B26"/>
      <c r="E26"/>
      <c r="F26" s="87"/>
      <c r="G26" s="88" t="s">
        <v>522</v>
      </c>
      <c r="H26" s="258">
        <v>44562</v>
      </c>
      <c r="J26" s="259" t="s">
        <v>128</v>
      </c>
      <c r="K26" s="260" t="s">
        <v>98</v>
      </c>
      <c r="L26" s="119" t="s">
        <v>36</v>
      </c>
      <c r="N26" s="242" t="s">
        <v>524</v>
      </c>
      <c r="O26" s="208">
        <v>45552</v>
      </c>
    </row>
    <row r="27" spans="1:18" x14ac:dyDescent="0.25">
      <c r="A27" t="s">
        <v>0</v>
      </c>
      <c r="B27" s="1" t="s">
        <v>525</v>
      </c>
      <c r="C27" t="s">
        <v>21</v>
      </c>
      <c r="D27" t="s">
        <v>3</v>
      </c>
      <c r="E27" s="89" t="s">
        <v>526</v>
      </c>
      <c r="F27" t="s">
        <v>527</v>
      </c>
      <c r="G27" t="s">
        <v>528</v>
      </c>
      <c r="H27" t="s">
        <v>529</v>
      </c>
      <c r="I27" t="s">
        <v>22</v>
      </c>
      <c r="J27" t="s">
        <v>530</v>
      </c>
      <c r="K27" t="s">
        <v>1</v>
      </c>
      <c r="L27" t="s">
        <v>531</v>
      </c>
      <c r="M27" t="s">
        <v>58</v>
      </c>
      <c r="N27" s="193" t="s">
        <v>532</v>
      </c>
      <c r="O27" s="193" t="s">
        <v>533</v>
      </c>
      <c r="Q27" t="s">
        <v>534</v>
      </c>
      <c r="R27" t="s">
        <v>535</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89">
        <f>TableOUMPTCHPE[[#This Row],[Credit Points]]</f>
        <v>25</v>
      </c>
      <c r="F28">
        <v>1</v>
      </c>
      <c r="G28" t="s">
        <v>539</v>
      </c>
      <c r="H28">
        <v>1</v>
      </c>
      <c r="I28" t="s">
        <v>537</v>
      </c>
      <c r="J28" t="s">
        <v>81</v>
      </c>
      <c r="K28">
        <v>1</v>
      </c>
      <c r="L28" t="s">
        <v>540</v>
      </c>
      <c r="M28">
        <v>25</v>
      </c>
      <c r="N28" s="194">
        <v>44562</v>
      </c>
      <c r="O28" s="194"/>
      <c r="Q28" t="s">
        <v>81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89">
        <f>TableOUMPTCHPE[[#This Row],[Credit Points]]</f>
        <v>25</v>
      </c>
      <c r="F29">
        <v>2</v>
      </c>
      <c r="G29" t="s">
        <v>539</v>
      </c>
      <c r="H29">
        <v>1</v>
      </c>
      <c r="I29" t="s">
        <v>537</v>
      </c>
      <c r="J29" t="s">
        <v>87</v>
      </c>
      <c r="K29">
        <v>1</v>
      </c>
      <c r="L29" t="s">
        <v>556</v>
      </c>
      <c r="M29">
        <v>25</v>
      </c>
      <c r="N29" s="194">
        <v>42736</v>
      </c>
      <c r="O29" s="194"/>
      <c r="Q29" t="s">
        <v>87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89">
        <f>TableOUMPTCHPE[[#This Row],[Credit Points]]</f>
        <v>25</v>
      </c>
      <c r="F30">
        <v>3</v>
      </c>
      <c r="G30" t="s">
        <v>539</v>
      </c>
      <c r="H30">
        <v>1</v>
      </c>
      <c r="I30" t="s">
        <v>537</v>
      </c>
      <c r="J30" t="s">
        <v>92</v>
      </c>
      <c r="K30">
        <v>3</v>
      </c>
      <c r="L30" t="s">
        <v>557</v>
      </c>
      <c r="M30">
        <v>25</v>
      </c>
      <c r="N30" s="194">
        <v>44562</v>
      </c>
      <c r="O30" s="194"/>
      <c r="Q30" t="s">
        <v>92</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89">
        <f>TableOUMPTCHPE[[#This Row],[Credit Points]]</f>
        <v>25</v>
      </c>
      <c r="F31">
        <v>4</v>
      </c>
      <c r="G31" t="s">
        <v>539</v>
      </c>
      <c r="H31">
        <v>1</v>
      </c>
      <c r="I31" t="s">
        <v>537</v>
      </c>
      <c r="J31" t="s">
        <v>80</v>
      </c>
      <c r="K31">
        <v>1</v>
      </c>
      <c r="L31" t="s">
        <v>546</v>
      </c>
      <c r="M31">
        <v>25</v>
      </c>
      <c r="N31" s="194">
        <v>42736</v>
      </c>
      <c r="O31" s="194"/>
      <c r="Q31" t="s">
        <v>80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89">
        <f>TableOUMPTCHPE[[#This Row],[Credit Points]]</f>
        <v>25</v>
      </c>
      <c r="F32">
        <v>5</v>
      </c>
      <c r="G32" t="s">
        <v>539</v>
      </c>
      <c r="H32">
        <v>1</v>
      </c>
      <c r="I32" t="s">
        <v>537</v>
      </c>
      <c r="J32" t="s">
        <v>86</v>
      </c>
      <c r="K32">
        <v>1</v>
      </c>
      <c r="L32" t="s">
        <v>558</v>
      </c>
      <c r="M32">
        <v>25</v>
      </c>
      <c r="N32" s="194">
        <v>42736</v>
      </c>
      <c r="O32" s="194"/>
      <c r="Q32" t="s">
        <v>86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89">
        <f>TableOUMPTCHPE[[#This Row],[Credit Points]]</f>
        <v>25</v>
      </c>
      <c r="F33">
        <v>6</v>
      </c>
      <c r="G33" t="s">
        <v>539</v>
      </c>
      <c r="H33">
        <v>1</v>
      </c>
      <c r="I33" t="s">
        <v>537</v>
      </c>
      <c r="J33" t="s">
        <v>100</v>
      </c>
      <c r="K33">
        <v>1</v>
      </c>
      <c r="L33" t="s">
        <v>559</v>
      </c>
      <c r="M33">
        <v>25</v>
      </c>
      <c r="N33" s="194">
        <v>42736</v>
      </c>
      <c r="O33" s="194"/>
      <c r="Q33" t="s">
        <v>100</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89">
        <f>TableOUMPTCHPE[[#This Row],[Credit Points]]</f>
        <v>25</v>
      </c>
      <c r="F34">
        <v>7</v>
      </c>
      <c r="G34" t="s">
        <v>539</v>
      </c>
      <c r="H34">
        <v>1</v>
      </c>
      <c r="I34" t="s">
        <v>537</v>
      </c>
      <c r="J34" t="s">
        <v>75</v>
      </c>
      <c r="K34">
        <v>2</v>
      </c>
      <c r="L34" t="s">
        <v>547</v>
      </c>
      <c r="M34">
        <v>25</v>
      </c>
      <c r="N34" s="194">
        <v>44197</v>
      </c>
      <c r="O34" s="194"/>
      <c r="Q34" t="s">
        <v>75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89">
        <f>TableOUMPTCHPE[[#This Row],[Credit Points]]</f>
        <v>25</v>
      </c>
      <c r="F35">
        <v>8</v>
      </c>
      <c r="G35" t="s">
        <v>539</v>
      </c>
      <c r="H35">
        <v>1</v>
      </c>
      <c r="I35" t="s">
        <v>537</v>
      </c>
      <c r="J35" t="s">
        <v>95</v>
      </c>
      <c r="K35">
        <v>1</v>
      </c>
      <c r="L35" t="s">
        <v>555</v>
      </c>
      <c r="M35">
        <v>25</v>
      </c>
      <c r="N35" s="194">
        <v>42736</v>
      </c>
      <c r="O35" s="194"/>
      <c r="Q35" t="s">
        <v>95</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89">
        <f>TableOUMPTCHPE[[#This Row],[Credit Points]]</f>
        <v>25</v>
      </c>
      <c r="F36">
        <v>9</v>
      </c>
      <c r="G36" t="s">
        <v>539</v>
      </c>
      <c r="H36">
        <v>2</v>
      </c>
      <c r="I36" t="s">
        <v>537</v>
      </c>
      <c r="J36" t="s">
        <v>120</v>
      </c>
      <c r="K36">
        <v>1</v>
      </c>
      <c r="L36" t="s">
        <v>548</v>
      </c>
      <c r="M36">
        <v>25</v>
      </c>
      <c r="N36" s="194">
        <v>44562</v>
      </c>
      <c r="O36" s="194"/>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89">
        <f>TableOUMPTCHPE[[#This Row],[Credit Points]]</f>
        <v>25</v>
      </c>
      <c r="F37">
        <v>10</v>
      </c>
      <c r="G37" t="s">
        <v>539</v>
      </c>
      <c r="H37">
        <v>2</v>
      </c>
      <c r="I37" t="s">
        <v>537</v>
      </c>
      <c r="J37" t="s">
        <v>129</v>
      </c>
      <c r="K37">
        <v>1</v>
      </c>
      <c r="L37" t="s">
        <v>549</v>
      </c>
      <c r="M37">
        <v>25</v>
      </c>
      <c r="N37" s="194">
        <v>44562</v>
      </c>
      <c r="O37" s="194"/>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89">
        <f>TableOUMPTCHPE[[#This Row],[Credit Points]]</f>
        <v>25</v>
      </c>
      <c r="F38">
        <v>11</v>
      </c>
      <c r="G38" t="s">
        <v>539</v>
      </c>
      <c r="H38">
        <v>2</v>
      </c>
      <c r="I38" t="s">
        <v>537</v>
      </c>
      <c r="J38" t="s">
        <v>122</v>
      </c>
      <c r="K38">
        <v>1</v>
      </c>
      <c r="L38" t="s">
        <v>560</v>
      </c>
      <c r="M38">
        <v>25</v>
      </c>
      <c r="N38" s="194">
        <v>44562</v>
      </c>
      <c r="O38" s="194"/>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89">
        <f>TableOUMPTCHPE[[#This Row],[Credit Points]]</f>
        <v>25</v>
      </c>
      <c r="F39">
        <v>12</v>
      </c>
      <c r="G39" t="s">
        <v>539</v>
      </c>
      <c r="H39">
        <v>2</v>
      </c>
      <c r="I39" t="s">
        <v>537</v>
      </c>
      <c r="J39" t="s">
        <v>108</v>
      </c>
      <c r="K39">
        <v>1</v>
      </c>
      <c r="L39" t="s">
        <v>561</v>
      </c>
      <c r="M39">
        <v>25</v>
      </c>
      <c r="N39" s="194">
        <v>42736</v>
      </c>
      <c r="O39" s="194"/>
      <c r="Q39" t="s">
        <v>108</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89">
        <f>TableOUMPTCHPE[[#This Row],[Credit Points]]</f>
        <v>25</v>
      </c>
      <c r="F40">
        <v>13</v>
      </c>
      <c r="G40" t="s">
        <v>539</v>
      </c>
      <c r="H40">
        <v>2</v>
      </c>
      <c r="I40" t="s">
        <v>537</v>
      </c>
      <c r="J40" t="s">
        <v>116</v>
      </c>
      <c r="K40">
        <v>2</v>
      </c>
      <c r="L40" t="s">
        <v>562</v>
      </c>
      <c r="M40">
        <v>25</v>
      </c>
      <c r="N40" s="194">
        <v>45292</v>
      </c>
      <c r="O40" s="194"/>
      <c r="Q40" t="s">
        <v>116</v>
      </c>
      <c r="R40">
        <v>2</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89">
        <f>TableOUMPTCHPE[[#This Row],[Credit Points]]</f>
        <v>25</v>
      </c>
      <c r="F41">
        <v>14</v>
      </c>
      <c r="G41" t="s">
        <v>539</v>
      </c>
      <c r="H41">
        <v>2</v>
      </c>
      <c r="I41" t="s">
        <v>537</v>
      </c>
      <c r="J41" t="s">
        <v>115</v>
      </c>
      <c r="K41">
        <v>1</v>
      </c>
      <c r="L41" t="s">
        <v>563</v>
      </c>
      <c r="M41">
        <v>25</v>
      </c>
      <c r="N41" s="194">
        <v>42736</v>
      </c>
      <c r="O41" s="194"/>
      <c r="Q41" t="s">
        <v>115</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89">
        <f>TableOUMPTCHPE[[#This Row],[Credit Points]]</f>
        <v>25</v>
      </c>
      <c r="F42">
        <v>15</v>
      </c>
      <c r="G42" t="s">
        <v>539</v>
      </c>
      <c r="H42">
        <v>2</v>
      </c>
      <c r="I42" t="s">
        <v>537</v>
      </c>
      <c r="J42" t="s">
        <v>121</v>
      </c>
      <c r="K42">
        <v>1</v>
      </c>
      <c r="L42" t="s">
        <v>564</v>
      </c>
      <c r="M42">
        <v>25</v>
      </c>
      <c r="N42" s="194">
        <v>44562</v>
      </c>
      <c r="O42" s="194"/>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89">
        <f>TableOUMPTCHPE[[#This Row],[Credit Points]]</f>
        <v>25</v>
      </c>
      <c r="F43">
        <v>16</v>
      </c>
      <c r="G43" t="s">
        <v>539</v>
      </c>
      <c r="H43">
        <v>2</v>
      </c>
      <c r="I43" t="s">
        <v>537</v>
      </c>
      <c r="J43" t="s">
        <v>96</v>
      </c>
      <c r="K43">
        <v>1</v>
      </c>
      <c r="L43" t="s">
        <v>565</v>
      </c>
      <c r="M43">
        <v>25</v>
      </c>
      <c r="N43" s="194">
        <v>42736</v>
      </c>
      <c r="O43" s="194"/>
      <c r="Q43" t="s">
        <v>96</v>
      </c>
      <c r="R43">
        <v>1</v>
      </c>
    </row>
    <row r="44" spans="1:18" x14ac:dyDescent="0.25">
      <c r="B44"/>
      <c r="E44"/>
      <c r="F44" s="87"/>
      <c r="G44" s="88" t="s">
        <v>522</v>
      </c>
      <c r="H44" s="258">
        <v>44562</v>
      </c>
      <c r="J44" s="259" t="s">
        <v>132</v>
      </c>
      <c r="K44" s="260" t="s">
        <v>133</v>
      </c>
      <c r="L44" s="119" t="s">
        <v>131</v>
      </c>
      <c r="N44" s="242" t="s">
        <v>524</v>
      </c>
      <c r="O44" s="208">
        <v>45552</v>
      </c>
    </row>
    <row r="45" spans="1:18" x14ac:dyDescent="0.25">
      <c r="A45" t="s">
        <v>0</v>
      </c>
      <c r="B45" s="1" t="s">
        <v>525</v>
      </c>
      <c r="C45" t="s">
        <v>21</v>
      </c>
      <c r="D45" t="s">
        <v>3</v>
      </c>
      <c r="E45" s="89" t="s">
        <v>526</v>
      </c>
      <c r="F45" t="s">
        <v>527</v>
      </c>
      <c r="G45" t="s">
        <v>528</v>
      </c>
      <c r="H45" t="s">
        <v>529</v>
      </c>
      <c r="I45" t="s">
        <v>22</v>
      </c>
      <c r="J45" t="s">
        <v>530</v>
      </c>
      <c r="K45" t="s">
        <v>1</v>
      </c>
      <c r="L45" t="s">
        <v>531</v>
      </c>
      <c r="M45" t="s">
        <v>58</v>
      </c>
      <c r="N45" s="193" t="s">
        <v>532</v>
      </c>
      <c r="O45" s="193" t="s">
        <v>533</v>
      </c>
      <c r="Q45" t="s">
        <v>534</v>
      </c>
      <c r="R45" t="s">
        <v>535</v>
      </c>
    </row>
    <row r="46" spans="1:18" x14ac:dyDescent="0.25">
      <c r="A46" t="str">
        <f>TableOUMPTCHSE[[#This Row],[Study Package Code]]</f>
        <v>EDUC5012</v>
      </c>
      <c r="B46" s="1">
        <f>TableOUMPTCHSE[[#This Row],[Ver]]</f>
        <v>2</v>
      </c>
      <c r="C46" t="str">
        <f>LEFT(TableOUMPTCHSE[[#This Row],[Structure Line]], FIND(" ", TableOUMPTCHSE[[#This Row],[Structure Line]])-1)</f>
        <v>MTPS500</v>
      </c>
      <c r="D46" t="str">
        <f>MID(TableOUMPTCHSE[[#This Row],[Structure Line]],FIND(" ",TableOUMPTCHSE[[#This Row],[Structure Line]])+1,LEN(TableOUMPTCHSE[[#This Row],[Structure Line]]))</f>
        <v>Theories of Development and Learning</v>
      </c>
      <c r="E46" s="89">
        <f>TableOUMPTCHSE[[#This Row],[Credit Points]]</f>
        <v>25</v>
      </c>
      <c r="F46">
        <v>1</v>
      </c>
      <c r="G46" t="s">
        <v>539</v>
      </c>
      <c r="H46">
        <v>1</v>
      </c>
      <c r="I46" t="s">
        <v>537</v>
      </c>
      <c r="J46" t="s">
        <v>75</v>
      </c>
      <c r="K46">
        <v>2</v>
      </c>
      <c r="L46" t="s">
        <v>547</v>
      </c>
      <c r="M46">
        <v>25</v>
      </c>
      <c r="N46" s="194">
        <v>44197</v>
      </c>
      <c r="O46" s="194"/>
      <c r="Q46" t="s">
        <v>75</v>
      </c>
      <c r="R46">
        <v>2</v>
      </c>
    </row>
    <row r="47" spans="1:18" x14ac:dyDescent="0.25">
      <c r="A47" t="str">
        <f>TableOUMPTCHSE[[#This Row],[Study Package Code]]</f>
        <v>EDSC5037</v>
      </c>
      <c r="B47" s="1">
        <f>TableOUMPTCHSE[[#This Row],[Ver]]</f>
        <v>1</v>
      </c>
      <c r="C47" t="str">
        <f>LEFT(TableOUMPTCHSE[[#This Row],[Structure Line]], FIND(" ", TableOUMPTCHSE[[#This Row],[Structure Line]])-1)</f>
        <v>MTS500</v>
      </c>
      <c r="D47" t="str">
        <f>MID(TableOUMPTCHSE[[#This Row],[Structure Line]],FIND(" ",TableOUMPTCHSE[[#This Row],[Structure Line]])+1,LEN(TableOUMPTCHSE[[#This Row],[Structure Line]]))</f>
        <v>Teaching in the Secondary School</v>
      </c>
      <c r="E47" s="89">
        <f>TableOUMPTCHSE[[#This Row],[Credit Points]]</f>
        <v>25</v>
      </c>
      <c r="F47">
        <v>2</v>
      </c>
      <c r="G47" t="s">
        <v>539</v>
      </c>
      <c r="H47">
        <v>1</v>
      </c>
      <c r="I47" t="s">
        <v>537</v>
      </c>
      <c r="J47" t="s">
        <v>281</v>
      </c>
      <c r="K47">
        <v>1</v>
      </c>
      <c r="L47" t="s">
        <v>566</v>
      </c>
      <c r="M47">
        <v>25</v>
      </c>
      <c r="N47" s="194">
        <v>42736</v>
      </c>
      <c r="O47" s="194"/>
      <c r="Q47" t="s">
        <v>281</v>
      </c>
      <c r="R47">
        <v>1</v>
      </c>
    </row>
    <row r="48" spans="1:18" x14ac:dyDescent="0.25">
      <c r="A48" t="str">
        <f>TableOUMPTCHSE[[#This Row],[Study Package Code]]</f>
        <v>EDSC5038</v>
      </c>
      <c r="B48" s="1">
        <f>TableOUMPTCHSE[[#This Row],[Ver]]</f>
        <v>1</v>
      </c>
      <c r="C48" t="str">
        <f>LEFT(TableOUMPTCHSE[[#This Row],[Structure Line]], FIND(" ", TableOUMPTCHSE[[#This Row],[Structure Line]])-1)</f>
        <v>MTS501</v>
      </c>
      <c r="D48" t="str">
        <f>MID(TableOUMPTCHSE[[#This Row],[Structure Line]],FIND(" ",TableOUMPTCHSE[[#This Row],[Structure Line]])+1,LEN(TableOUMPTCHSE[[#This Row],[Structure Line]]))</f>
        <v>Literacy and Numeracy across the Curriculum</v>
      </c>
      <c r="E48" s="89">
        <f>TableOUMPTCHSE[[#This Row],[Credit Points]]</f>
        <v>25</v>
      </c>
      <c r="F48">
        <v>3</v>
      </c>
      <c r="G48" t="s">
        <v>539</v>
      </c>
      <c r="H48">
        <v>1</v>
      </c>
      <c r="I48" t="s">
        <v>537</v>
      </c>
      <c r="J48" t="s">
        <v>282</v>
      </c>
      <c r="K48">
        <v>1</v>
      </c>
      <c r="L48" t="s">
        <v>567</v>
      </c>
      <c r="M48">
        <v>25</v>
      </c>
      <c r="N48" s="194">
        <v>42736</v>
      </c>
      <c r="O48" s="194"/>
      <c r="Q48" t="s">
        <v>282</v>
      </c>
      <c r="R48">
        <v>1</v>
      </c>
    </row>
    <row r="49" spans="1:18" x14ac:dyDescent="0.25">
      <c r="A49" t="str">
        <f>TableOUMPTCHSE[[#This Row],[Study Package Code]]</f>
        <v>EDSC5039</v>
      </c>
      <c r="B49" s="1">
        <f>TableOUMPTCHSE[[#This Row],[Ver]]</f>
        <v>1</v>
      </c>
      <c r="C49" t="str">
        <f>LEFT(TableOUMPTCHSE[[#This Row],[Structure Line]], FIND(" ", TableOUMPTCHSE[[#This Row],[Structure Line]])-1)</f>
        <v>MTS502</v>
      </c>
      <c r="D49" t="str">
        <f>MID(TableOUMPTCHSE[[#This Row],[Structure Line]],FIND(" ",TableOUMPTCHSE[[#This Row],[Structure Line]])+1,LEN(TableOUMPTCHSE[[#This Row],[Structure Line]]))</f>
        <v>Secondary Professional Experience 1: Planning</v>
      </c>
      <c r="E49" s="89">
        <f>TableOUMPTCHSE[[#This Row],[Credit Points]]</f>
        <v>25</v>
      </c>
      <c r="F49">
        <v>4</v>
      </c>
      <c r="G49" t="s">
        <v>539</v>
      </c>
      <c r="H49">
        <v>1</v>
      </c>
      <c r="I49" t="s">
        <v>537</v>
      </c>
      <c r="J49" t="s">
        <v>290</v>
      </c>
      <c r="K49">
        <v>1</v>
      </c>
      <c r="L49" t="s">
        <v>568</v>
      </c>
      <c r="M49">
        <v>25</v>
      </c>
      <c r="N49" s="194">
        <v>42736</v>
      </c>
      <c r="O49" s="194"/>
      <c r="Q49" t="s">
        <v>290</v>
      </c>
      <c r="R49">
        <v>1</v>
      </c>
    </row>
    <row r="50" spans="1:18" x14ac:dyDescent="0.25">
      <c r="A50" t="str">
        <f>TableOUMPTCHSE[[#This Row],[Study Package Code]]</f>
        <v>EDSC5040</v>
      </c>
      <c r="B50" s="1">
        <f>TableOUMPTCHSE[[#This Row],[Ver]]</f>
        <v>1</v>
      </c>
      <c r="C50" t="str">
        <f>LEFT(TableOUMPTCHSE[[#This Row],[Structure Line]], FIND(" ", TableOUMPTCHSE[[#This Row],[Structure Line]])-1)</f>
        <v>MTS503</v>
      </c>
      <c r="D50" t="str">
        <f>MID(TableOUMPTCHSE[[#This Row],[Structure Line]],FIND(" ",TableOUMPTCHSE[[#This Row],[Structure Line]])+1,LEN(TableOUMPTCHSE[[#This Row],[Structure Line]]))</f>
        <v>Managing the Learning Environment</v>
      </c>
      <c r="E50" s="89">
        <f>TableOUMPTCHSE[[#This Row],[Credit Points]]</f>
        <v>25</v>
      </c>
      <c r="F50">
        <v>5</v>
      </c>
      <c r="G50" t="s">
        <v>539</v>
      </c>
      <c r="H50">
        <v>1</v>
      </c>
      <c r="I50" t="s">
        <v>537</v>
      </c>
      <c r="J50" t="s">
        <v>262</v>
      </c>
      <c r="K50">
        <v>1</v>
      </c>
      <c r="L50" t="s">
        <v>569</v>
      </c>
      <c r="M50">
        <v>25</v>
      </c>
      <c r="N50" s="194">
        <v>42736</v>
      </c>
      <c r="O50" s="194"/>
      <c r="Q50" t="s">
        <v>262</v>
      </c>
      <c r="R50">
        <v>1</v>
      </c>
    </row>
    <row r="51" spans="1:18" x14ac:dyDescent="0.25">
      <c r="A51" t="str">
        <f>TableOUMPTCHSE[[#This Row],[Study Package Code]]</f>
        <v>EDSC5051</v>
      </c>
      <c r="B51" s="1">
        <f>TableOUMPTCHSE[[#This Row],[Ver]]</f>
        <v>1</v>
      </c>
      <c r="C51" t="str">
        <f>LEFT(TableOUMPTCHSE[[#This Row],[Structure Line]], FIND(" ", TableOUMPTCHSE[[#This Row],[Structure Line]])-1)</f>
        <v>MTS504</v>
      </c>
      <c r="D51" t="str">
        <f>MID(TableOUMPTCHSE[[#This Row],[Structure Line]],FIND(" ",TableOUMPTCHSE[[#This Row],[Structure Line]])+1,LEN(TableOUMPTCHSE[[#This Row],[Structure Line]]))</f>
        <v>Secondary Professional Experience 2: Assessment and Reporting</v>
      </c>
      <c r="E51" s="89">
        <f>TableOUMPTCHSE[[#This Row],[Credit Points]]</f>
        <v>25</v>
      </c>
      <c r="F51">
        <v>6</v>
      </c>
      <c r="G51" t="s">
        <v>539</v>
      </c>
      <c r="H51">
        <v>1</v>
      </c>
      <c r="I51" t="s">
        <v>537</v>
      </c>
      <c r="J51" t="s">
        <v>294</v>
      </c>
      <c r="K51">
        <v>1</v>
      </c>
      <c r="L51" t="s">
        <v>570</v>
      </c>
      <c r="M51">
        <v>25</v>
      </c>
      <c r="N51" s="194">
        <v>42736</v>
      </c>
      <c r="O51" s="194"/>
      <c r="Q51" t="s">
        <v>294</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89">
        <f>TableOUMPTCHSE[[#This Row],[Credit Points]]</f>
        <v>50</v>
      </c>
      <c r="F52">
        <v>7</v>
      </c>
      <c r="G52" t="s">
        <v>571</v>
      </c>
      <c r="H52">
        <v>1</v>
      </c>
      <c r="I52" t="s">
        <v>537</v>
      </c>
      <c r="J52" t="s">
        <v>498</v>
      </c>
      <c r="K52">
        <v>0</v>
      </c>
      <c r="L52" t="s">
        <v>499</v>
      </c>
      <c r="M52">
        <v>50</v>
      </c>
      <c r="N52" s="194"/>
      <c r="O52" s="194"/>
      <c r="Q52" t="s">
        <v>498</v>
      </c>
      <c r="R52">
        <v>0</v>
      </c>
    </row>
    <row r="53" spans="1:18" x14ac:dyDescent="0.25">
      <c r="A53" t="str">
        <f>TableOUMPTCHSE[[#This Row],[Study Package Code]]</f>
        <v>EDUC6063</v>
      </c>
      <c r="B53" s="1">
        <f>TableOUMPTCHSE[[#This Row],[Ver]]</f>
        <v>1</v>
      </c>
      <c r="C53" t="str">
        <f>LEFT(TableOUMPTCHSE[[#This Row],[Structure Line]], FIND(" ", TableOUMPTCHSE[[#This Row],[Structure Line]])-1)</f>
        <v>MTC600</v>
      </c>
      <c r="D53" t="str">
        <f>MID(TableOUMPTCHSE[[#This Row],[Structure Line]],FIND(" ",TableOUMPTCHSE[[#This Row],[Structure Line]])+1,LEN(TableOUMPTCHSE[[#This Row],[Structure Line]]))</f>
        <v>Professional Experience 3: Using Data to Inform Teaching and Learning</v>
      </c>
      <c r="E53" s="89">
        <f>TableOUMPTCHSE[[#This Row],[Credit Points]]</f>
        <v>25</v>
      </c>
      <c r="F53">
        <v>8</v>
      </c>
      <c r="G53" t="s">
        <v>539</v>
      </c>
      <c r="H53">
        <v>2</v>
      </c>
      <c r="I53" t="s">
        <v>537</v>
      </c>
      <c r="J53" t="s">
        <v>120</v>
      </c>
      <c r="K53">
        <v>1</v>
      </c>
      <c r="L53" t="s">
        <v>548</v>
      </c>
      <c r="M53">
        <v>25</v>
      </c>
      <c r="N53" s="194">
        <v>44562</v>
      </c>
      <c r="O53" s="194"/>
      <c r="Q53" t="s">
        <v>120</v>
      </c>
      <c r="R53">
        <v>1</v>
      </c>
    </row>
    <row r="54" spans="1:18" x14ac:dyDescent="0.25">
      <c r="A54" t="str">
        <f>TableOUMPTCHSE[[#This Row],[Study Package Code]]</f>
        <v>EDUC6065</v>
      </c>
      <c r="B54" s="1">
        <f>TableOUMPTCHSE[[#This Row],[Ver]]</f>
        <v>1</v>
      </c>
      <c r="C54" t="str">
        <f>LEFT(TableOUMPTCHSE[[#This Row],[Structure Line]], FIND(" ", TableOUMPTCHSE[[#This Row],[Structure Line]])-1)</f>
        <v>MTC610</v>
      </c>
      <c r="D54" t="str">
        <f>MID(TableOUMPTCHSE[[#This Row],[Structure Line]],FIND(" ",TableOUMPTCHSE[[#This Row],[Structure Line]])+1,LEN(TableOUMPTCHSE[[#This Row],[Structure Line]]))</f>
        <v>Professional Experience 4: Transition into the Profession</v>
      </c>
      <c r="E54" s="89">
        <f>TableOUMPTCHSE[[#This Row],[Credit Points]]</f>
        <v>25</v>
      </c>
      <c r="F54">
        <v>9</v>
      </c>
      <c r="G54" t="s">
        <v>539</v>
      </c>
      <c r="H54">
        <v>2</v>
      </c>
      <c r="I54" t="s">
        <v>537</v>
      </c>
      <c r="J54" t="s">
        <v>129</v>
      </c>
      <c r="K54">
        <v>1</v>
      </c>
      <c r="L54" t="s">
        <v>549</v>
      </c>
      <c r="M54">
        <v>25</v>
      </c>
      <c r="N54" s="194">
        <v>44562</v>
      </c>
      <c r="O54" s="194"/>
      <c r="Q54" t="s">
        <v>129</v>
      </c>
      <c r="R54">
        <v>1</v>
      </c>
    </row>
    <row r="55" spans="1:18" x14ac:dyDescent="0.25">
      <c r="A55" t="str">
        <f>TableOUMPTCHSE[[#This Row],[Study Package Code]]</f>
        <v>EDUC6067</v>
      </c>
      <c r="B55" s="1">
        <f>TableOUMPTCHSE[[#This Row],[Ver]]</f>
        <v>1</v>
      </c>
      <c r="C55" t="str">
        <f>LEFT(TableOUMPTCHSE[[#This Row],[Structure Line]], FIND(" ", TableOUMPTCHSE[[#This Row],[Structure Line]])-1)</f>
        <v>MTC620</v>
      </c>
      <c r="D55" t="str">
        <f>MID(TableOUMPTCHSE[[#This Row],[Structure Line]],FIND(" ",TableOUMPTCHSE[[#This Row],[Structure Line]])+1,LEN(TableOUMPTCHSE[[#This Row],[Structure Line]]))</f>
        <v>Schooling and Australian Society</v>
      </c>
      <c r="E55" s="89">
        <f>TableOUMPTCHSE[[#This Row],[Credit Points]]</f>
        <v>25</v>
      </c>
      <c r="F55">
        <v>10</v>
      </c>
      <c r="G55" t="s">
        <v>539</v>
      </c>
      <c r="H55">
        <v>2</v>
      </c>
      <c r="I55" t="s">
        <v>537</v>
      </c>
      <c r="J55" t="s">
        <v>122</v>
      </c>
      <c r="K55">
        <v>1</v>
      </c>
      <c r="L55" t="s">
        <v>560</v>
      </c>
      <c r="M55">
        <v>25</v>
      </c>
      <c r="N55" s="194">
        <v>44562</v>
      </c>
      <c r="O55" s="194"/>
      <c r="Q55" t="s">
        <v>122</v>
      </c>
      <c r="R55">
        <v>1</v>
      </c>
    </row>
    <row r="56" spans="1:18" x14ac:dyDescent="0.25">
      <c r="A56" t="str">
        <f>TableOUMPTCHSE[[#This Row],[Study Package Code]]</f>
        <v>EDUC5014</v>
      </c>
      <c r="B56" s="1">
        <f>TableOUMPTCHSE[[#This Row],[Ver]]</f>
        <v>1</v>
      </c>
      <c r="C56" t="str">
        <f>LEFT(TableOUMPTCHSE[[#This Row],[Structure Line]], FIND(" ", TableOUMPTCHSE[[#This Row],[Structure Line]])-1)</f>
        <v>MTPS501</v>
      </c>
      <c r="D56" t="str">
        <f>MID(TableOUMPTCHSE[[#This Row],[Structure Line]],FIND(" ",TableOUMPTCHSE[[#This Row],[Structure Line]])+1,LEN(TableOUMPTCHSE[[#This Row],[Structure Line]]))</f>
        <v>Pedagogies for Diversity</v>
      </c>
      <c r="E56" s="89">
        <f>TableOUMPTCHSE[[#This Row],[Credit Points]]</f>
        <v>25</v>
      </c>
      <c r="F56">
        <v>11</v>
      </c>
      <c r="G56" t="s">
        <v>539</v>
      </c>
      <c r="H56">
        <v>2</v>
      </c>
      <c r="I56" t="s">
        <v>537</v>
      </c>
      <c r="J56" t="s">
        <v>96</v>
      </c>
      <c r="K56">
        <v>1</v>
      </c>
      <c r="L56" t="s">
        <v>565</v>
      </c>
      <c r="M56">
        <v>25</v>
      </c>
      <c r="N56" s="194">
        <v>42736</v>
      </c>
      <c r="O56" s="194"/>
      <c r="Q56" t="s">
        <v>96</v>
      </c>
      <c r="R56">
        <v>1</v>
      </c>
    </row>
    <row r="57" spans="1:18" x14ac:dyDescent="0.25">
      <c r="A57" t="str">
        <f>TableOUMPTCHSE[[#This Row],[Study Package Code]]</f>
        <v>EDUC5017</v>
      </c>
      <c r="B57" s="1">
        <f>TableOUMPTCHSE[[#This Row],[Ver]]</f>
        <v>1</v>
      </c>
      <c r="C57" t="str">
        <f>LEFT(TableOUMPTCHSE[[#This Row],[Structure Line]], FIND(" ", TableOUMPTCHSE[[#This Row],[Structure Line]])-1)</f>
        <v>MTPS504</v>
      </c>
      <c r="D57" t="str">
        <f>MID(TableOUMPTCHSE[[#This Row],[Structure Line]],FIND(" ",TableOUMPTCHSE[[#This Row],[Structure Line]])+1,LEN(TableOUMPTCHSE[[#This Row],[Structure Line]]))</f>
        <v>Creative Technologies</v>
      </c>
      <c r="E57" s="89">
        <f>TableOUMPTCHSE[[#This Row],[Credit Points]]</f>
        <v>25</v>
      </c>
      <c r="F57">
        <v>12</v>
      </c>
      <c r="G57" t="s">
        <v>539</v>
      </c>
      <c r="H57">
        <v>2</v>
      </c>
      <c r="I57" t="s">
        <v>537</v>
      </c>
      <c r="J57" t="s">
        <v>95</v>
      </c>
      <c r="K57">
        <v>1</v>
      </c>
      <c r="L57" t="s">
        <v>555</v>
      </c>
      <c r="M57">
        <v>25</v>
      </c>
      <c r="N57" s="194">
        <v>42736</v>
      </c>
      <c r="O57" s="194"/>
      <c r="Q57" t="s">
        <v>95</v>
      </c>
      <c r="R57">
        <v>1</v>
      </c>
    </row>
    <row r="58" spans="1:18" x14ac:dyDescent="0.25">
      <c r="A58" t="str">
        <f>TableOUMPTCHSE[[#This Row],[Study Package Code]]</f>
        <v>EDSC6001</v>
      </c>
      <c r="B58" s="1">
        <f>TableOUMPTCHSE[[#This Row],[Ver]]</f>
        <v>1</v>
      </c>
      <c r="C58" t="str">
        <f>LEFT(TableOUMPTCHSE[[#This Row],[Structure Line]], FIND(" ", TableOUMPTCHSE[[#This Row],[Structure Line]])-1)</f>
        <v>MTS600</v>
      </c>
      <c r="D58" t="str">
        <f>MID(TableOUMPTCHSE[[#This Row],[Structure Line]],FIND(" ",TableOUMPTCHSE[[#This Row],[Structure Line]])+1,LEN(TableOUMPTCHSE[[#This Row],[Structure Line]]))</f>
        <v>Research-Based Inquiry to Enhance Practice</v>
      </c>
      <c r="E58" s="89">
        <f>TableOUMPTCHSE[[#This Row],[Credit Points]]</f>
        <v>25</v>
      </c>
      <c r="F58">
        <v>13</v>
      </c>
      <c r="G58" t="s">
        <v>539</v>
      </c>
      <c r="H58">
        <v>2</v>
      </c>
      <c r="I58" t="s">
        <v>537</v>
      </c>
      <c r="J58" t="s">
        <v>302</v>
      </c>
      <c r="K58">
        <v>1</v>
      </c>
      <c r="L58" t="s">
        <v>572</v>
      </c>
      <c r="M58">
        <v>25</v>
      </c>
      <c r="N58" s="194">
        <v>44562</v>
      </c>
      <c r="O58" s="194"/>
      <c r="Q58" t="s">
        <v>302</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89">
        <f>TableOUMPTCHSE[[#This Row],[Credit Points]]</f>
        <v>50</v>
      </c>
      <c r="F59">
        <v>14</v>
      </c>
      <c r="G59" t="s">
        <v>571</v>
      </c>
      <c r="H59">
        <v>2</v>
      </c>
      <c r="I59" t="s">
        <v>537</v>
      </c>
      <c r="J59" t="s">
        <v>516</v>
      </c>
      <c r="K59">
        <v>0</v>
      </c>
      <c r="L59" t="s">
        <v>499</v>
      </c>
      <c r="M59">
        <v>50</v>
      </c>
      <c r="N59" s="194"/>
      <c r="O59" s="194"/>
      <c r="Q59" t="s">
        <v>516</v>
      </c>
      <c r="R59">
        <v>0</v>
      </c>
    </row>
    <row r="60" spans="1:18" x14ac:dyDescent="0.25">
      <c r="A60" t="str">
        <f>TableOUMPTCHSE[[#This Row],[Study Package Code]]</f>
        <v>EDSC5041</v>
      </c>
      <c r="B60" s="1">
        <f>TableOUMPTCHSE[[#This Row],[Ver]]</f>
        <v>1</v>
      </c>
      <c r="C60" t="str">
        <f>LEFT(TableOUMPTCHSE[[#This Row],[Structure Line]], FIND(" ", TableOUMPTCHSE[[#This Row],[Structure Line]])-1)</f>
        <v>MTS506</v>
      </c>
      <c r="D60" t="str">
        <f>MID(TableOUMPTCHSE[[#This Row],[Structure Line]],FIND(" ",TableOUMPTCHSE[[#This Row],[Structure Line]])+1,LEN(TableOUMPTCHSE[[#This Row],[Structure Line]]))</f>
        <v>Curriculum and Instruction Lower Secondary: The Arts</v>
      </c>
      <c r="E60" s="89">
        <f>TableOUMPTCHSE[[#This Row],[Credit Points]]</f>
        <v>25</v>
      </c>
      <c r="F60">
        <v>7</v>
      </c>
      <c r="G60" t="s">
        <v>571</v>
      </c>
      <c r="H60">
        <v>1</v>
      </c>
      <c r="I60" t="s">
        <v>537</v>
      </c>
      <c r="J60" t="s">
        <v>315</v>
      </c>
      <c r="K60">
        <v>1</v>
      </c>
      <c r="L60" t="s">
        <v>573</v>
      </c>
      <c r="M60">
        <v>25</v>
      </c>
      <c r="N60" s="194">
        <v>42736</v>
      </c>
      <c r="O60" s="194"/>
      <c r="Q60" t="s">
        <v>315</v>
      </c>
      <c r="R60">
        <v>1</v>
      </c>
    </row>
    <row r="61" spans="1:18" x14ac:dyDescent="0.25">
      <c r="A61" t="str">
        <f>TableOUMPTCHSE[[#This Row],[Study Package Code]]</f>
        <v>EDSC5042</v>
      </c>
      <c r="B61" s="1">
        <f>TableOUMPTCHSE[[#This Row],[Ver]]</f>
        <v>1</v>
      </c>
      <c r="C61" t="str">
        <f>LEFT(TableOUMPTCHSE[[#This Row],[Structure Line]], FIND(" ", TableOUMPTCHSE[[#This Row],[Structure Line]])-1)</f>
        <v>MTS507</v>
      </c>
      <c r="D61" t="str">
        <f>MID(TableOUMPTCHSE[[#This Row],[Structure Line]],FIND(" ",TableOUMPTCHSE[[#This Row],[Structure Line]])+1,LEN(TableOUMPTCHSE[[#This Row],[Structure Line]]))</f>
        <v>Curriculum and Instruction Lower Secondary: English</v>
      </c>
      <c r="E61" s="89">
        <f>TableOUMPTCHSE[[#This Row],[Credit Points]]</f>
        <v>25</v>
      </c>
      <c r="F61">
        <v>7</v>
      </c>
      <c r="G61" t="s">
        <v>571</v>
      </c>
      <c r="H61">
        <v>1</v>
      </c>
      <c r="I61" t="s">
        <v>537</v>
      </c>
      <c r="J61" t="s">
        <v>316</v>
      </c>
      <c r="K61">
        <v>1</v>
      </c>
      <c r="L61" t="s">
        <v>574</v>
      </c>
      <c r="M61">
        <v>25</v>
      </c>
      <c r="N61" s="194">
        <v>42736</v>
      </c>
      <c r="O61" s="194"/>
      <c r="Q61" t="s">
        <v>316</v>
      </c>
      <c r="R61">
        <v>1</v>
      </c>
    </row>
    <row r="62" spans="1:18" x14ac:dyDescent="0.25">
      <c r="A62" t="str">
        <f>TableOUMPTCHSE[[#This Row],[Study Package Code]]</f>
        <v>EDSC5043</v>
      </c>
      <c r="B62" s="1">
        <f>TableOUMPTCHSE[[#This Row],[Ver]]</f>
        <v>1</v>
      </c>
      <c r="C62" t="str">
        <f>LEFT(TableOUMPTCHSE[[#This Row],[Structure Line]], FIND(" ", TableOUMPTCHSE[[#This Row],[Structure Line]])-1)</f>
        <v>MTS508</v>
      </c>
      <c r="D62" t="str">
        <f>MID(TableOUMPTCHSE[[#This Row],[Structure Line]],FIND(" ",TableOUMPTCHSE[[#This Row],[Structure Line]])+1,LEN(TableOUMPTCHSE[[#This Row],[Structure Line]]))</f>
        <v>Curriculum and Instruction Lower Secondary: Humanities and Social Sciences</v>
      </c>
      <c r="E62" s="89">
        <f>TableOUMPTCHSE[[#This Row],[Credit Points]]</f>
        <v>25</v>
      </c>
      <c r="F62">
        <v>7</v>
      </c>
      <c r="G62" t="s">
        <v>571</v>
      </c>
      <c r="H62">
        <v>1</v>
      </c>
      <c r="I62" t="s">
        <v>537</v>
      </c>
      <c r="J62" t="s">
        <v>318</v>
      </c>
      <c r="K62">
        <v>1</v>
      </c>
      <c r="L62" t="s">
        <v>575</v>
      </c>
      <c r="M62">
        <v>25</v>
      </c>
      <c r="N62" s="194">
        <v>42736</v>
      </c>
      <c r="O62" s="194"/>
      <c r="Q62" t="s">
        <v>318</v>
      </c>
      <c r="R62">
        <v>1</v>
      </c>
    </row>
    <row r="63" spans="1:18" x14ac:dyDescent="0.25">
      <c r="A63" t="str">
        <f>TableOUMPTCHSE[[#This Row],[Study Package Code]]</f>
        <v>EDSC5044</v>
      </c>
      <c r="B63" s="1">
        <f>TableOUMPTCHSE[[#This Row],[Ver]]</f>
        <v>1</v>
      </c>
      <c r="C63" t="str">
        <f>LEFT(TableOUMPTCHSE[[#This Row],[Structure Line]], FIND(" ", TableOUMPTCHSE[[#This Row],[Structure Line]])-1)</f>
        <v>MTS509</v>
      </c>
      <c r="D63" t="str">
        <f>MID(TableOUMPTCHSE[[#This Row],[Structure Line]],FIND(" ",TableOUMPTCHSE[[#This Row],[Structure Line]])+1,LEN(TableOUMPTCHSE[[#This Row],[Structure Line]]))</f>
        <v>Curriculum and Instruction Lower Secondary: Mathematics</v>
      </c>
      <c r="E63" s="89">
        <f>TableOUMPTCHSE[[#This Row],[Credit Points]]</f>
        <v>25</v>
      </c>
      <c r="F63">
        <v>7</v>
      </c>
      <c r="G63" t="s">
        <v>571</v>
      </c>
      <c r="H63">
        <v>1</v>
      </c>
      <c r="I63" t="s">
        <v>537</v>
      </c>
      <c r="J63" t="s">
        <v>319</v>
      </c>
      <c r="K63">
        <v>1</v>
      </c>
      <c r="L63" t="s">
        <v>576</v>
      </c>
      <c r="M63">
        <v>25</v>
      </c>
      <c r="N63" s="194">
        <v>42736</v>
      </c>
      <c r="O63" s="194"/>
      <c r="Q63" t="s">
        <v>319</v>
      </c>
      <c r="R63">
        <v>1</v>
      </c>
    </row>
    <row r="64" spans="1:18" x14ac:dyDescent="0.25">
      <c r="A64" t="str">
        <f>TableOUMPTCHSE[[#This Row],[Study Package Code]]</f>
        <v>EDSC5045</v>
      </c>
      <c r="B64" s="1">
        <f>TableOUMPTCHSE[[#This Row],[Ver]]</f>
        <v>1</v>
      </c>
      <c r="C64" t="str">
        <f>LEFT(TableOUMPTCHSE[[#This Row],[Structure Line]], FIND(" ", TableOUMPTCHSE[[#This Row],[Structure Line]])-1)</f>
        <v>MTS510</v>
      </c>
      <c r="D64" t="str">
        <f>MID(TableOUMPTCHSE[[#This Row],[Structure Line]],FIND(" ",TableOUMPTCHSE[[#This Row],[Structure Line]])+1,LEN(TableOUMPTCHSE[[#This Row],[Structure Line]]))</f>
        <v>Curriculum and Instruction Lower Secondary: Science</v>
      </c>
      <c r="E64" s="89">
        <f>TableOUMPTCHSE[[#This Row],[Credit Points]]</f>
        <v>25</v>
      </c>
      <c r="F64">
        <v>7</v>
      </c>
      <c r="G64" t="s">
        <v>571</v>
      </c>
      <c r="H64">
        <v>1</v>
      </c>
      <c r="I64" t="s">
        <v>537</v>
      </c>
      <c r="J64" t="s">
        <v>320</v>
      </c>
      <c r="K64">
        <v>1</v>
      </c>
      <c r="L64" t="s">
        <v>577</v>
      </c>
      <c r="M64">
        <v>25</v>
      </c>
      <c r="N64" s="194">
        <v>42736</v>
      </c>
      <c r="O64" s="194"/>
      <c r="Q64" t="s">
        <v>320</v>
      </c>
      <c r="R64">
        <v>1</v>
      </c>
    </row>
    <row r="65" spans="1:18" x14ac:dyDescent="0.25">
      <c r="A65" t="str">
        <f>TableOUMPTCHSE[[#This Row],[Study Package Code]]</f>
        <v>EDSC5046</v>
      </c>
      <c r="B65" s="1">
        <f>TableOUMPTCHSE[[#This Row],[Ver]]</f>
        <v>2</v>
      </c>
      <c r="C65" t="str">
        <f>LEFT(TableOUMPTCHSE[[#This Row],[Structure Line]], FIND(" ", TableOUMPTCHSE[[#This Row],[Structure Line]])-1)</f>
        <v>MTS511</v>
      </c>
      <c r="D65" t="str">
        <f>MID(TableOUMPTCHSE[[#This Row],[Structure Line]],FIND(" ",TableOUMPTCHSE[[#This Row],[Structure Line]])+1,LEN(TableOUMPTCHSE[[#This Row],[Structure Line]]))</f>
        <v>Curriculum and Instruction Senior Secondary: The Arts</v>
      </c>
      <c r="E65" s="89">
        <f>TableOUMPTCHSE[[#This Row],[Credit Points]]</f>
        <v>25</v>
      </c>
      <c r="F65">
        <v>7</v>
      </c>
      <c r="G65" t="s">
        <v>571</v>
      </c>
      <c r="H65">
        <v>1</v>
      </c>
      <c r="I65" t="s">
        <v>537</v>
      </c>
      <c r="J65" t="s">
        <v>323</v>
      </c>
      <c r="K65">
        <v>2</v>
      </c>
      <c r="L65" t="s">
        <v>578</v>
      </c>
      <c r="M65">
        <v>25</v>
      </c>
      <c r="N65" s="194">
        <v>43831</v>
      </c>
      <c r="O65" s="194"/>
      <c r="Q65" t="s">
        <v>323</v>
      </c>
      <c r="R65">
        <v>2</v>
      </c>
    </row>
    <row r="66" spans="1:18" x14ac:dyDescent="0.25">
      <c r="A66" t="str">
        <f>TableOUMPTCHSE[[#This Row],[Study Package Code]]</f>
        <v>EDSC5048</v>
      </c>
      <c r="B66" s="1">
        <f>TableOUMPTCHSE[[#This Row],[Ver]]</f>
        <v>2</v>
      </c>
      <c r="C66" t="str">
        <f>LEFT(TableOUMPTCHSE[[#This Row],[Structure Line]], FIND(" ", TableOUMPTCHSE[[#This Row],[Structure Line]])-1)</f>
        <v>MTS513</v>
      </c>
      <c r="D66" t="str">
        <f>MID(TableOUMPTCHSE[[#This Row],[Structure Line]],FIND(" ",TableOUMPTCHSE[[#This Row],[Structure Line]])+1,LEN(TableOUMPTCHSE[[#This Row],[Structure Line]]))</f>
        <v>Curriculum and Instruction Senior Secondary: Humanities and Social Sciences</v>
      </c>
      <c r="E66" s="89">
        <f>TableOUMPTCHSE[[#This Row],[Credit Points]]</f>
        <v>25</v>
      </c>
      <c r="F66">
        <v>7</v>
      </c>
      <c r="G66" t="s">
        <v>571</v>
      </c>
      <c r="H66">
        <v>1</v>
      </c>
      <c r="I66" t="s">
        <v>537</v>
      </c>
      <c r="J66" t="s">
        <v>326</v>
      </c>
      <c r="K66">
        <v>2</v>
      </c>
      <c r="L66" t="s">
        <v>579</v>
      </c>
      <c r="M66">
        <v>25</v>
      </c>
      <c r="N66" s="194">
        <v>43831</v>
      </c>
      <c r="O66" s="194"/>
      <c r="Q66" t="s">
        <v>326</v>
      </c>
      <c r="R66">
        <v>2</v>
      </c>
    </row>
    <row r="67" spans="1:18" x14ac:dyDescent="0.25">
      <c r="A67" t="str">
        <f>TableOUMPTCHSE[[#This Row],[Study Package Code]]</f>
        <v>EDSC5049</v>
      </c>
      <c r="B67" s="1">
        <f>TableOUMPTCHSE[[#This Row],[Ver]]</f>
        <v>2</v>
      </c>
      <c r="C67" t="str">
        <f>LEFT(TableOUMPTCHSE[[#This Row],[Structure Line]], FIND(" ", TableOUMPTCHSE[[#This Row],[Structure Line]])-1)</f>
        <v>MTS514</v>
      </c>
      <c r="D67" t="str">
        <f>MID(TableOUMPTCHSE[[#This Row],[Structure Line]],FIND(" ",TableOUMPTCHSE[[#This Row],[Structure Line]])+1,LEN(TableOUMPTCHSE[[#This Row],[Structure Line]]))</f>
        <v>Curriculum and Instruction Senior Secondary: Mathematics</v>
      </c>
      <c r="E67" s="89">
        <f>TableOUMPTCHSE[[#This Row],[Credit Points]]</f>
        <v>25</v>
      </c>
      <c r="F67">
        <v>7</v>
      </c>
      <c r="G67" t="s">
        <v>571</v>
      </c>
      <c r="H67">
        <v>1</v>
      </c>
      <c r="I67" t="s">
        <v>537</v>
      </c>
      <c r="J67" t="s">
        <v>327</v>
      </c>
      <c r="K67">
        <v>2</v>
      </c>
      <c r="L67" t="s">
        <v>580</v>
      </c>
      <c r="M67">
        <v>25</v>
      </c>
      <c r="N67" s="194">
        <v>43831</v>
      </c>
      <c r="O67" s="194"/>
      <c r="Q67" t="s">
        <v>327</v>
      </c>
      <c r="R67">
        <v>2</v>
      </c>
    </row>
    <row r="68" spans="1:18" x14ac:dyDescent="0.25">
      <c r="A68" t="str">
        <f>TableOUMPTCHSE[[#This Row],[Study Package Code]]</f>
        <v>EDSC5050</v>
      </c>
      <c r="B68" s="1">
        <f>TableOUMPTCHSE[[#This Row],[Ver]]</f>
        <v>2</v>
      </c>
      <c r="C68" t="str">
        <f>LEFT(TableOUMPTCHSE[[#This Row],[Structure Line]], FIND(" ", TableOUMPTCHSE[[#This Row],[Structure Line]])-1)</f>
        <v>MTS515</v>
      </c>
      <c r="D68" t="str">
        <f>MID(TableOUMPTCHSE[[#This Row],[Structure Line]],FIND(" ",TableOUMPTCHSE[[#This Row],[Structure Line]])+1,LEN(TableOUMPTCHSE[[#This Row],[Structure Line]]))</f>
        <v>Curriculum and Instruction Senior Secondary: Science</v>
      </c>
      <c r="E68" s="89">
        <f>TableOUMPTCHSE[[#This Row],[Credit Points]]</f>
        <v>25</v>
      </c>
      <c r="F68">
        <v>7</v>
      </c>
      <c r="G68" t="s">
        <v>571</v>
      </c>
      <c r="H68">
        <v>1</v>
      </c>
      <c r="I68" t="s">
        <v>537</v>
      </c>
      <c r="J68" t="s">
        <v>328</v>
      </c>
      <c r="K68">
        <v>2</v>
      </c>
      <c r="L68" t="s">
        <v>581</v>
      </c>
      <c r="M68">
        <v>25</v>
      </c>
      <c r="N68" s="194">
        <v>43831</v>
      </c>
      <c r="O68" s="194"/>
      <c r="Q68" t="s">
        <v>328</v>
      </c>
      <c r="R68">
        <v>2</v>
      </c>
    </row>
    <row r="69" spans="1:18" x14ac:dyDescent="0.25">
      <c r="A69" t="str">
        <f>TableOUMPTCHSE[[#This Row],[Study Package Code]]</f>
        <v>EDSC5054</v>
      </c>
      <c r="B69" s="1">
        <f>TableOUMPTCHSE[[#This Row],[Ver]]</f>
        <v>1</v>
      </c>
      <c r="C69" t="str">
        <f>LEFT(TableOUMPTCHSE[[#This Row],[Structure Line]], FIND(" ", TableOUMPTCHSE[[#This Row],[Structure Line]])-1)</f>
        <v>MTS512</v>
      </c>
      <c r="D69" t="str">
        <f>MID(TableOUMPTCHSE[[#This Row],[Structure Line]],FIND(" ",TableOUMPTCHSE[[#This Row],[Structure Line]])+1,LEN(TableOUMPTCHSE[[#This Row],[Structure Line]]))</f>
        <v>Curriculum and Instruction Senior Secondary: English</v>
      </c>
      <c r="E69" s="89">
        <f>TableOUMPTCHSE[[#This Row],[Credit Points]]</f>
        <v>25</v>
      </c>
      <c r="F69">
        <v>7</v>
      </c>
      <c r="G69" t="s">
        <v>571</v>
      </c>
      <c r="H69">
        <v>1</v>
      </c>
      <c r="I69" t="s">
        <v>537</v>
      </c>
      <c r="J69" t="s">
        <v>324</v>
      </c>
      <c r="K69">
        <v>1</v>
      </c>
      <c r="L69" t="s">
        <v>582</v>
      </c>
      <c r="M69">
        <v>25</v>
      </c>
      <c r="N69" s="194">
        <v>43831</v>
      </c>
      <c r="O69" s="194"/>
      <c r="Q69" t="s">
        <v>324</v>
      </c>
      <c r="R69">
        <v>1</v>
      </c>
    </row>
    <row r="70" spans="1:18" x14ac:dyDescent="0.25">
      <c r="A70" t="str">
        <f>TableOUMPTCHSE[[#This Row],[Study Package Code]]</f>
        <v>EDSC5056</v>
      </c>
      <c r="B70" s="1">
        <f>TableOUMPTCHSE[[#This Row],[Ver]]</f>
        <v>1</v>
      </c>
      <c r="C70" t="str">
        <f>LEFT(TableOUMPTCHSE[[#This Row],[Structure Line]], FIND(" ", TableOUMPTCHSE[[#This Row],[Structure Line]])-1)</f>
        <v>MTS516</v>
      </c>
      <c r="D70" t="str">
        <f>MID(TableOUMPTCHSE[[#This Row],[Structure Line]],FIND(" ",TableOUMPTCHSE[[#This Row],[Structure Line]])+1,LEN(TableOUMPTCHSE[[#This Row],[Structure Line]]))</f>
        <v>Curriculum and Instruction Lower Secondary: Health and Physical Education</v>
      </c>
      <c r="E70" s="89">
        <f>TableOUMPTCHSE[[#This Row],[Credit Points]]</f>
        <v>25</v>
      </c>
      <c r="F70">
        <v>7</v>
      </c>
      <c r="G70" t="s">
        <v>571</v>
      </c>
      <c r="H70">
        <v>1</v>
      </c>
      <c r="I70" t="s">
        <v>537</v>
      </c>
      <c r="J70" t="s">
        <v>317</v>
      </c>
      <c r="K70">
        <v>1</v>
      </c>
      <c r="L70" t="s">
        <v>583</v>
      </c>
      <c r="M70">
        <v>25</v>
      </c>
      <c r="N70" s="194">
        <v>43831</v>
      </c>
      <c r="O70" s="194"/>
      <c r="Q70" t="s">
        <v>317</v>
      </c>
      <c r="R70">
        <v>1</v>
      </c>
    </row>
    <row r="71" spans="1:18" x14ac:dyDescent="0.25">
      <c r="A71" t="str">
        <f>TableOUMPTCHSE[[#This Row],[Study Package Code]]</f>
        <v>EDSC5058</v>
      </c>
      <c r="B71" s="1">
        <f>TableOUMPTCHSE[[#This Row],[Ver]]</f>
        <v>1</v>
      </c>
      <c r="C71" t="str">
        <f>LEFT(TableOUMPTCHSE[[#This Row],[Structure Line]], FIND(" ", TableOUMPTCHSE[[#This Row],[Structure Line]])-1)</f>
        <v>MTS517</v>
      </c>
      <c r="D71" t="str">
        <f>MID(TableOUMPTCHSE[[#This Row],[Structure Line]],FIND(" ",TableOUMPTCHSE[[#This Row],[Structure Line]])+1,LEN(TableOUMPTCHSE[[#This Row],[Structure Line]]))</f>
        <v>Curriculum and Instruction Senior Secondary: Health and Physical Education</v>
      </c>
      <c r="E71" s="89">
        <f>TableOUMPTCHSE[[#This Row],[Credit Points]]</f>
        <v>25</v>
      </c>
      <c r="F71">
        <v>7</v>
      </c>
      <c r="G71" t="s">
        <v>571</v>
      </c>
      <c r="H71">
        <v>1</v>
      </c>
      <c r="I71" t="s">
        <v>537</v>
      </c>
      <c r="J71" t="s">
        <v>325</v>
      </c>
      <c r="K71">
        <v>1</v>
      </c>
      <c r="L71" t="s">
        <v>584</v>
      </c>
      <c r="M71">
        <v>25</v>
      </c>
      <c r="N71" s="194">
        <v>43831</v>
      </c>
      <c r="O71" s="194"/>
      <c r="Q71" t="s">
        <v>325</v>
      </c>
      <c r="R71">
        <v>1</v>
      </c>
    </row>
    <row r="72" spans="1:18" x14ac:dyDescent="0.25">
      <c r="A72" t="str">
        <f>TableOUMPTCHSE[[#This Row],[Study Package Code]]</f>
        <v>EDSC5041</v>
      </c>
      <c r="B72" s="1">
        <f>TableOUMPTCHSE[[#This Row],[Ver]]</f>
        <v>1</v>
      </c>
      <c r="C72" t="str">
        <f>LEFT(TableOUMPTCHSE[[#This Row],[Structure Line]], FIND(" ", TableOUMPTCHSE[[#This Row],[Structure Line]])-1)</f>
        <v>MTS506</v>
      </c>
      <c r="D72" t="str">
        <f>MID(TableOUMPTCHSE[[#This Row],[Structure Line]],FIND(" ",TableOUMPTCHSE[[#This Row],[Structure Line]])+1,LEN(TableOUMPTCHSE[[#This Row],[Structure Line]]))</f>
        <v>Curriculum and Instruction Lower Secondary: The Arts</v>
      </c>
      <c r="E72" s="89">
        <f>TableOUMPTCHSE[[#This Row],[Credit Points]]</f>
        <v>25</v>
      </c>
      <c r="F72">
        <v>14</v>
      </c>
      <c r="G72" t="s">
        <v>571</v>
      </c>
      <c r="H72">
        <v>2</v>
      </c>
      <c r="I72" t="s">
        <v>537</v>
      </c>
      <c r="J72" t="s">
        <v>315</v>
      </c>
      <c r="K72">
        <v>1</v>
      </c>
      <c r="L72" t="s">
        <v>573</v>
      </c>
      <c r="M72">
        <v>25</v>
      </c>
      <c r="N72" s="194">
        <v>42736</v>
      </c>
      <c r="O72" s="194"/>
      <c r="Q72" t="s">
        <v>315</v>
      </c>
      <c r="R72">
        <v>1</v>
      </c>
    </row>
    <row r="73" spans="1:18" x14ac:dyDescent="0.25">
      <c r="A73" t="str">
        <f>TableOUMPTCHSE[[#This Row],[Study Package Code]]</f>
        <v>EDSC5042</v>
      </c>
      <c r="B73" s="1">
        <f>TableOUMPTCHSE[[#This Row],[Ver]]</f>
        <v>1</v>
      </c>
      <c r="C73" t="str">
        <f>LEFT(TableOUMPTCHSE[[#This Row],[Structure Line]], FIND(" ", TableOUMPTCHSE[[#This Row],[Structure Line]])-1)</f>
        <v>MTS507</v>
      </c>
      <c r="D73" t="str">
        <f>MID(TableOUMPTCHSE[[#This Row],[Structure Line]],FIND(" ",TableOUMPTCHSE[[#This Row],[Structure Line]])+1,LEN(TableOUMPTCHSE[[#This Row],[Structure Line]]))</f>
        <v>Curriculum and Instruction Lower Secondary: English</v>
      </c>
      <c r="E73" s="89">
        <f>TableOUMPTCHSE[[#This Row],[Credit Points]]</f>
        <v>25</v>
      </c>
      <c r="F73">
        <v>14</v>
      </c>
      <c r="G73" t="s">
        <v>571</v>
      </c>
      <c r="H73">
        <v>2</v>
      </c>
      <c r="I73" t="s">
        <v>537</v>
      </c>
      <c r="J73" t="s">
        <v>316</v>
      </c>
      <c r="K73">
        <v>1</v>
      </c>
      <c r="L73" t="s">
        <v>574</v>
      </c>
      <c r="M73">
        <v>25</v>
      </c>
      <c r="N73" s="194">
        <v>42736</v>
      </c>
      <c r="O73" s="194"/>
      <c r="Q73" t="s">
        <v>316</v>
      </c>
      <c r="R73">
        <v>1</v>
      </c>
    </row>
    <row r="74" spans="1:18" x14ac:dyDescent="0.25">
      <c r="A74" t="str">
        <f>TableOUMPTCHSE[[#This Row],[Study Package Code]]</f>
        <v>EDSC5043</v>
      </c>
      <c r="B74" s="1">
        <f>TableOUMPTCHSE[[#This Row],[Ver]]</f>
        <v>1</v>
      </c>
      <c r="C74" t="str">
        <f>LEFT(TableOUMPTCHSE[[#This Row],[Structure Line]], FIND(" ", TableOUMPTCHSE[[#This Row],[Structure Line]])-1)</f>
        <v>MTS508</v>
      </c>
      <c r="D74" t="str">
        <f>MID(TableOUMPTCHSE[[#This Row],[Structure Line]],FIND(" ",TableOUMPTCHSE[[#This Row],[Structure Line]])+1,LEN(TableOUMPTCHSE[[#This Row],[Structure Line]]))</f>
        <v>Curriculum and Instruction Lower Secondary: Humanities and Social Sciences</v>
      </c>
      <c r="E74" s="89">
        <f>TableOUMPTCHSE[[#This Row],[Credit Points]]</f>
        <v>25</v>
      </c>
      <c r="F74">
        <v>14</v>
      </c>
      <c r="G74" t="s">
        <v>571</v>
      </c>
      <c r="H74">
        <v>2</v>
      </c>
      <c r="I74" t="s">
        <v>537</v>
      </c>
      <c r="J74" t="s">
        <v>318</v>
      </c>
      <c r="K74">
        <v>1</v>
      </c>
      <c r="L74" t="s">
        <v>575</v>
      </c>
      <c r="M74">
        <v>25</v>
      </c>
      <c r="N74" s="194">
        <v>42736</v>
      </c>
      <c r="O74" s="194"/>
      <c r="Q74" t="s">
        <v>318</v>
      </c>
      <c r="R74">
        <v>1</v>
      </c>
    </row>
    <row r="75" spans="1:18" x14ac:dyDescent="0.25">
      <c r="A75" t="str">
        <f>TableOUMPTCHSE[[#This Row],[Study Package Code]]</f>
        <v>EDSC5044</v>
      </c>
      <c r="B75" s="1">
        <f>TableOUMPTCHSE[[#This Row],[Ver]]</f>
        <v>1</v>
      </c>
      <c r="C75" t="str">
        <f>LEFT(TableOUMPTCHSE[[#This Row],[Structure Line]], FIND(" ", TableOUMPTCHSE[[#This Row],[Structure Line]])-1)</f>
        <v>MTS509</v>
      </c>
      <c r="D75" t="str">
        <f>MID(TableOUMPTCHSE[[#This Row],[Structure Line]],FIND(" ",TableOUMPTCHSE[[#This Row],[Structure Line]])+1,LEN(TableOUMPTCHSE[[#This Row],[Structure Line]]))</f>
        <v>Curriculum and Instruction Lower Secondary: Mathematics</v>
      </c>
      <c r="E75" s="89">
        <f>TableOUMPTCHSE[[#This Row],[Credit Points]]</f>
        <v>25</v>
      </c>
      <c r="F75">
        <v>14</v>
      </c>
      <c r="G75" t="s">
        <v>571</v>
      </c>
      <c r="H75">
        <v>2</v>
      </c>
      <c r="I75" t="s">
        <v>537</v>
      </c>
      <c r="J75" t="s">
        <v>319</v>
      </c>
      <c r="K75">
        <v>1</v>
      </c>
      <c r="L75" t="s">
        <v>576</v>
      </c>
      <c r="M75">
        <v>25</v>
      </c>
      <c r="N75" s="194">
        <v>42736</v>
      </c>
      <c r="O75" s="194"/>
      <c r="Q75" t="s">
        <v>319</v>
      </c>
      <c r="R75">
        <v>1</v>
      </c>
    </row>
    <row r="76" spans="1:18" x14ac:dyDescent="0.25">
      <c r="A76" t="str">
        <f>TableOUMPTCHSE[[#This Row],[Study Package Code]]</f>
        <v>EDSC5045</v>
      </c>
      <c r="B76" s="1">
        <f>TableOUMPTCHSE[[#This Row],[Ver]]</f>
        <v>1</v>
      </c>
      <c r="C76" t="str">
        <f>LEFT(TableOUMPTCHSE[[#This Row],[Structure Line]], FIND(" ", TableOUMPTCHSE[[#This Row],[Structure Line]])-1)</f>
        <v>MTS510</v>
      </c>
      <c r="D76" t="str">
        <f>MID(TableOUMPTCHSE[[#This Row],[Structure Line]],FIND(" ",TableOUMPTCHSE[[#This Row],[Structure Line]])+1,LEN(TableOUMPTCHSE[[#This Row],[Structure Line]]))</f>
        <v>Curriculum and Instruction Lower Secondary: Science</v>
      </c>
      <c r="E76" s="89">
        <f>TableOUMPTCHSE[[#This Row],[Credit Points]]</f>
        <v>25</v>
      </c>
      <c r="F76">
        <v>14</v>
      </c>
      <c r="G76" t="s">
        <v>571</v>
      </c>
      <c r="H76">
        <v>2</v>
      </c>
      <c r="I76" t="s">
        <v>537</v>
      </c>
      <c r="J76" t="s">
        <v>320</v>
      </c>
      <c r="K76">
        <v>1</v>
      </c>
      <c r="L76" t="s">
        <v>577</v>
      </c>
      <c r="M76">
        <v>25</v>
      </c>
      <c r="N76" s="194">
        <v>42736</v>
      </c>
      <c r="O76" s="194"/>
      <c r="Q76" t="s">
        <v>320</v>
      </c>
      <c r="R76">
        <v>1</v>
      </c>
    </row>
    <row r="77" spans="1:18" x14ac:dyDescent="0.25">
      <c r="A77" t="str">
        <f>TableOUMPTCHSE[[#This Row],[Study Package Code]]</f>
        <v>EDSC5046</v>
      </c>
      <c r="B77" s="1">
        <f>TableOUMPTCHSE[[#This Row],[Ver]]</f>
        <v>2</v>
      </c>
      <c r="C77" t="str">
        <f>LEFT(TableOUMPTCHSE[[#This Row],[Structure Line]], FIND(" ", TableOUMPTCHSE[[#This Row],[Structure Line]])-1)</f>
        <v>MTS511</v>
      </c>
      <c r="D77" t="str">
        <f>MID(TableOUMPTCHSE[[#This Row],[Structure Line]],FIND(" ",TableOUMPTCHSE[[#This Row],[Structure Line]])+1,LEN(TableOUMPTCHSE[[#This Row],[Structure Line]]))</f>
        <v>Curriculum and Instruction Senior Secondary: The Arts</v>
      </c>
      <c r="E77" s="89">
        <f>TableOUMPTCHSE[[#This Row],[Credit Points]]</f>
        <v>25</v>
      </c>
      <c r="F77">
        <v>14</v>
      </c>
      <c r="G77" t="s">
        <v>571</v>
      </c>
      <c r="H77">
        <v>2</v>
      </c>
      <c r="I77" t="s">
        <v>537</v>
      </c>
      <c r="J77" t="s">
        <v>323</v>
      </c>
      <c r="K77">
        <v>2</v>
      </c>
      <c r="L77" t="s">
        <v>578</v>
      </c>
      <c r="M77">
        <v>25</v>
      </c>
      <c r="N77" s="194">
        <v>43831</v>
      </c>
      <c r="O77" s="194"/>
      <c r="Q77" t="s">
        <v>323</v>
      </c>
      <c r="R77">
        <v>2</v>
      </c>
    </row>
    <row r="78" spans="1:18" x14ac:dyDescent="0.25">
      <c r="A78" t="str">
        <f>TableOUMPTCHSE[[#This Row],[Study Package Code]]</f>
        <v>EDSC5048</v>
      </c>
      <c r="B78" s="1">
        <f>TableOUMPTCHSE[[#This Row],[Ver]]</f>
        <v>2</v>
      </c>
      <c r="C78" t="str">
        <f>LEFT(TableOUMPTCHSE[[#This Row],[Structure Line]], FIND(" ", TableOUMPTCHSE[[#This Row],[Structure Line]])-1)</f>
        <v>MTS513</v>
      </c>
      <c r="D78" t="str">
        <f>MID(TableOUMPTCHSE[[#This Row],[Structure Line]],FIND(" ",TableOUMPTCHSE[[#This Row],[Structure Line]])+1,LEN(TableOUMPTCHSE[[#This Row],[Structure Line]]))</f>
        <v>Curriculum and Instruction Senior Secondary: Humanities and Social Sciences</v>
      </c>
      <c r="E78" s="89">
        <f>TableOUMPTCHSE[[#This Row],[Credit Points]]</f>
        <v>25</v>
      </c>
      <c r="F78">
        <v>14</v>
      </c>
      <c r="G78" t="s">
        <v>571</v>
      </c>
      <c r="H78">
        <v>2</v>
      </c>
      <c r="I78" t="s">
        <v>537</v>
      </c>
      <c r="J78" t="s">
        <v>326</v>
      </c>
      <c r="K78">
        <v>2</v>
      </c>
      <c r="L78" t="s">
        <v>579</v>
      </c>
      <c r="M78">
        <v>25</v>
      </c>
      <c r="N78" s="194">
        <v>43831</v>
      </c>
      <c r="O78" s="194"/>
      <c r="Q78" t="s">
        <v>326</v>
      </c>
      <c r="R78">
        <v>2</v>
      </c>
    </row>
    <row r="79" spans="1:18" x14ac:dyDescent="0.25">
      <c r="A79" t="str">
        <f>TableOUMPTCHSE[[#This Row],[Study Package Code]]</f>
        <v>EDSC5049</v>
      </c>
      <c r="B79" s="1">
        <f>TableOUMPTCHSE[[#This Row],[Ver]]</f>
        <v>2</v>
      </c>
      <c r="C79" t="str">
        <f>LEFT(TableOUMPTCHSE[[#This Row],[Structure Line]], FIND(" ", TableOUMPTCHSE[[#This Row],[Structure Line]])-1)</f>
        <v>MTS514</v>
      </c>
      <c r="D79" t="str">
        <f>MID(TableOUMPTCHSE[[#This Row],[Structure Line]],FIND(" ",TableOUMPTCHSE[[#This Row],[Structure Line]])+1,LEN(TableOUMPTCHSE[[#This Row],[Structure Line]]))</f>
        <v>Curriculum and Instruction Senior Secondary: Mathematics</v>
      </c>
      <c r="E79" s="89">
        <f>TableOUMPTCHSE[[#This Row],[Credit Points]]</f>
        <v>25</v>
      </c>
      <c r="F79">
        <v>14</v>
      </c>
      <c r="G79" t="s">
        <v>571</v>
      </c>
      <c r="H79">
        <v>2</v>
      </c>
      <c r="I79" t="s">
        <v>537</v>
      </c>
      <c r="J79" t="s">
        <v>327</v>
      </c>
      <c r="K79">
        <v>2</v>
      </c>
      <c r="L79" t="s">
        <v>580</v>
      </c>
      <c r="M79">
        <v>25</v>
      </c>
      <c r="N79" s="194">
        <v>43831</v>
      </c>
      <c r="O79" s="194"/>
      <c r="Q79" t="s">
        <v>327</v>
      </c>
      <c r="R79">
        <v>2</v>
      </c>
    </row>
    <row r="80" spans="1:18" x14ac:dyDescent="0.25">
      <c r="A80" t="str">
        <f>TableOUMPTCHSE[[#This Row],[Study Package Code]]</f>
        <v>EDSC5050</v>
      </c>
      <c r="B80" s="1">
        <f>TableOUMPTCHSE[[#This Row],[Ver]]</f>
        <v>2</v>
      </c>
      <c r="C80" t="str">
        <f>LEFT(TableOUMPTCHSE[[#This Row],[Structure Line]], FIND(" ", TableOUMPTCHSE[[#This Row],[Structure Line]])-1)</f>
        <v>MTS515</v>
      </c>
      <c r="D80" t="str">
        <f>MID(TableOUMPTCHSE[[#This Row],[Structure Line]],FIND(" ",TableOUMPTCHSE[[#This Row],[Structure Line]])+1,LEN(TableOUMPTCHSE[[#This Row],[Structure Line]]))</f>
        <v>Curriculum and Instruction Senior Secondary: Science</v>
      </c>
      <c r="E80" s="89">
        <f>TableOUMPTCHSE[[#This Row],[Credit Points]]</f>
        <v>25</v>
      </c>
      <c r="F80">
        <v>14</v>
      </c>
      <c r="G80" t="s">
        <v>571</v>
      </c>
      <c r="H80">
        <v>2</v>
      </c>
      <c r="I80" t="s">
        <v>537</v>
      </c>
      <c r="J80" t="s">
        <v>328</v>
      </c>
      <c r="K80">
        <v>2</v>
      </c>
      <c r="L80" t="s">
        <v>581</v>
      </c>
      <c r="M80">
        <v>25</v>
      </c>
      <c r="N80" s="194">
        <v>43831</v>
      </c>
      <c r="O80" s="194"/>
      <c r="Q80" t="s">
        <v>328</v>
      </c>
      <c r="R80">
        <v>2</v>
      </c>
    </row>
    <row r="81" spans="1:18" x14ac:dyDescent="0.25">
      <c r="A81" t="str">
        <f>TableOUMPTCHSE[[#This Row],[Study Package Code]]</f>
        <v>EDSC5054</v>
      </c>
      <c r="B81" s="1">
        <f>TableOUMPTCHSE[[#This Row],[Ver]]</f>
        <v>1</v>
      </c>
      <c r="C81" t="str">
        <f>LEFT(TableOUMPTCHSE[[#This Row],[Structure Line]], FIND(" ", TableOUMPTCHSE[[#This Row],[Structure Line]])-1)</f>
        <v>MTS512</v>
      </c>
      <c r="D81" t="str">
        <f>MID(TableOUMPTCHSE[[#This Row],[Structure Line]],FIND(" ",TableOUMPTCHSE[[#This Row],[Structure Line]])+1,LEN(TableOUMPTCHSE[[#This Row],[Structure Line]]))</f>
        <v>Curriculum and Instruction Senior Secondary: English</v>
      </c>
      <c r="E81" s="89">
        <f>TableOUMPTCHSE[[#This Row],[Credit Points]]</f>
        <v>25</v>
      </c>
      <c r="F81">
        <v>14</v>
      </c>
      <c r="G81" t="s">
        <v>571</v>
      </c>
      <c r="H81">
        <v>2</v>
      </c>
      <c r="I81" t="s">
        <v>537</v>
      </c>
      <c r="J81" t="s">
        <v>324</v>
      </c>
      <c r="K81">
        <v>1</v>
      </c>
      <c r="L81" t="s">
        <v>582</v>
      </c>
      <c r="M81">
        <v>25</v>
      </c>
      <c r="N81" s="194">
        <v>43831</v>
      </c>
      <c r="O81" s="194"/>
      <c r="Q81" t="s">
        <v>324</v>
      </c>
      <c r="R81">
        <v>1</v>
      </c>
    </row>
    <row r="82" spans="1:18" x14ac:dyDescent="0.25">
      <c r="A82" t="str">
        <f>TableOUMPTCHSE[[#This Row],[Study Package Code]]</f>
        <v>EDSC5056</v>
      </c>
      <c r="B82" s="1">
        <f>TableOUMPTCHSE[[#This Row],[Ver]]</f>
        <v>1</v>
      </c>
      <c r="C82" t="str">
        <f>LEFT(TableOUMPTCHSE[[#This Row],[Structure Line]], FIND(" ", TableOUMPTCHSE[[#This Row],[Structure Line]])-1)</f>
        <v>MTS516</v>
      </c>
      <c r="D82" t="str">
        <f>MID(TableOUMPTCHSE[[#This Row],[Structure Line]],FIND(" ",TableOUMPTCHSE[[#This Row],[Structure Line]])+1,LEN(TableOUMPTCHSE[[#This Row],[Structure Line]]))</f>
        <v>Curriculum and Instruction Lower Secondary: Health and Physical Education</v>
      </c>
      <c r="E82" s="89">
        <f>TableOUMPTCHSE[[#This Row],[Credit Points]]</f>
        <v>25</v>
      </c>
      <c r="F82">
        <v>14</v>
      </c>
      <c r="G82" t="s">
        <v>571</v>
      </c>
      <c r="H82">
        <v>2</v>
      </c>
      <c r="I82" t="s">
        <v>537</v>
      </c>
      <c r="J82" t="s">
        <v>317</v>
      </c>
      <c r="K82">
        <v>1</v>
      </c>
      <c r="L82" t="s">
        <v>583</v>
      </c>
      <c r="M82">
        <v>25</v>
      </c>
      <c r="N82" s="194">
        <v>43831</v>
      </c>
      <c r="O82" s="194"/>
      <c r="Q82" t="s">
        <v>317</v>
      </c>
      <c r="R82">
        <v>1</v>
      </c>
    </row>
    <row r="83" spans="1:18" x14ac:dyDescent="0.25">
      <c r="A83" t="str">
        <f>TableOUMPTCHSE[[#This Row],[Study Package Code]]</f>
        <v>EDSC5058</v>
      </c>
      <c r="B83" s="1">
        <f>TableOUMPTCHSE[[#This Row],[Ver]]</f>
        <v>1</v>
      </c>
      <c r="C83" t="str">
        <f>LEFT(TableOUMPTCHSE[[#This Row],[Structure Line]], FIND(" ", TableOUMPTCHSE[[#This Row],[Structure Line]])-1)</f>
        <v>MTS517</v>
      </c>
      <c r="D83" t="str">
        <f>MID(TableOUMPTCHSE[[#This Row],[Structure Line]],FIND(" ",TableOUMPTCHSE[[#This Row],[Structure Line]])+1,LEN(TableOUMPTCHSE[[#This Row],[Structure Line]]))</f>
        <v>Curriculum and Instruction Senior Secondary: Health and Physical Education</v>
      </c>
      <c r="E83" s="89">
        <f>TableOUMPTCHSE[[#This Row],[Credit Points]]</f>
        <v>25</v>
      </c>
      <c r="F83">
        <v>14</v>
      </c>
      <c r="G83" t="s">
        <v>571</v>
      </c>
      <c r="H83">
        <v>2</v>
      </c>
      <c r="I83" t="s">
        <v>537</v>
      </c>
      <c r="J83" t="s">
        <v>325</v>
      </c>
      <c r="K83">
        <v>1</v>
      </c>
      <c r="L83" t="s">
        <v>584</v>
      </c>
      <c r="M83">
        <v>25</v>
      </c>
      <c r="N83" s="194">
        <v>43831</v>
      </c>
      <c r="O83" s="194"/>
      <c r="Q83" t="s">
        <v>325</v>
      </c>
      <c r="R83">
        <v>1</v>
      </c>
    </row>
    <row r="84" spans="1:18" x14ac:dyDescent="0.25">
      <c r="A84" t="str">
        <f>TableOUMPTCHSE[[#This Row],[Study Package Code]]</f>
        <v>EDSC5060</v>
      </c>
      <c r="B84" s="1">
        <f>TableOUMPTCHSE[[#This Row],[Ver]]</f>
        <v>1</v>
      </c>
      <c r="C84" t="str">
        <f>LEFT(TableOUMPTCHSE[[#This Row],[Structure Line]], FIND(" ", TableOUMPTCHSE[[#This Row],[Structure Line]])-1)</f>
        <v>MTS520</v>
      </c>
      <c r="D84" t="str">
        <f>MID(TableOUMPTCHSE[[#This Row],[Structure Line]],FIND(" ",TableOUMPTCHSE[[#This Row],[Structure Line]])+1,LEN(TableOUMPTCHSE[[#This Row],[Structure Line]]))</f>
        <v>Integrated Practice in the Secondary School</v>
      </c>
      <c r="E84" s="89">
        <f>TableOUMPTCHSE[[#This Row],[Credit Points]]</f>
        <v>25</v>
      </c>
      <c r="F84">
        <v>14</v>
      </c>
      <c r="G84" t="s">
        <v>571</v>
      </c>
      <c r="H84">
        <v>2</v>
      </c>
      <c r="I84" t="s">
        <v>537</v>
      </c>
      <c r="J84" t="s">
        <v>333</v>
      </c>
      <c r="K84">
        <v>1</v>
      </c>
      <c r="L84" t="s">
        <v>585</v>
      </c>
      <c r="M84">
        <v>25</v>
      </c>
      <c r="N84" s="194">
        <v>44562</v>
      </c>
      <c r="O84" s="194"/>
      <c r="Q84" t="s">
        <v>333</v>
      </c>
      <c r="R84">
        <v>1</v>
      </c>
    </row>
    <row r="85" spans="1:18" x14ac:dyDescent="0.25">
      <c r="A85" t="str">
        <f>TableOUMPTCHSE[[#This Row],[Study Package Code]]</f>
        <v>EDUC5034</v>
      </c>
      <c r="B85" s="1">
        <f>TableOUMPTCHSE[[#This Row],[Ver]]</f>
        <v>1</v>
      </c>
      <c r="C85" t="str">
        <f>LEFT(TableOUMPTCHSE[[#This Row],[Structure Line]], FIND(" ", TableOUMPTCHSE[[#This Row],[Structure Line]])-1)</f>
        <v>MTC520</v>
      </c>
      <c r="D85" t="str">
        <f>MID(TableOUMPTCHSE[[#This Row],[Structure Line]],FIND(" ",TableOUMPTCHSE[[#This Row],[Structure Line]])+1,LEN(TableOUMPTCHSE[[#This Row],[Structure Line]]))</f>
        <v>Mentoring, Coaching and Tutoring</v>
      </c>
      <c r="E85" s="89">
        <f>TableOUMPTCHSE[[#This Row],[Credit Points]]</f>
        <v>25</v>
      </c>
      <c r="F85">
        <v>14</v>
      </c>
      <c r="G85" t="s">
        <v>571</v>
      </c>
      <c r="H85">
        <v>2</v>
      </c>
      <c r="I85" t="s">
        <v>537</v>
      </c>
      <c r="J85" t="s">
        <v>263</v>
      </c>
      <c r="K85">
        <v>1</v>
      </c>
      <c r="L85" t="s">
        <v>586</v>
      </c>
      <c r="M85">
        <v>25</v>
      </c>
      <c r="N85" s="194">
        <v>44562</v>
      </c>
      <c r="O85" s="194"/>
      <c r="Q85" t="s">
        <v>263</v>
      </c>
      <c r="R85">
        <v>1</v>
      </c>
    </row>
    <row r="86" spans="1:18" x14ac:dyDescent="0.25">
      <c r="B86"/>
      <c r="E86"/>
    </row>
    <row r="87" spans="1:18" x14ac:dyDescent="0.25">
      <c r="B87"/>
      <c r="E87"/>
      <c r="F87" s="87"/>
      <c r="G87" s="88" t="s">
        <v>522</v>
      </c>
      <c r="H87" s="258">
        <v>43647</v>
      </c>
      <c r="J87" s="259" t="s">
        <v>109</v>
      </c>
      <c r="K87" s="260" t="s">
        <v>71</v>
      </c>
      <c r="L87" s="119" t="s">
        <v>42</v>
      </c>
      <c r="N87" s="242" t="s">
        <v>524</v>
      </c>
      <c r="O87" s="208">
        <v>45552</v>
      </c>
    </row>
    <row r="88" spans="1:18" x14ac:dyDescent="0.25">
      <c r="A88" t="s">
        <v>0</v>
      </c>
      <c r="B88" s="1" t="s">
        <v>525</v>
      </c>
      <c r="C88" t="s">
        <v>21</v>
      </c>
      <c r="D88" t="s">
        <v>3</v>
      </c>
      <c r="E88" s="89" t="s">
        <v>526</v>
      </c>
      <c r="F88" t="s">
        <v>527</v>
      </c>
      <c r="G88" t="s">
        <v>528</v>
      </c>
      <c r="H88" t="s">
        <v>529</v>
      </c>
      <c r="I88" t="s">
        <v>22</v>
      </c>
      <c r="J88" t="s">
        <v>530</v>
      </c>
      <c r="K88" t="s">
        <v>1</v>
      </c>
      <c r="L88" t="s">
        <v>531</v>
      </c>
      <c r="M88" t="s">
        <v>58</v>
      </c>
      <c r="N88" s="193" t="s">
        <v>532</v>
      </c>
      <c r="O88" s="193" t="s">
        <v>533</v>
      </c>
      <c r="Q88" t="s">
        <v>534</v>
      </c>
      <c r="R88" t="s">
        <v>535</v>
      </c>
    </row>
    <row r="89" spans="1:18" x14ac:dyDescent="0.25">
      <c r="A89" t="str">
        <f>TableOMAPLING[[#This Row],[Study Package Code]]</f>
        <v>EDUC6036</v>
      </c>
      <c r="B89" s="1">
        <f>TableOMAPLING[[#This Row],[Ver]]</f>
        <v>2</v>
      </c>
      <c r="C89" t="str">
        <f>LEFT(TableOMAPLING[[#This Row],[Structure Line]], FIND(" ", TableOMAPLING[[#This Row],[Structure Line]])-1)</f>
        <v>EDMC502</v>
      </c>
      <c r="D89" t="str">
        <f>MID(TableOMAPLING[[#This Row],[Structure Line]],FIND(" ",TableOMAPLING[[#This Row],[Structure Line]])+1,LEN(TableOMAPLING[[#This Row],[Structure Line]]))</f>
        <v>Negotiated Capstone Project</v>
      </c>
      <c r="E89" s="89">
        <f>TableOMAPLING[[#This Row],[Credit Points]]</f>
        <v>50</v>
      </c>
      <c r="F89">
        <v>1</v>
      </c>
      <c r="G89" t="s">
        <v>539</v>
      </c>
      <c r="H89">
        <v>1</v>
      </c>
      <c r="I89" t="s">
        <v>537</v>
      </c>
      <c r="J89" t="s">
        <v>178</v>
      </c>
      <c r="K89">
        <v>2</v>
      </c>
      <c r="L89" t="s">
        <v>587</v>
      </c>
      <c r="M89">
        <v>50</v>
      </c>
      <c r="N89" s="194">
        <v>44562</v>
      </c>
      <c r="O89" s="194"/>
      <c r="Q89" t="s">
        <v>178</v>
      </c>
      <c r="R89">
        <v>2</v>
      </c>
    </row>
    <row r="90" spans="1:18" x14ac:dyDescent="0.25">
      <c r="A90" t="str">
        <f>TableOMAPLING[[#This Row],[Study Package Code]]</f>
        <v>LING6009</v>
      </c>
      <c r="B90" s="1">
        <f>TableOMAPLING[[#This Row],[Ver]]</f>
        <v>1</v>
      </c>
      <c r="C90" t="str">
        <f>LEFT(TableOMAPLING[[#This Row],[Structure Line]], FIND(" ", TableOMAPLING[[#This Row],[Structure Line]])-1)</f>
        <v>EDML500</v>
      </c>
      <c r="D90" t="str">
        <f>MID(TableOMAPLING[[#This Row],[Structure Line]],FIND(" ",TableOMAPLING[[#This Row],[Structure Line]])+1,LEN(TableOMAPLING[[#This Row],[Structure Line]]))</f>
        <v>Language Acquisition</v>
      </c>
      <c r="E90" s="89">
        <f>TableOMAPLING[[#This Row],[Credit Points]]</f>
        <v>25</v>
      </c>
      <c r="F90">
        <v>2</v>
      </c>
      <c r="G90" t="s">
        <v>539</v>
      </c>
      <c r="H90">
        <v>1</v>
      </c>
      <c r="I90" t="s">
        <v>537</v>
      </c>
      <c r="J90" t="s">
        <v>230</v>
      </c>
      <c r="K90">
        <v>1</v>
      </c>
      <c r="L90" t="s">
        <v>588</v>
      </c>
      <c r="M90">
        <v>25</v>
      </c>
      <c r="N90" s="194">
        <v>42552</v>
      </c>
      <c r="O90" s="194"/>
      <c r="Q90" t="s">
        <v>230</v>
      </c>
      <c r="R90">
        <v>1</v>
      </c>
    </row>
    <row r="91" spans="1:18" x14ac:dyDescent="0.25">
      <c r="A91" t="str">
        <f>TableOMAPLING[[#This Row],[Study Package Code]]</f>
        <v>EDUC6026</v>
      </c>
      <c r="B91" s="1">
        <f>TableOMAPLING[[#This Row],[Ver]]</f>
        <v>2</v>
      </c>
      <c r="C91" t="str">
        <f>LEFT(TableOMAPLING[[#This Row],[Structure Line]], FIND(" ", TableOMAPLING[[#This Row],[Structure Line]])-1)</f>
        <v>EDML501</v>
      </c>
      <c r="D91" t="str">
        <f>MID(TableOMAPLING[[#This Row],[Structure Line]],FIND(" ",TableOMAPLING[[#This Row],[Structure Line]])+1,LEN(TableOMAPLING[[#This Row],[Structure Line]]))</f>
        <v>Language Teaching Methodologies</v>
      </c>
      <c r="E91" s="89">
        <f>TableOMAPLING[[#This Row],[Credit Points]]</f>
        <v>25</v>
      </c>
      <c r="F91">
        <v>3</v>
      </c>
      <c r="G91" t="s">
        <v>539</v>
      </c>
      <c r="H91">
        <v>1</v>
      </c>
      <c r="I91" t="s">
        <v>537</v>
      </c>
      <c r="J91" t="s">
        <v>170</v>
      </c>
      <c r="K91">
        <v>2</v>
      </c>
      <c r="L91" t="s">
        <v>589</v>
      </c>
      <c r="M91">
        <v>25</v>
      </c>
      <c r="N91" s="194">
        <v>44562</v>
      </c>
      <c r="O91" s="194"/>
      <c r="Q91" t="s">
        <v>170</v>
      </c>
      <c r="R91">
        <v>2</v>
      </c>
    </row>
    <row r="92" spans="1:18" x14ac:dyDescent="0.25">
      <c r="A92" t="str">
        <f>TableOMAPLING[[#This Row],[Study Package Code]]</f>
        <v>LING6008</v>
      </c>
      <c r="B92" s="1">
        <f>TableOMAPLING[[#This Row],[Ver]]</f>
        <v>1</v>
      </c>
      <c r="C92" t="str">
        <f>LEFT(TableOMAPLING[[#This Row],[Structure Line]], FIND(" ", TableOMAPLING[[#This Row],[Structure Line]])-1)</f>
        <v>EDML502</v>
      </c>
      <c r="D92" t="str">
        <f>MID(TableOMAPLING[[#This Row],[Structure Line]],FIND(" ",TableOMAPLING[[#This Row],[Structure Line]])+1,LEN(TableOMAPLING[[#This Row],[Structure Line]]))</f>
        <v>Language in Society</v>
      </c>
      <c r="E92" s="89">
        <f>TableOMAPLING[[#This Row],[Credit Points]]</f>
        <v>25</v>
      </c>
      <c r="F92">
        <v>4</v>
      </c>
      <c r="G92" t="s">
        <v>539</v>
      </c>
      <c r="H92">
        <v>1</v>
      </c>
      <c r="I92" t="s">
        <v>537</v>
      </c>
      <c r="J92" t="s">
        <v>179</v>
      </c>
      <c r="K92">
        <v>1</v>
      </c>
      <c r="L92" t="s">
        <v>590</v>
      </c>
      <c r="M92">
        <v>25</v>
      </c>
      <c r="N92" s="194">
        <v>42736</v>
      </c>
      <c r="O92" s="194"/>
      <c r="Q92" t="s">
        <v>179</v>
      </c>
      <c r="R92">
        <v>1</v>
      </c>
    </row>
    <row r="93" spans="1:18" x14ac:dyDescent="0.25">
      <c r="A93" t="str">
        <f>TableOMAPLING[[#This Row],[Study Package Code]]</f>
        <v>EDUC6028</v>
      </c>
      <c r="B93" s="1">
        <f>TableOMAPLING[[#This Row],[Ver]]</f>
        <v>1</v>
      </c>
      <c r="C93" t="str">
        <f>LEFT(TableOMAPLING[[#This Row],[Structure Line]], FIND(" ", TableOMAPLING[[#This Row],[Structure Line]])-1)</f>
        <v>EDML503</v>
      </c>
      <c r="D93" t="str">
        <f>MID(TableOMAPLING[[#This Row],[Structure Line]],FIND(" ",TableOMAPLING[[#This Row],[Structure Line]])+1,LEN(TableOMAPLING[[#This Row],[Structure Line]]))</f>
        <v>Language Teaching Course Design and Assessment</v>
      </c>
      <c r="E93" s="89">
        <f>TableOMAPLING[[#This Row],[Credit Points]]</f>
        <v>25</v>
      </c>
      <c r="F93">
        <v>5</v>
      </c>
      <c r="G93" t="s">
        <v>539</v>
      </c>
      <c r="H93">
        <v>1</v>
      </c>
      <c r="I93" t="s">
        <v>537</v>
      </c>
      <c r="J93" t="s">
        <v>231</v>
      </c>
      <c r="K93">
        <v>1</v>
      </c>
      <c r="L93" t="s">
        <v>591</v>
      </c>
      <c r="M93">
        <v>25</v>
      </c>
      <c r="N93" s="194">
        <v>42736</v>
      </c>
      <c r="O93" s="194"/>
      <c r="Q93" t="s">
        <v>231</v>
      </c>
      <c r="R93">
        <v>1</v>
      </c>
    </row>
    <row r="94" spans="1:18" x14ac:dyDescent="0.25">
      <c r="A94" t="str">
        <f>TableOMAPLING[[#This Row],[Study Package Code]]</f>
        <v>EDUC6042</v>
      </c>
      <c r="B94" s="1">
        <f>TableOMAPLING[[#This Row],[Ver]]</f>
        <v>1</v>
      </c>
      <c r="C94" t="str">
        <f>LEFT(TableOMAPLING[[#This Row],[Structure Line]], FIND(" ", TableOMAPLING[[#This Row],[Structure Line]])-1)</f>
        <v>EDML540</v>
      </c>
      <c r="D94" t="str">
        <f>MID(TableOMAPLING[[#This Row],[Structure Line]],FIND(" ",TableOMAPLING[[#This Row],[Structure Line]])+1,LEN(TableOMAPLING[[#This Row],[Structure Line]]))</f>
        <v>Special Topics in Applied Linguistics</v>
      </c>
      <c r="E94" s="89">
        <f>TableOMAPLING[[#This Row],[Credit Points]]</f>
        <v>25</v>
      </c>
      <c r="F94">
        <v>6</v>
      </c>
      <c r="G94" t="s">
        <v>539</v>
      </c>
      <c r="H94">
        <v>1</v>
      </c>
      <c r="I94" t="s">
        <v>537</v>
      </c>
      <c r="J94" t="s">
        <v>226</v>
      </c>
      <c r="K94">
        <v>1</v>
      </c>
      <c r="L94" t="s">
        <v>592</v>
      </c>
      <c r="M94">
        <v>25</v>
      </c>
      <c r="N94" s="194">
        <v>43647</v>
      </c>
      <c r="O94" s="194"/>
      <c r="Q94" t="s">
        <v>226</v>
      </c>
      <c r="R94">
        <v>1</v>
      </c>
    </row>
    <row r="95" spans="1:18" x14ac:dyDescent="0.25">
      <c r="A95" t="str">
        <f>TableOMAPLING[[#This Row],[Study Package Code]]</f>
        <v>EDUC6043</v>
      </c>
      <c r="B95" s="1">
        <f>TableOMAPLING[[#This Row],[Ver]]</f>
        <v>1</v>
      </c>
      <c r="C95" t="str">
        <f>LEFT(TableOMAPLING[[#This Row],[Structure Line]], FIND(" ", TableOMAPLING[[#This Row],[Structure Line]])-1)</f>
        <v>EDML550</v>
      </c>
      <c r="D95" t="str">
        <f>MID(TableOMAPLING[[#This Row],[Structure Line]],FIND(" ",TableOMAPLING[[#This Row],[Structure Line]])+1,LEN(TableOMAPLING[[#This Row],[Structure Line]]))</f>
        <v>Research Methods in Applied Linguistics</v>
      </c>
      <c r="E95" s="89">
        <f>TableOMAPLING[[#This Row],[Credit Points]]</f>
        <v>25</v>
      </c>
      <c r="F95">
        <v>7</v>
      </c>
      <c r="G95" t="s">
        <v>539</v>
      </c>
      <c r="H95">
        <v>1</v>
      </c>
      <c r="I95" t="s">
        <v>537</v>
      </c>
      <c r="J95" t="s">
        <v>225</v>
      </c>
      <c r="K95">
        <v>1</v>
      </c>
      <c r="L95" t="s">
        <v>593</v>
      </c>
      <c r="M95">
        <v>25</v>
      </c>
      <c r="N95" s="194">
        <v>43647</v>
      </c>
      <c r="O95" s="194"/>
      <c r="Q95" t="s">
        <v>225</v>
      </c>
      <c r="R95">
        <v>1</v>
      </c>
    </row>
    <row r="96" spans="1:18" x14ac:dyDescent="0.25">
      <c r="B96"/>
      <c r="E96"/>
      <c r="F96" s="87"/>
      <c r="G96" s="88" t="s">
        <v>522</v>
      </c>
      <c r="H96" s="258">
        <v>44197</v>
      </c>
      <c r="J96" s="259" t="s">
        <v>94</v>
      </c>
      <c r="K96" s="260" t="s">
        <v>71</v>
      </c>
      <c r="L96" s="119" t="s">
        <v>93</v>
      </c>
      <c r="N96" s="242" t="s">
        <v>524</v>
      </c>
      <c r="O96" s="208">
        <v>45552</v>
      </c>
    </row>
    <row r="97" spans="1:18" x14ac:dyDescent="0.25">
      <c r="A97" t="s">
        <v>0</v>
      </c>
      <c r="B97" s="1" t="s">
        <v>525</v>
      </c>
      <c r="C97" t="s">
        <v>21</v>
      </c>
      <c r="D97" t="s">
        <v>3</v>
      </c>
      <c r="E97" s="89" t="s">
        <v>526</v>
      </c>
      <c r="F97" t="s">
        <v>527</v>
      </c>
      <c r="G97" t="s">
        <v>528</v>
      </c>
      <c r="H97" t="s">
        <v>529</v>
      </c>
      <c r="I97" t="s">
        <v>22</v>
      </c>
      <c r="J97" t="s">
        <v>530</v>
      </c>
      <c r="K97" t="s">
        <v>1</v>
      </c>
      <c r="L97" t="s">
        <v>531</v>
      </c>
      <c r="M97" t="s">
        <v>58</v>
      </c>
      <c r="N97" s="193" t="s">
        <v>532</v>
      </c>
      <c r="O97" s="193" t="s">
        <v>533</v>
      </c>
      <c r="Q97" t="s">
        <v>534</v>
      </c>
      <c r="R97" t="s">
        <v>535</v>
      </c>
    </row>
    <row r="98" spans="1:18" x14ac:dyDescent="0.25">
      <c r="A98" t="str">
        <f>TableOCTESOL1[[#This Row],[Study Package Code]]</f>
        <v>EDUC5024</v>
      </c>
      <c r="B98" s="1">
        <f>TableOCTESOL1[[#This Row],[Ver]]</f>
        <v>1</v>
      </c>
      <c r="C98" t="str">
        <f>LEFT(TableOCTESOL1[[#This Row],[Structure Line]], FIND(" ", TableOCTESOL1[[#This Row],[Structure Line]])-1)</f>
        <v>TESOL502</v>
      </c>
      <c r="D98" t="str">
        <f>MID(TableOCTESOL1[[#This Row],[Structure Line]],FIND(" ",TableOCTESOL1[[#This Row],[Structure Line]])+1,LEN(TableOCTESOL1[[#This Row],[Structure Line]]))</f>
        <v>Teaching English to Speakers of Other Languages Methodologies</v>
      </c>
      <c r="E98" s="89">
        <f>TableOCTESOL1[[#This Row],[Credit Points]]</f>
        <v>25</v>
      </c>
      <c r="F98">
        <v>1</v>
      </c>
      <c r="G98" t="s">
        <v>539</v>
      </c>
      <c r="H98">
        <v>1</v>
      </c>
      <c r="I98" t="s">
        <v>537</v>
      </c>
      <c r="J98" t="s">
        <v>223</v>
      </c>
      <c r="K98">
        <v>1</v>
      </c>
      <c r="L98" t="s">
        <v>594</v>
      </c>
      <c r="M98">
        <v>25</v>
      </c>
      <c r="N98" s="194">
        <v>42736</v>
      </c>
      <c r="O98" s="194"/>
      <c r="Q98" t="s">
        <v>223</v>
      </c>
      <c r="R98">
        <v>1</v>
      </c>
    </row>
    <row r="99" spans="1:18" x14ac:dyDescent="0.25">
      <c r="A99" t="str">
        <f>TableOCTESOL1[[#This Row],[Study Package Code]]</f>
        <v>EDUC5020</v>
      </c>
      <c r="B99" s="1">
        <f>TableOCTESOL1[[#This Row],[Ver]]</f>
        <v>1</v>
      </c>
      <c r="C99" t="str">
        <f>LEFT(TableOCTESOL1[[#This Row],[Structure Line]], FIND(" ", TableOCTESOL1[[#This Row],[Structure Line]])-1)</f>
        <v>TESOL503</v>
      </c>
      <c r="D99" t="str">
        <f>MID(TableOCTESOL1[[#This Row],[Structure Line]],FIND(" ",TableOCTESOL1[[#This Row],[Structure Line]])+1,LEN(TableOCTESOL1[[#This Row],[Structure Line]]))</f>
        <v>Introduction to Language</v>
      </c>
      <c r="E99" s="89">
        <f>TableOCTESOL1[[#This Row],[Credit Points]]</f>
        <v>25</v>
      </c>
      <c r="F99">
        <v>2</v>
      </c>
      <c r="G99" t="s">
        <v>539</v>
      </c>
      <c r="H99">
        <v>1</v>
      </c>
      <c r="I99" t="s">
        <v>537</v>
      </c>
      <c r="J99" t="s">
        <v>224</v>
      </c>
      <c r="K99">
        <v>1</v>
      </c>
      <c r="L99" t="s">
        <v>595</v>
      </c>
      <c r="M99">
        <v>25</v>
      </c>
      <c r="N99" s="194">
        <v>42736</v>
      </c>
      <c r="O99" s="194"/>
      <c r="Q99" t="s">
        <v>224</v>
      </c>
      <c r="R99">
        <v>1</v>
      </c>
    </row>
    <row r="100" spans="1:18" x14ac:dyDescent="0.25">
      <c r="A100" t="str">
        <f>TableOCTESOL1[[#This Row],[Study Package Code]]</f>
        <v>EDUC5026</v>
      </c>
      <c r="B100" s="1">
        <f>TableOCTESOL1[[#This Row],[Ver]]</f>
        <v>1</v>
      </c>
      <c r="C100" t="str">
        <f>LEFT(TableOCTESOL1[[#This Row],[Structure Line]], FIND(" ", TableOCTESOL1[[#This Row],[Structure Line]])-1)</f>
        <v>TESOL504</v>
      </c>
      <c r="D100" t="str">
        <f>MID(TableOCTESOL1[[#This Row],[Structure Line]],FIND(" ",TableOCTESOL1[[#This Row],[Structure Line]])+1,LEN(TableOCTESOL1[[#This Row],[Structure Line]]))</f>
        <v>Transcultural Communication</v>
      </c>
      <c r="E100" s="89">
        <f>TableOCTESOL1[[#This Row],[Credit Points]]</f>
        <v>25</v>
      </c>
      <c r="F100">
        <v>3</v>
      </c>
      <c r="G100" t="s">
        <v>539</v>
      </c>
      <c r="H100">
        <v>1</v>
      </c>
      <c r="I100" t="s">
        <v>537</v>
      </c>
      <c r="J100" t="s">
        <v>229</v>
      </c>
      <c r="K100">
        <v>1</v>
      </c>
      <c r="L100" t="s">
        <v>596</v>
      </c>
      <c r="M100">
        <v>25</v>
      </c>
      <c r="N100" s="194">
        <v>42736</v>
      </c>
      <c r="O100" s="194"/>
      <c r="Q100" t="s">
        <v>229</v>
      </c>
      <c r="R100">
        <v>1</v>
      </c>
    </row>
    <row r="101" spans="1:18" x14ac:dyDescent="0.25">
      <c r="A101" t="str">
        <f>TableOCTESOL1[[#This Row],[Study Package Code]]</f>
        <v>AC-TESOL</v>
      </c>
      <c r="B101" s="1">
        <f>TableOCTESOL1[[#This Row],[Ver]]</f>
        <v>0</v>
      </c>
      <c r="D101" t="str">
        <f>TableOCTESOL1[[#This Row],[Structure Line]]</f>
        <v>Choose TESOL501 or TESOL505</v>
      </c>
      <c r="E101" s="89">
        <f>TableOCTESOL1[[#This Row],[Credit Points]]</f>
        <v>25</v>
      </c>
      <c r="F101">
        <v>4</v>
      </c>
      <c r="G101" t="s">
        <v>536</v>
      </c>
      <c r="H101">
        <v>1</v>
      </c>
      <c r="I101" t="s">
        <v>537</v>
      </c>
      <c r="J101" t="s">
        <v>228</v>
      </c>
      <c r="K101">
        <v>0</v>
      </c>
      <c r="L101" t="s">
        <v>597</v>
      </c>
      <c r="M101">
        <v>25</v>
      </c>
      <c r="N101" s="194"/>
      <c r="O101" s="194"/>
      <c r="Q101" t="s">
        <v>598</v>
      </c>
      <c r="R101">
        <v>0</v>
      </c>
    </row>
    <row r="102" spans="1:18" x14ac:dyDescent="0.25">
      <c r="A102" t="str">
        <f>TableOCTESOL1[[#This Row],[Study Package Code]]</f>
        <v>EDUC5022</v>
      </c>
      <c r="B102" s="1">
        <f>TableOCTESOL1[[#This Row],[Ver]]</f>
        <v>1</v>
      </c>
      <c r="C102" t="str">
        <f>LEFT(TableOCTESOL1[[#This Row],[Structure Line]], FIND(" ", TableOCTESOL1[[#This Row],[Structure Line]])-1)</f>
        <v>TESOL501</v>
      </c>
      <c r="D102" t="str">
        <f>MID(TableOCTESOL1[[#This Row],[Structure Line]],FIND(" ",TableOCTESOL1[[#This Row],[Structure Line]])+1,LEN(TableOCTESOL1[[#This Row],[Structure Line]]))</f>
        <v>Materials Design and Assessment</v>
      </c>
      <c r="E102" s="89">
        <f>TableOCTESOL1[[#This Row],[Credit Points]]</f>
        <v>25</v>
      </c>
      <c r="F102">
        <v>4</v>
      </c>
      <c r="G102" t="s">
        <v>536</v>
      </c>
      <c r="H102">
        <v>1</v>
      </c>
      <c r="I102" t="s">
        <v>537</v>
      </c>
      <c r="J102" t="s">
        <v>239</v>
      </c>
      <c r="K102">
        <v>1</v>
      </c>
      <c r="L102" t="s">
        <v>599</v>
      </c>
      <c r="M102">
        <v>25</v>
      </c>
      <c r="N102" s="194">
        <v>42736</v>
      </c>
      <c r="O102" s="194"/>
      <c r="Q102" t="s">
        <v>239</v>
      </c>
      <c r="R102">
        <v>1</v>
      </c>
    </row>
    <row r="103" spans="1:18" x14ac:dyDescent="0.25">
      <c r="A103" t="str">
        <f>TableOCTESOL1[[#This Row],[Study Package Code]]</f>
        <v>EDUC5029</v>
      </c>
      <c r="B103" s="1">
        <f>TableOCTESOL1[[#This Row],[Ver]]</f>
        <v>2</v>
      </c>
      <c r="C103" t="str">
        <f>LEFT(TableOCTESOL1[[#This Row],[Structure Line]], FIND(" ", TableOCTESOL1[[#This Row],[Structure Line]])-1)</f>
        <v>TESOL505</v>
      </c>
      <c r="D103" t="str">
        <f>MID(TableOCTESOL1[[#This Row],[Structure Line]],FIND(" ",TableOCTESOL1[[#This Row],[Structure Line]])+1,LEN(TableOCTESOL1[[#This Row],[Structure Line]]))</f>
        <v>Language Teaching Practice</v>
      </c>
      <c r="E103" s="89">
        <f>TableOCTESOL1[[#This Row],[Credit Points]]</f>
        <v>25</v>
      </c>
      <c r="F103">
        <v>4</v>
      </c>
      <c r="G103" t="s">
        <v>536</v>
      </c>
      <c r="H103">
        <v>1</v>
      </c>
      <c r="I103" t="s">
        <v>537</v>
      </c>
      <c r="J103" t="s">
        <v>242</v>
      </c>
      <c r="K103">
        <v>2</v>
      </c>
      <c r="L103" t="s">
        <v>600</v>
      </c>
      <c r="M103">
        <v>25</v>
      </c>
      <c r="N103" s="194">
        <v>44562</v>
      </c>
      <c r="O103" s="194"/>
      <c r="Q103" t="s">
        <v>242</v>
      </c>
      <c r="R103">
        <v>2</v>
      </c>
    </row>
    <row r="104" spans="1:18" x14ac:dyDescent="0.25">
      <c r="B104"/>
      <c r="E104"/>
      <c r="F104" s="87"/>
      <c r="G104" s="88" t="s">
        <v>522</v>
      </c>
      <c r="H104" s="258">
        <v>42736</v>
      </c>
      <c r="J104" s="259" t="s">
        <v>97</v>
      </c>
      <c r="K104" s="260" t="s">
        <v>98</v>
      </c>
      <c r="L104" s="119" t="s">
        <v>43</v>
      </c>
      <c r="N104" s="242" t="s">
        <v>524</v>
      </c>
      <c r="O104" s="208">
        <v>45552</v>
      </c>
    </row>
    <row r="105" spans="1:18" x14ac:dyDescent="0.25">
      <c r="A105" t="s">
        <v>0</v>
      </c>
      <c r="B105" s="1" t="s">
        <v>525</v>
      </c>
      <c r="C105" t="s">
        <v>21</v>
      </c>
      <c r="D105" t="s">
        <v>3</v>
      </c>
      <c r="E105" s="89" t="s">
        <v>526</v>
      </c>
      <c r="F105" t="s">
        <v>527</v>
      </c>
      <c r="G105" t="s">
        <v>528</v>
      </c>
      <c r="H105" t="s">
        <v>529</v>
      </c>
      <c r="I105" t="s">
        <v>22</v>
      </c>
      <c r="J105" t="s">
        <v>530</v>
      </c>
      <c r="K105" t="s">
        <v>1</v>
      </c>
      <c r="L105" t="s">
        <v>531</v>
      </c>
      <c r="M105" t="s">
        <v>58</v>
      </c>
      <c r="N105" s="193" t="s">
        <v>532</v>
      </c>
      <c r="O105" s="193" t="s">
        <v>533</v>
      </c>
      <c r="Q105" t="s">
        <v>534</v>
      </c>
      <c r="R105" t="s">
        <v>535</v>
      </c>
    </row>
    <row r="106" spans="1:18" x14ac:dyDescent="0.25">
      <c r="A106" t="str">
        <f>TableOCTESOL[[#This Row],[Study Package Code]]</f>
        <v>AC-TESOL</v>
      </c>
      <c r="B106" s="1">
        <f>TableOCTESOL[[#This Row],[Ver]]</f>
        <v>0</v>
      </c>
      <c r="D106" t="str">
        <f>TableOCTESOL[[#This Row],[Structure Line]]</f>
        <v>Choose TESOL501 or TESOL505</v>
      </c>
      <c r="E106" s="89">
        <f>TableOCTESOL[[#This Row],[Credit Points]]</f>
        <v>25</v>
      </c>
      <c r="F106">
        <v>1</v>
      </c>
      <c r="G106" t="s">
        <v>536</v>
      </c>
      <c r="H106">
        <v>0</v>
      </c>
      <c r="I106" t="s">
        <v>537</v>
      </c>
      <c r="J106" t="s">
        <v>228</v>
      </c>
      <c r="K106">
        <v>0</v>
      </c>
      <c r="L106" t="s">
        <v>597</v>
      </c>
      <c r="M106">
        <v>25</v>
      </c>
      <c r="N106" s="194"/>
      <c r="O106" s="194"/>
      <c r="Q106" t="s">
        <v>598</v>
      </c>
      <c r="R106">
        <v>0</v>
      </c>
    </row>
    <row r="107" spans="1:18" x14ac:dyDescent="0.25">
      <c r="A107" t="str">
        <f>TableOCTESOL[[#This Row],[Study Package Code]]</f>
        <v>EDUC5024</v>
      </c>
      <c r="B107" s="1">
        <f>TableOCTESOL[[#This Row],[Ver]]</f>
        <v>1</v>
      </c>
      <c r="C107" t="str">
        <f>LEFT(TableOCTESOL[[#This Row],[Structure Line]], FIND(" ", TableOCTESOL[[#This Row],[Structure Line]])-1)</f>
        <v>TESOL502</v>
      </c>
      <c r="D107" t="str">
        <f>MID(TableOCTESOL[[#This Row],[Structure Line]],FIND(" ",TableOCTESOL[[#This Row],[Structure Line]])+1,LEN(TableOCTESOL[[#This Row],[Structure Line]]))</f>
        <v>Teaching English to Speakers of Other Languages Methodologies</v>
      </c>
      <c r="E107" s="89">
        <f>TableOCTESOL[[#This Row],[Credit Points]]</f>
        <v>25</v>
      </c>
      <c r="F107">
        <v>2</v>
      </c>
      <c r="G107" t="s">
        <v>539</v>
      </c>
      <c r="H107">
        <v>0</v>
      </c>
      <c r="I107" t="s">
        <v>537</v>
      </c>
      <c r="J107" t="s">
        <v>223</v>
      </c>
      <c r="K107">
        <v>1</v>
      </c>
      <c r="L107" t="s">
        <v>594</v>
      </c>
      <c r="M107">
        <v>25</v>
      </c>
      <c r="N107" s="194">
        <v>42736</v>
      </c>
      <c r="O107" s="194"/>
      <c r="Q107" t="s">
        <v>223</v>
      </c>
      <c r="R107">
        <v>1</v>
      </c>
    </row>
    <row r="108" spans="1:18" x14ac:dyDescent="0.25">
      <c r="A108" t="str">
        <f>TableOCTESOL[[#This Row],[Study Package Code]]</f>
        <v>EDUC5020</v>
      </c>
      <c r="B108" s="1">
        <f>TableOCTESOL[[#This Row],[Ver]]</f>
        <v>1</v>
      </c>
      <c r="C108" t="str">
        <f>LEFT(TableOCTESOL[[#This Row],[Structure Line]], FIND(" ", TableOCTESOL[[#This Row],[Structure Line]])-1)</f>
        <v>TESOL503</v>
      </c>
      <c r="D108" t="str">
        <f>MID(TableOCTESOL[[#This Row],[Structure Line]],FIND(" ",TableOCTESOL[[#This Row],[Structure Line]])+1,LEN(TableOCTESOL[[#This Row],[Structure Line]]))</f>
        <v>Introduction to Language</v>
      </c>
      <c r="E108" s="89">
        <f>TableOCTESOL[[#This Row],[Credit Points]]</f>
        <v>25</v>
      </c>
      <c r="F108">
        <v>3</v>
      </c>
      <c r="G108" t="s">
        <v>539</v>
      </c>
      <c r="H108">
        <v>0</v>
      </c>
      <c r="I108" t="s">
        <v>537</v>
      </c>
      <c r="J108" t="s">
        <v>224</v>
      </c>
      <c r="K108">
        <v>1</v>
      </c>
      <c r="L108" t="s">
        <v>595</v>
      </c>
      <c r="M108">
        <v>25</v>
      </c>
      <c r="N108" s="194">
        <v>42736</v>
      </c>
      <c r="O108" s="194"/>
      <c r="Q108" t="s">
        <v>224</v>
      </c>
      <c r="R108">
        <v>1</v>
      </c>
    </row>
    <row r="109" spans="1:18" x14ac:dyDescent="0.25">
      <c r="A109" t="str">
        <f>TableOCTESOL[[#This Row],[Study Package Code]]</f>
        <v>EDUC5026</v>
      </c>
      <c r="B109" s="1">
        <f>TableOCTESOL[[#This Row],[Ver]]</f>
        <v>1</v>
      </c>
      <c r="C109" t="str">
        <f>LEFT(TableOCTESOL[[#This Row],[Structure Line]], FIND(" ", TableOCTESOL[[#This Row],[Structure Line]])-1)</f>
        <v>TESOL504</v>
      </c>
      <c r="D109" t="str">
        <f>MID(TableOCTESOL[[#This Row],[Structure Line]],FIND(" ",TableOCTESOL[[#This Row],[Structure Line]])+1,LEN(TableOCTESOL[[#This Row],[Structure Line]]))</f>
        <v>Transcultural Communication</v>
      </c>
      <c r="E109" s="89">
        <f>TableOCTESOL[[#This Row],[Credit Points]]</f>
        <v>25</v>
      </c>
      <c r="F109">
        <v>4</v>
      </c>
      <c r="G109" t="s">
        <v>539</v>
      </c>
      <c r="H109">
        <v>0</v>
      </c>
      <c r="I109" t="s">
        <v>537</v>
      </c>
      <c r="J109" t="s">
        <v>229</v>
      </c>
      <c r="K109">
        <v>1</v>
      </c>
      <c r="L109" t="s">
        <v>596</v>
      </c>
      <c r="M109">
        <v>25</v>
      </c>
      <c r="N109" s="194">
        <v>42736</v>
      </c>
      <c r="O109" s="194"/>
      <c r="Q109" t="s">
        <v>229</v>
      </c>
      <c r="R109">
        <v>1</v>
      </c>
    </row>
    <row r="110" spans="1:18" x14ac:dyDescent="0.25">
      <c r="A110" t="str">
        <f>TableOCTESOL[[#This Row],[Study Package Code]]</f>
        <v>EDUC5022</v>
      </c>
      <c r="B110" s="1">
        <f>TableOCTESOL[[#This Row],[Ver]]</f>
        <v>1</v>
      </c>
      <c r="C110" t="str">
        <f>LEFT(TableOCTESOL[[#This Row],[Structure Line]], FIND(" ", TableOCTESOL[[#This Row],[Structure Line]])-1)</f>
        <v>TESOL501</v>
      </c>
      <c r="D110" t="str">
        <f>MID(TableOCTESOL[[#This Row],[Structure Line]],FIND(" ",TableOCTESOL[[#This Row],[Structure Line]])+1,LEN(TableOCTESOL[[#This Row],[Structure Line]]))</f>
        <v>Materials Design and Assessment</v>
      </c>
      <c r="E110" s="89">
        <f>TableOCTESOL[[#This Row],[Credit Points]]</f>
        <v>25</v>
      </c>
      <c r="F110">
        <v>1</v>
      </c>
      <c r="G110" t="s">
        <v>536</v>
      </c>
      <c r="H110">
        <v>0</v>
      </c>
      <c r="I110" t="s">
        <v>537</v>
      </c>
      <c r="J110" t="s">
        <v>239</v>
      </c>
      <c r="K110">
        <v>1</v>
      </c>
      <c r="L110" t="s">
        <v>599</v>
      </c>
      <c r="M110">
        <v>25</v>
      </c>
      <c r="N110" s="194">
        <v>42736</v>
      </c>
      <c r="O110" s="194"/>
      <c r="Q110" t="s">
        <v>239</v>
      </c>
      <c r="R110">
        <v>1</v>
      </c>
    </row>
    <row r="111" spans="1:18" x14ac:dyDescent="0.25">
      <c r="A111" t="str">
        <f>TableOCTESOL[[#This Row],[Study Package Code]]</f>
        <v>EDUC5029</v>
      </c>
      <c r="B111" s="1">
        <f>TableOCTESOL[[#This Row],[Ver]]</f>
        <v>2</v>
      </c>
      <c r="C111" t="str">
        <f>LEFT(TableOCTESOL[[#This Row],[Structure Line]], FIND(" ", TableOCTESOL[[#This Row],[Structure Line]])-1)</f>
        <v>TESOL505</v>
      </c>
      <c r="D111" t="str">
        <f>MID(TableOCTESOL[[#This Row],[Structure Line]],FIND(" ",TableOCTESOL[[#This Row],[Structure Line]])+1,LEN(TableOCTESOL[[#This Row],[Structure Line]]))</f>
        <v>Language Teaching Practice</v>
      </c>
      <c r="E111" s="89">
        <f>TableOCTESOL[[#This Row],[Credit Points]]</f>
        <v>25</v>
      </c>
      <c r="F111">
        <v>1</v>
      </c>
      <c r="G111" t="s">
        <v>536</v>
      </c>
      <c r="H111">
        <v>0</v>
      </c>
      <c r="I111" t="s">
        <v>537</v>
      </c>
      <c r="J111" t="s">
        <v>242</v>
      </c>
      <c r="K111">
        <v>2</v>
      </c>
      <c r="L111" t="s">
        <v>600</v>
      </c>
      <c r="M111">
        <v>25</v>
      </c>
      <c r="N111" s="194">
        <v>44562</v>
      </c>
      <c r="O111" s="194"/>
      <c r="Q111" t="s">
        <v>242</v>
      </c>
      <c r="R111">
        <v>2</v>
      </c>
    </row>
    <row r="113" spans="1:18" x14ac:dyDescent="0.25">
      <c r="B113"/>
      <c r="E113"/>
      <c r="F113" s="87"/>
      <c r="G113" s="88" t="s">
        <v>522</v>
      </c>
      <c r="H113" s="258">
        <v>44562</v>
      </c>
      <c r="J113" s="259" t="s">
        <v>117</v>
      </c>
      <c r="K113" s="260" t="s">
        <v>98</v>
      </c>
      <c r="L113" s="119" t="s">
        <v>37</v>
      </c>
      <c r="N113" s="242" t="s">
        <v>524</v>
      </c>
      <c r="O113" s="208">
        <v>45552</v>
      </c>
    </row>
    <row r="114" spans="1:18" x14ac:dyDescent="0.25">
      <c r="A114" t="s">
        <v>0</v>
      </c>
      <c r="B114" s="1" t="s">
        <v>525</v>
      </c>
      <c r="C114" t="s">
        <v>21</v>
      </c>
      <c r="D114" t="s">
        <v>3</v>
      </c>
      <c r="E114" s="89" t="s">
        <v>526</v>
      </c>
      <c r="F114" t="s">
        <v>527</v>
      </c>
      <c r="G114" t="s">
        <v>528</v>
      </c>
      <c r="H114" t="s">
        <v>529</v>
      </c>
      <c r="I114" t="s">
        <v>22</v>
      </c>
      <c r="J114" t="s">
        <v>530</v>
      </c>
      <c r="K114" t="s">
        <v>1</v>
      </c>
      <c r="L114" t="s">
        <v>531</v>
      </c>
      <c r="M114" t="s">
        <v>58</v>
      </c>
      <c r="N114" s="193" t="s">
        <v>532</v>
      </c>
      <c r="O114" s="193" t="s">
        <v>533</v>
      </c>
      <c r="Q114" t="s">
        <v>534</v>
      </c>
      <c r="R114" t="s">
        <v>535</v>
      </c>
    </row>
    <row r="115" spans="1:18" x14ac:dyDescent="0.25">
      <c r="A115" t="str">
        <f>TableOMEDUC[[#This Row],[Study Package Code]]</f>
        <v>EDUC6034</v>
      </c>
      <c r="B115" s="1">
        <f>TableOMEDUC[[#This Row],[Ver]]</f>
        <v>2</v>
      </c>
      <c r="C115" t="str">
        <f>LEFT(TableOMEDUC[[#This Row],[Structure Line]], FIND(" ", TableOMEDUC[[#This Row],[Structure Line]])-1)</f>
        <v>EDMC500</v>
      </c>
      <c r="D115" t="str">
        <f>MID(TableOMEDUC[[#This Row],[Structure Line]],FIND(" ",TableOMEDUC[[#This Row],[Structure Line]])+1,LEN(TableOMEDUC[[#This Row],[Structure Line]]))</f>
        <v>Perspectives on Educational Research</v>
      </c>
      <c r="E115" s="89">
        <f>TableOMEDUC[[#This Row],[Credit Points]]</f>
        <v>25</v>
      </c>
      <c r="F115">
        <v>1</v>
      </c>
      <c r="G115" t="s">
        <v>539</v>
      </c>
      <c r="H115">
        <v>1</v>
      </c>
      <c r="I115" t="s">
        <v>537</v>
      </c>
      <c r="J115" t="s">
        <v>162</v>
      </c>
      <c r="K115">
        <v>2</v>
      </c>
      <c r="L115" t="s">
        <v>601</v>
      </c>
      <c r="M115">
        <v>25</v>
      </c>
      <c r="N115" s="194">
        <v>44562</v>
      </c>
      <c r="O115" s="194"/>
      <c r="Q115" t="s">
        <v>162</v>
      </c>
      <c r="R115">
        <v>2</v>
      </c>
    </row>
    <row r="116" spans="1:18" x14ac:dyDescent="0.25">
      <c r="A116" t="str">
        <f>TableOMEDUC[[#This Row],[Study Package Code]]</f>
        <v>EDUC6036</v>
      </c>
      <c r="B116" s="1">
        <f>TableOMEDUC[[#This Row],[Ver]]</f>
        <v>2</v>
      </c>
      <c r="C116" t="str">
        <f>LEFT(TableOMEDUC[[#This Row],[Structure Line]], FIND(" ", TableOMEDUC[[#This Row],[Structure Line]])-1)</f>
        <v>EDMC502</v>
      </c>
      <c r="D116" t="str">
        <f>MID(TableOMEDUC[[#This Row],[Structure Line]],FIND(" ",TableOMEDUC[[#This Row],[Structure Line]])+1,LEN(TableOMEDUC[[#This Row],[Structure Line]]))</f>
        <v>Negotiated Capstone Project</v>
      </c>
      <c r="E116" s="89">
        <f>TableOMEDUC[[#This Row],[Credit Points]]</f>
        <v>50</v>
      </c>
      <c r="F116">
        <v>2</v>
      </c>
      <c r="G116" t="s">
        <v>539</v>
      </c>
      <c r="H116">
        <v>1</v>
      </c>
      <c r="I116" t="s">
        <v>537</v>
      </c>
      <c r="J116" t="s">
        <v>178</v>
      </c>
      <c r="K116">
        <v>2</v>
      </c>
      <c r="L116" t="s">
        <v>587</v>
      </c>
      <c r="M116">
        <v>50</v>
      </c>
      <c r="N116" s="194">
        <v>44562</v>
      </c>
      <c r="O116" s="194"/>
      <c r="Q116" t="s">
        <v>178</v>
      </c>
      <c r="R116">
        <v>2</v>
      </c>
    </row>
    <row r="117" spans="1:18" x14ac:dyDescent="0.25">
      <c r="A117" t="str">
        <f>TableOMEDUC[[#This Row],[Study Package Code]]</f>
        <v>EDUC6047</v>
      </c>
      <c r="B117" s="1">
        <f>TableOMEDUC[[#This Row],[Ver]]</f>
        <v>1</v>
      </c>
      <c r="C117" t="str">
        <f>LEFT(TableOMEDUC[[#This Row],[Structure Line]], FIND(" ", TableOMEDUC[[#This Row],[Structure Line]])-1)</f>
        <v>EDMC600</v>
      </c>
      <c r="D117" t="str">
        <f>MID(TableOMEDUC[[#This Row],[Structure Line]],FIND(" ",TableOMEDUC[[#This Row],[Structure Line]])+1,LEN(TableOMEDUC[[#This Row],[Structure Line]]))</f>
        <v>Education in the Post-Truth Era</v>
      </c>
      <c r="E117" s="89">
        <f>TableOMEDUC[[#This Row],[Credit Points]]</f>
        <v>25</v>
      </c>
      <c r="F117">
        <v>3</v>
      </c>
      <c r="G117" t="s">
        <v>539</v>
      </c>
      <c r="H117">
        <v>1</v>
      </c>
      <c r="I117" t="s">
        <v>537</v>
      </c>
      <c r="J117" t="s">
        <v>164</v>
      </c>
      <c r="K117">
        <v>1</v>
      </c>
      <c r="L117" t="s">
        <v>602</v>
      </c>
      <c r="M117">
        <v>25</v>
      </c>
      <c r="N117" s="194">
        <v>44562</v>
      </c>
      <c r="O117" s="194"/>
      <c r="Q117" t="s">
        <v>164</v>
      </c>
      <c r="R117">
        <v>1</v>
      </c>
    </row>
    <row r="118" spans="1:18" x14ac:dyDescent="0.25">
      <c r="A118" t="str">
        <f>TableOMEDUC[[#This Row],[Study Package Code]]</f>
        <v>Opt-MEd</v>
      </c>
      <c r="B118" s="1">
        <f>TableOMEDUC[[#This Row],[Ver]]</f>
        <v>0</v>
      </c>
      <c r="D118" t="str">
        <f>TableOMEDUC[[#This Row],[Structure Line]]</f>
        <v>Choose a specialisation OR Choose Optional units from the list to the value of 100 credit points</v>
      </c>
      <c r="E118" s="89">
        <f>TableOMEDUC[[#This Row],[Credit Points]]</f>
        <v>100</v>
      </c>
      <c r="F118">
        <v>4</v>
      </c>
      <c r="G118" t="s">
        <v>571</v>
      </c>
      <c r="H118">
        <v>1</v>
      </c>
      <c r="I118" t="s">
        <v>537</v>
      </c>
      <c r="J118" t="s">
        <v>512</v>
      </c>
      <c r="K118">
        <v>0</v>
      </c>
      <c r="L118" t="s">
        <v>513</v>
      </c>
      <c r="M118">
        <v>100</v>
      </c>
      <c r="N118" s="194"/>
      <c r="O118" s="194"/>
      <c r="Q118" t="s">
        <v>603</v>
      </c>
      <c r="R118">
        <v>0</v>
      </c>
    </row>
    <row r="119" spans="1:18" x14ac:dyDescent="0.25">
      <c r="A119" t="str">
        <f>TableOMEDUC[[#This Row],[Study Package Code]]</f>
        <v>EDUC6026</v>
      </c>
      <c r="B119" s="1">
        <f>TableOMEDUC[[#This Row],[Ver]]</f>
        <v>2</v>
      </c>
      <c r="C119" t="str">
        <f>LEFT(TableOMEDUC[[#This Row],[Structure Line]], FIND(" ", TableOMEDUC[[#This Row],[Structure Line]])-1)</f>
        <v>EDML501</v>
      </c>
      <c r="D119" t="str">
        <f>MID(TableOMEDUC[[#This Row],[Structure Line]],FIND(" ",TableOMEDUC[[#This Row],[Structure Line]])+1,LEN(TableOMEDUC[[#This Row],[Structure Line]]))</f>
        <v>Language Teaching Methodologies</v>
      </c>
      <c r="E119" s="89">
        <f>TableOMEDUC[[#This Row],[Credit Points]]</f>
        <v>25</v>
      </c>
      <c r="F119">
        <v>4</v>
      </c>
      <c r="G119" t="s">
        <v>571</v>
      </c>
      <c r="H119">
        <v>1</v>
      </c>
      <c r="I119" t="s">
        <v>537</v>
      </c>
      <c r="J119" t="s">
        <v>170</v>
      </c>
      <c r="K119">
        <v>2</v>
      </c>
      <c r="L119" t="s">
        <v>589</v>
      </c>
      <c r="M119">
        <v>25</v>
      </c>
      <c r="N119" s="194">
        <v>44562</v>
      </c>
      <c r="O119" s="194"/>
      <c r="Q119" t="s">
        <v>170</v>
      </c>
      <c r="R119">
        <v>2</v>
      </c>
    </row>
    <row r="120" spans="1:18" x14ac:dyDescent="0.25">
      <c r="A120" t="str">
        <f>TableOMEDUC[[#This Row],[Study Package Code]]</f>
        <v>EDUC6049</v>
      </c>
      <c r="B120" s="1">
        <f>TableOMEDUC[[#This Row],[Ver]]</f>
        <v>1</v>
      </c>
      <c r="C120" t="str">
        <f>LEFT(TableOMEDUC[[#This Row],[Structure Line]], FIND(" ", TableOMEDUC[[#This Row],[Structure Line]])-1)</f>
        <v>EDMS610</v>
      </c>
      <c r="D120" t="str">
        <f>MID(TableOMEDUC[[#This Row],[Structure Line]],FIND(" ",TableOMEDUC[[#This Row],[Structure Line]])+1,LEN(TableOMEDUC[[#This Row],[Structure Line]]))</f>
        <v>Designing STEM Integration</v>
      </c>
      <c r="E120" s="89">
        <f>TableOMEDUC[[#This Row],[Credit Points]]</f>
        <v>25</v>
      </c>
      <c r="F120">
        <v>4</v>
      </c>
      <c r="G120" t="s">
        <v>571</v>
      </c>
      <c r="H120">
        <v>1</v>
      </c>
      <c r="I120" t="s">
        <v>537</v>
      </c>
      <c r="J120" t="s">
        <v>174</v>
      </c>
      <c r="K120">
        <v>1</v>
      </c>
      <c r="L120" t="s">
        <v>604</v>
      </c>
      <c r="M120">
        <v>25</v>
      </c>
      <c r="N120" s="194">
        <v>44562</v>
      </c>
      <c r="O120" s="194"/>
      <c r="Q120" t="s">
        <v>174</v>
      </c>
      <c r="R120">
        <v>1</v>
      </c>
    </row>
    <row r="121" spans="1:18" x14ac:dyDescent="0.25">
      <c r="A121" t="str">
        <f>TableOMEDUC[[#This Row],[Study Package Code]]</f>
        <v>EDUC6051</v>
      </c>
      <c r="B121" s="1">
        <f>TableOMEDUC[[#This Row],[Ver]]</f>
        <v>1</v>
      </c>
      <c r="C121" t="str">
        <f>LEFT(TableOMEDUC[[#This Row],[Structure Line]], FIND(" ", TableOMEDUC[[#This Row],[Structure Line]])-1)</f>
        <v>EDMP600</v>
      </c>
      <c r="D121" t="str">
        <f>MID(TableOMEDUC[[#This Row],[Structure Line]],FIND(" ",TableOMEDUC[[#This Row],[Structure Line]])+1,LEN(TableOMEDUC[[#This Row],[Structure Line]]))</f>
        <v>Education for a Future: Learning for Sustainability</v>
      </c>
      <c r="E121" s="89">
        <f>TableOMEDUC[[#This Row],[Credit Points]]</f>
        <v>25</v>
      </c>
      <c r="F121">
        <v>4</v>
      </c>
      <c r="G121" t="s">
        <v>571</v>
      </c>
      <c r="H121">
        <v>1</v>
      </c>
      <c r="I121" t="s">
        <v>537</v>
      </c>
      <c r="J121" t="s">
        <v>180</v>
      </c>
      <c r="K121">
        <v>1</v>
      </c>
      <c r="L121" t="s">
        <v>605</v>
      </c>
      <c r="M121">
        <v>25</v>
      </c>
      <c r="N121" s="194">
        <v>44562</v>
      </c>
      <c r="O121" s="194"/>
      <c r="Q121" t="s">
        <v>180</v>
      </c>
      <c r="R121">
        <v>1</v>
      </c>
    </row>
    <row r="122" spans="1:18" x14ac:dyDescent="0.25">
      <c r="A122" t="str">
        <f>TableOMEDUC[[#This Row],[Study Package Code]]</f>
        <v>EDUC6053</v>
      </c>
      <c r="B122" s="1">
        <f>TableOMEDUC[[#This Row],[Ver]]</f>
        <v>1</v>
      </c>
      <c r="C122" t="str">
        <f>LEFT(TableOMEDUC[[#This Row],[Structure Line]], FIND(" ", TableOMEDUC[[#This Row],[Structure Line]])-1)</f>
        <v>EDMP610</v>
      </c>
      <c r="D122" t="str">
        <f>MID(TableOMEDUC[[#This Row],[Structure Line]],FIND(" ",TableOMEDUC[[#This Row],[Structure Line]])+1,LEN(TableOMEDUC[[#This Row],[Structure Line]]))</f>
        <v>Emerging Technologies and the Future of Learning</v>
      </c>
      <c r="E122" s="89">
        <f>TableOMEDUC[[#This Row],[Credit Points]]</f>
        <v>25</v>
      </c>
      <c r="F122">
        <v>4</v>
      </c>
      <c r="G122" t="s">
        <v>571</v>
      </c>
      <c r="H122">
        <v>1</v>
      </c>
      <c r="I122" t="s">
        <v>537</v>
      </c>
      <c r="J122" t="s">
        <v>169</v>
      </c>
      <c r="K122">
        <v>1</v>
      </c>
      <c r="L122" t="s">
        <v>606</v>
      </c>
      <c r="M122">
        <v>25</v>
      </c>
      <c r="N122" s="194">
        <v>44562</v>
      </c>
      <c r="O122" s="194"/>
      <c r="Q122" t="s">
        <v>169</v>
      </c>
      <c r="R122">
        <v>1</v>
      </c>
    </row>
    <row r="123" spans="1:18" x14ac:dyDescent="0.25">
      <c r="A123" t="str">
        <f>TableOMEDUC[[#This Row],[Study Package Code]]</f>
        <v>EDUC6055</v>
      </c>
      <c r="B123" s="1">
        <f>TableOMEDUC[[#This Row],[Ver]]</f>
        <v>1</v>
      </c>
      <c r="C123" t="str">
        <f>LEFT(TableOMEDUC[[#This Row],[Structure Line]], FIND(" ", TableOMEDUC[[#This Row],[Structure Line]])-1)</f>
        <v>EDMP620</v>
      </c>
      <c r="D123" t="str">
        <f>MID(TableOMEDUC[[#This Row],[Structure Line]],FIND(" ",TableOMEDUC[[#This Row],[Structure Line]])+1,LEN(TableOMEDUC[[#This Row],[Structure Line]]))</f>
        <v>Empowering Learners Through Social Justice Leadership</v>
      </c>
      <c r="E123" s="89">
        <f>TableOMEDUC[[#This Row],[Credit Points]]</f>
        <v>25</v>
      </c>
      <c r="F123">
        <v>4</v>
      </c>
      <c r="G123" t="s">
        <v>571</v>
      </c>
      <c r="H123">
        <v>1</v>
      </c>
      <c r="I123" t="s">
        <v>537</v>
      </c>
      <c r="J123" t="s">
        <v>171</v>
      </c>
      <c r="K123">
        <v>1</v>
      </c>
      <c r="L123" t="s">
        <v>607</v>
      </c>
      <c r="M123">
        <v>25</v>
      </c>
      <c r="N123" s="194">
        <v>44562</v>
      </c>
      <c r="O123" s="194"/>
      <c r="Q123" t="s">
        <v>171</v>
      </c>
      <c r="R123">
        <v>1</v>
      </c>
    </row>
    <row r="124" spans="1:18" x14ac:dyDescent="0.25">
      <c r="A124" t="str">
        <f>TableOMEDUC[[#This Row],[Study Package Code]]</f>
        <v>EDUC6057</v>
      </c>
      <c r="B124" s="1">
        <f>TableOMEDUC[[#This Row],[Ver]]</f>
        <v>1</v>
      </c>
      <c r="C124" t="str">
        <f>LEFT(TableOMEDUC[[#This Row],[Structure Line]], FIND(" ", TableOMEDUC[[#This Row],[Structure Line]])-1)</f>
        <v>EDML600</v>
      </c>
      <c r="D124" t="str">
        <f>MID(TableOMEDUC[[#This Row],[Structure Line]],FIND(" ",TableOMEDUC[[#This Row],[Structure Line]])+1,LEN(TableOMEDUC[[#This Row],[Structure Line]]))</f>
        <v>Leading Learning in Multilingual Contexts</v>
      </c>
      <c r="E124" s="89">
        <f>TableOMEDUC[[#This Row],[Credit Points]]</f>
        <v>25</v>
      </c>
      <c r="F124">
        <v>4</v>
      </c>
      <c r="G124" t="s">
        <v>571</v>
      </c>
      <c r="H124">
        <v>1</v>
      </c>
      <c r="I124" t="s">
        <v>537</v>
      </c>
      <c r="J124" t="s">
        <v>168</v>
      </c>
      <c r="K124">
        <v>1</v>
      </c>
      <c r="L124" t="s">
        <v>608</v>
      </c>
      <c r="M124">
        <v>25</v>
      </c>
      <c r="N124" s="194">
        <v>44562</v>
      </c>
      <c r="O124" s="194"/>
      <c r="Q124" t="s">
        <v>168</v>
      </c>
      <c r="R124">
        <v>1</v>
      </c>
    </row>
    <row r="125" spans="1:18" x14ac:dyDescent="0.25">
      <c r="A125" t="str">
        <f>TableOMEDUC[[#This Row],[Study Package Code]]</f>
        <v>EDUC6059</v>
      </c>
      <c r="B125" s="1">
        <f>TableOMEDUC[[#This Row],[Ver]]</f>
        <v>1</v>
      </c>
      <c r="C125" t="str">
        <f>LEFT(TableOMEDUC[[#This Row],[Structure Line]], FIND(" ", TableOMEDUC[[#This Row],[Structure Line]])-1)</f>
        <v>EDMP630</v>
      </c>
      <c r="D125" t="str">
        <f>MID(TableOMEDUC[[#This Row],[Structure Line]],FIND(" ",TableOMEDUC[[#This Row],[Structure Line]])+1,LEN(TableOMEDUC[[#This Row],[Structure Line]]))</f>
        <v>Pedagogies for Learner and Community Diversity</v>
      </c>
      <c r="E125" s="89">
        <f>TableOMEDUC[[#This Row],[Credit Points]]</f>
        <v>25</v>
      </c>
      <c r="F125">
        <v>4</v>
      </c>
      <c r="G125" t="s">
        <v>571</v>
      </c>
      <c r="H125">
        <v>1</v>
      </c>
      <c r="I125" t="s">
        <v>537</v>
      </c>
      <c r="J125" t="s">
        <v>172</v>
      </c>
      <c r="K125">
        <v>1</v>
      </c>
      <c r="L125" t="s">
        <v>609</v>
      </c>
      <c r="M125">
        <v>25</v>
      </c>
      <c r="N125" s="194">
        <v>44562</v>
      </c>
      <c r="O125" s="194"/>
      <c r="Q125" t="s">
        <v>172</v>
      </c>
      <c r="R125">
        <v>1</v>
      </c>
    </row>
    <row r="126" spans="1:18" x14ac:dyDescent="0.25">
      <c r="A126" t="str">
        <f>TableOMEDUC[[#This Row],[Study Package Code]]</f>
        <v>EDUC6061</v>
      </c>
      <c r="B126" s="1">
        <f>TableOMEDUC[[#This Row],[Ver]]</f>
        <v>1</v>
      </c>
      <c r="C126" t="str">
        <f>LEFT(TableOMEDUC[[#This Row],[Structure Line]], FIND(" ", TableOMEDUC[[#This Row],[Structure Line]])-1)</f>
        <v>EDMS600</v>
      </c>
      <c r="D126" t="str">
        <f>MID(TableOMEDUC[[#This Row],[Structure Line]],FIND(" ",TableOMEDUC[[#This Row],[Structure Line]])+1,LEN(TableOMEDUC[[#This Row],[Structure Line]]))</f>
        <v>Becoming a Leader of STEM Education</v>
      </c>
      <c r="E126" s="89">
        <f>TableOMEDUC[[#This Row],[Credit Points]]</f>
        <v>25</v>
      </c>
      <c r="F126">
        <v>4</v>
      </c>
      <c r="G126" t="s">
        <v>571</v>
      </c>
      <c r="H126">
        <v>1</v>
      </c>
      <c r="I126" t="s">
        <v>537</v>
      </c>
      <c r="J126" t="s">
        <v>173</v>
      </c>
      <c r="K126">
        <v>1</v>
      </c>
      <c r="L126" t="s">
        <v>610</v>
      </c>
      <c r="M126">
        <v>25</v>
      </c>
      <c r="N126" s="194">
        <v>44562</v>
      </c>
      <c r="O126" s="194"/>
      <c r="Q126" t="s">
        <v>173</v>
      </c>
      <c r="R126">
        <v>1</v>
      </c>
    </row>
    <row r="127" spans="1:18" x14ac:dyDescent="0.25">
      <c r="A127" t="str">
        <f>TableOMEDUC[[#This Row],[Study Package Code]]</f>
        <v>LING6008</v>
      </c>
      <c r="B127" s="1">
        <f>TableOMEDUC[[#This Row],[Ver]]</f>
        <v>1</v>
      </c>
      <c r="C127" t="str">
        <f>LEFT(TableOMEDUC[[#This Row],[Structure Line]], FIND(" ", TableOMEDUC[[#This Row],[Structure Line]])-1)</f>
        <v>EDML502</v>
      </c>
      <c r="D127" t="str">
        <f>MID(TableOMEDUC[[#This Row],[Structure Line]],FIND(" ",TableOMEDUC[[#This Row],[Structure Line]])+1,LEN(TableOMEDUC[[#This Row],[Structure Line]]))</f>
        <v>Language in Society</v>
      </c>
      <c r="E127" s="89">
        <f>TableOMEDUC[[#This Row],[Credit Points]]</f>
        <v>25</v>
      </c>
      <c r="F127">
        <v>4</v>
      </c>
      <c r="G127" t="s">
        <v>571</v>
      </c>
      <c r="H127">
        <v>1</v>
      </c>
      <c r="I127" t="s">
        <v>537</v>
      </c>
      <c r="J127" t="s">
        <v>179</v>
      </c>
      <c r="K127">
        <v>1</v>
      </c>
      <c r="L127" t="s">
        <v>590</v>
      </c>
      <c r="M127">
        <v>25</v>
      </c>
      <c r="N127" s="194">
        <v>42736</v>
      </c>
      <c r="O127" s="194"/>
      <c r="Q127" t="s">
        <v>179</v>
      </c>
      <c r="R127">
        <v>1</v>
      </c>
    </row>
    <row r="128" spans="1:18" x14ac:dyDescent="0.25">
      <c r="A128" t="str">
        <f>TableOMEDUC[[#This Row],[Study Package Code]]</f>
        <v>OSEP-CULIN</v>
      </c>
      <c r="B128" s="1">
        <f>TableOMEDUC[[#This Row],[Ver]]</f>
        <v>1</v>
      </c>
      <c r="D128" t="str">
        <f>TableOMEDUC[[#This Row],[Structure Line]]</f>
        <v>Cultural and Linguistic Diversity Specialisation (MEd OpenUnis)</v>
      </c>
      <c r="E128" s="89">
        <f>TableOMEDUC[[#This Row],[Credit Points]]</f>
        <v>100</v>
      </c>
      <c r="F128">
        <v>4</v>
      </c>
      <c r="G128" t="s">
        <v>571</v>
      </c>
      <c r="H128">
        <v>1</v>
      </c>
      <c r="I128" t="s">
        <v>537</v>
      </c>
      <c r="J128" t="s">
        <v>182</v>
      </c>
      <c r="K128">
        <v>1</v>
      </c>
      <c r="L128" t="s">
        <v>181</v>
      </c>
      <c r="M128">
        <v>100</v>
      </c>
      <c r="N128" s="194">
        <v>44562</v>
      </c>
      <c r="O128" s="194"/>
      <c r="Q128" t="s">
        <v>182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89">
        <f>TableOMEDUC[[#This Row],[Credit Points]]</f>
        <v>100</v>
      </c>
      <c r="F129">
        <v>4</v>
      </c>
      <c r="G129" t="s">
        <v>571</v>
      </c>
      <c r="H129">
        <v>1</v>
      </c>
      <c r="I129" t="s">
        <v>537</v>
      </c>
      <c r="J129" t="s">
        <v>185</v>
      </c>
      <c r="K129">
        <v>1</v>
      </c>
      <c r="L129" t="s">
        <v>184</v>
      </c>
      <c r="M129">
        <v>100</v>
      </c>
      <c r="N129" s="194">
        <v>44562</v>
      </c>
      <c r="O129" s="194"/>
      <c r="Q129" t="s">
        <v>185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89">
        <f>TableOMEDUC[[#This Row],[Credit Points]]</f>
        <v>100</v>
      </c>
      <c r="F130">
        <v>4</v>
      </c>
      <c r="G130" t="s">
        <v>571</v>
      </c>
      <c r="H130">
        <v>1</v>
      </c>
      <c r="I130" t="s">
        <v>537</v>
      </c>
      <c r="J130" t="s">
        <v>187</v>
      </c>
      <c r="K130">
        <v>1</v>
      </c>
      <c r="L130" t="s">
        <v>186</v>
      </c>
      <c r="M130">
        <v>100</v>
      </c>
      <c r="N130" s="194">
        <v>44562</v>
      </c>
      <c r="O130" s="194"/>
      <c r="Q130" t="s">
        <v>187</v>
      </c>
      <c r="R130">
        <v>1</v>
      </c>
    </row>
    <row r="131" spans="1:18" x14ac:dyDescent="0.25">
      <c r="B131"/>
      <c r="E131"/>
      <c r="F131" s="87"/>
      <c r="G131" s="88" t="s">
        <v>522</v>
      </c>
      <c r="H131" s="258">
        <v>44562</v>
      </c>
      <c r="J131" s="259" t="s">
        <v>182</v>
      </c>
      <c r="K131" s="260" t="s">
        <v>71</v>
      </c>
      <c r="L131" s="119" t="s">
        <v>181</v>
      </c>
      <c r="N131" s="242" t="s">
        <v>524</v>
      </c>
      <c r="O131" s="208">
        <v>45552</v>
      </c>
    </row>
    <row r="132" spans="1:18" x14ac:dyDescent="0.25">
      <c r="A132" t="s">
        <v>0</v>
      </c>
      <c r="B132" s="1" t="s">
        <v>525</v>
      </c>
      <c r="C132" t="s">
        <v>21</v>
      </c>
      <c r="D132" t="s">
        <v>3</v>
      </c>
      <c r="E132" s="89" t="s">
        <v>526</v>
      </c>
      <c r="F132" t="s">
        <v>527</v>
      </c>
      <c r="G132" t="s">
        <v>528</v>
      </c>
      <c r="H132" t="s">
        <v>529</v>
      </c>
      <c r="I132" t="s">
        <v>22</v>
      </c>
      <c r="J132" t="s">
        <v>530</v>
      </c>
      <c r="K132" t="s">
        <v>1</v>
      </c>
      <c r="L132" t="s">
        <v>531</v>
      </c>
      <c r="M132" t="s">
        <v>58</v>
      </c>
      <c r="N132" s="193" t="s">
        <v>532</v>
      </c>
      <c r="O132" s="193" t="s">
        <v>533</v>
      </c>
      <c r="Q132" t="s">
        <v>534</v>
      </c>
      <c r="R132" t="s">
        <v>535</v>
      </c>
    </row>
    <row r="133" spans="1:18" x14ac:dyDescent="0.25">
      <c r="A133" t="str">
        <f>TableOSEPCULIN[[#This Row],[Study Package Code]]</f>
        <v>EDUC6026</v>
      </c>
      <c r="B133" s="1">
        <f>TableOSEPCULIN[[#This Row],[Ver]]</f>
        <v>2</v>
      </c>
      <c r="C133" t="str">
        <f>LEFT(TableOSEPCULIN[[#This Row],[Structure Line]], FIND(" ", TableOSEPCULIN[[#This Row],[Structure Line]])-1)</f>
        <v>EDML501</v>
      </c>
      <c r="D133" t="str">
        <f>MID(TableOSEPCULIN[[#This Row],[Structure Line]],FIND(" ",TableOSEPCULIN[[#This Row],[Structure Line]])+1,LEN(TableOSEPCULIN[[#This Row],[Structure Line]]))</f>
        <v>Language Teaching Methodologies</v>
      </c>
      <c r="E133" s="89">
        <f>TableOSEPCULIN[[#This Row],[Credit Points]]</f>
        <v>25</v>
      </c>
      <c r="F133">
        <v>1</v>
      </c>
      <c r="G133" t="s">
        <v>539</v>
      </c>
      <c r="H133">
        <v>1</v>
      </c>
      <c r="I133" t="s">
        <v>537</v>
      </c>
      <c r="J133" t="s">
        <v>170</v>
      </c>
      <c r="K133">
        <v>2</v>
      </c>
      <c r="L133" t="s">
        <v>589</v>
      </c>
      <c r="M133">
        <v>25</v>
      </c>
      <c r="N133" s="194">
        <v>44562</v>
      </c>
      <c r="O133" s="194"/>
      <c r="Q133" t="s">
        <v>170</v>
      </c>
      <c r="R133">
        <v>2</v>
      </c>
    </row>
    <row r="134" spans="1:18" x14ac:dyDescent="0.25">
      <c r="A134" t="str">
        <f>TableOSEPCULIN[[#This Row],[Study Package Code]]</f>
        <v>LING6008</v>
      </c>
      <c r="B134" s="1">
        <f>TableOSEPCULIN[[#This Row],[Ver]]</f>
        <v>1</v>
      </c>
      <c r="C134" t="str">
        <f>LEFT(TableOSEPCULIN[[#This Row],[Structure Line]], FIND(" ", TableOSEPCULIN[[#This Row],[Structure Line]])-1)</f>
        <v>EDML502</v>
      </c>
      <c r="D134" t="str">
        <f>MID(TableOSEPCULIN[[#This Row],[Structure Line]],FIND(" ",TableOSEPCULIN[[#This Row],[Structure Line]])+1,LEN(TableOSEPCULIN[[#This Row],[Structure Line]]))</f>
        <v>Language in Society</v>
      </c>
      <c r="E134" s="89">
        <f>TableOSEPCULIN[[#This Row],[Credit Points]]</f>
        <v>25</v>
      </c>
      <c r="F134">
        <v>2</v>
      </c>
      <c r="G134" t="s">
        <v>539</v>
      </c>
      <c r="H134">
        <v>1</v>
      </c>
      <c r="I134" t="s">
        <v>537</v>
      </c>
      <c r="J134" t="s">
        <v>179</v>
      </c>
      <c r="K134">
        <v>1</v>
      </c>
      <c r="L134" t="s">
        <v>590</v>
      </c>
      <c r="M134">
        <v>25</v>
      </c>
      <c r="N134" s="194">
        <v>42736</v>
      </c>
      <c r="O134" s="194"/>
      <c r="Q134" t="s">
        <v>179</v>
      </c>
      <c r="R134">
        <v>1</v>
      </c>
    </row>
    <row r="135" spans="1:18" x14ac:dyDescent="0.25">
      <c r="A135" t="str">
        <f>TableOSEPCULIN[[#This Row],[Study Package Code]]</f>
        <v>EDUC6057</v>
      </c>
      <c r="B135" s="1">
        <f>TableOSEPCULIN[[#This Row],[Ver]]</f>
        <v>1</v>
      </c>
      <c r="C135" t="str">
        <f>LEFT(TableOSEPCULIN[[#This Row],[Structure Line]], FIND(" ", TableOSEPCULIN[[#This Row],[Structure Line]])-1)</f>
        <v>EDML600</v>
      </c>
      <c r="D135" t="str">
        <f>MID(TableOSEPCULIN[[#This Row],[Structure Line]],FIND(" ",TableOSEPCULIN[[#This Row],[Structure Line]])+1,LEN(TableOSEPCULIN[[#This Row],[Structure Line]]))</f>
        <v>Leading Learning in Multilingual Contexts</v>
      </c>
      <c r="E135" s="89">
        <f>TableOSEPCULIN[[#This Row],[Credit Points]]</f>
        <v>25</v>
      </c>
      <c r="F135">
        <v>3</v>
      </c>
      <c r="G135" t="s">
        <v>539</v>
      </c>
      <c r="H135">
        <v>1</v>
      </c>
      <c r="I135" t="s">
        <v>537</v>
      </c>
      <c r="J135" t="s">
        <v>168</v>
      </c>
      <c r="K135">
        <v>1</v>
      </c>
      <c r="L135" t="s">
        <v>608</v>
      </c>
      <c r="M135">
        <v>25</v>
      </c>
      <c r="N135" s="194">
        <v>44562</v>
      </c>
      <c r="O135" s="194"/>
      <c r="Q135" t="s">
        <v>168</v>
      </c>
      <c r="R135">
        <v>1</v>
      </c>
    </row>
    <row r="136" spans="1:18" x14ac:dyDescent="0.25">
      <c r="A136" t="str">
        <f>TableOSEPCULIN[[#This Row],[Study Package Code]]</f>
        <v>EDUC6053</v>
      </c>
      <c r="B136" s="1">
        <f>TableOSEPCULIN[[#This Row],[Ver]]</f>
        <v>1</v>
      </c>
      <c r="C136" t="str">
        <f>LEFT(TableOSEPCULIN[[#This Row],[Structure Line]], FIND(" ", TableOSEPCULIN[[#This Row],[Structure Line]])-1)</f>
        <v>EDMP610</v>
      </c>
      <c r="D136" t="str">
        <f>MID(TableOSEPCULIN[[#This Row],[Structure Line]],FIND(" ",TableOSEPCULIN[[#This Row],[Structure Line]])+1,LEN(TableOSEPCULIN[[#This Row],[Structure Line]]))</f>
        <v>Emerging Technologies and the Future of Learning</v>
      </c>
      <c r="E136" s="89">
        <f>TableOSEPCULIN[[#This Row],[Credit Points]]</f>
        <v>25</v>
      </c>
      <c r="F136">
        <v>4</v>
      </c>
      <c r="G136" t="s">
        <v>539</v>
      </c>
      <c r="H136">
        <v>1</v>
      </c>
      <c r="I136" t="s">
        <v>537</v>
      </c>
      <c r="J136" t="s">
        <v>169</v>
      </c>
      <c r="K136">
        <v>1</v>
      </c>
      <c r="L136" t="s">
        <v>606</v>
      </c>
      <c r="M136">
        <v>25</v>
      </c>
      <c r="N136" s="194">
        <v>44562</v>
      </c>
      <c r="O136" s="194"/>
      <c r="Q136" t="s">
        <v>169</v>
      </c>
      <c r="R136">
        <v>1</v>
      </c>
    </row>
    <row r="137" spans="1:18" x14ac:dyDescent="0.25">
      <c r="B137"/>
      <c r="E137"/>
      <c r="F137" s="87"/>
      <c r="G137" s="88" t="s">
        <v>522</v>
      </c>
      <c r="H137" s="258">
        <v>44562</v>
      </c>
      <c r="J137" s="259" t="s">
        <v>185</v>
      </c>
      <c r="K137" s="260" t="s">
        <v>71</v>
      </c>
      <c r="L137" s="119" t="s">
        <v>184</v>
      </c>
      <c r="N137" s="242" t="s">
        <v>524</v>
      </c>
      <c r="O137" s="208">
        <v>45552</v>
      </c>
    </row>
    <row r="138" spans="1:18" x14ac:dyDescent="0.25">
      <c r="A138" t="s">
        <v>0</v>
      </c>
      <c r="B138" s="1" t="s">
        <v>525</v>
      </c>
      <c r="C138" t="s">
        <v>21</v>
      </c>
      <c r="D138" t="s">
        <v>3</v>
      </c>
      <c r="E138" s="89" t="s">
        <v>526</v>
      </c>
      <c r="F138" t="s">
        <v>527</v>
      </c>
      <c r="G138" t="s">
        <v>528</v>
      </c>
      <c r="H138" t="s">
        <v>529</v>
      </c>
      <c r="I138" t="s">
        <v>22</v>
      </c>
      <c r="J138" t="s">
        <v>530</v>
      </c>
      <c r="K138" t="s">
        <v>1</v>
      </c>
      <c r="L138" t="s">
        <v>531</v>
      </c>
      <c r="M138" t="s">
        <v>58</v>
      </c>
      <c r="N138" s="193" t="s">
        <v>532</v>
      </c>
      <c r="O138" s="193" t="s">
        <v>533</v>
      </c>
      <c r="Q138" t="s">
        <v>534</v>
      </c>
      <c r="R138" t="s">
        <v>535</v>
      </c>
    </row>
    <row r="139" spans="1:18" x14ac:dyDescent="0.25">
      <c r="A139" t="str">
        <f>TableOSEPLNTCH[[#This Row],[Study Package Code]]</f>
        <v>EDUC6051</v>
      </c>
      <c r="B139" s="1">
        <f>TableOSEPLNTCH[[#This Row],[Ver]]</f>
        <v>1</v>
      </c>
      <c r="C139" t="str">
        <f>LEFT(TableOSEPLNTCH[[#This Row],[Structure Line]], FIND(" ", TableOSEPLNTCH[[#This Row],[Structure Line]])-1)</f>
        <v>EDMP600</v>
      </c>
      <c r="D139" t="str">
        <f>MID(TableOSEPLNTCH[[#This Row],[Structure Line]],FIND(" ",TableOSEPLNTCH[[#This Row],[Structure Line]])+1,LEN(TableOSEPLNTCH[[#This Row],[Structure Line]]))</f>
        <v>Education for a Future: Learning for Sustainability</v>
      </c>
      <c r="E139" s="89">
        <f>TableOSEPLNTCH[[#This Row],[Credit Points]]</f>
        <v>25</v>
      </c>
      <c r="F139">
        <v>1</v>
      </c>
      <c r="G139" t="s">
        <v>539</v>
      </c>
      <c r="H139">
        <v>1</v>
      </c>
      <c r="I139" t="s">
        <v>537</v>
      </c>
      <c r="J139" t="s">
        <v>180</v>
      </c>
      <c r="K139">
        <v>1</v>
      </c>
      <c r="L139" t="s">
        <v>605</v>
      </c>
      <c r="M139">
        <v>25</v>
      </c>
      <c r="N139" s="194">
        <v>44562</v>
      </c>
      <c r="O139" s="194"/>
      <c r="Q139" t="s">
        <v>180</v>
      </c>
      <c r="R139">
        <v>1</v>
      </c>
    </row>
    <row r="140" spans="1:18" x14ac:dyDescent="0.25">
      <c r="A140" t="str">
        <f>TableOSEPLNTCH[[#This Row],[Study Package Code]]</f>
        <v>EDUC6053</v>
      </c>
      <c r="B140" s="1">
        <f>TableOSEPLNTCH[[#This Row],[Ver]]</f>
        <v>1</v>
      </c>
      <c r="C140" t="str">
        <f>LEFT(TableOSEPLNTCH[[#This Row],[Structure Line]], FIND(" ", TableOSEPLNTCH[[#This Row],[Structure Line]])-1)</f>
        <v>EDMP610</v>
      </c>
      <c r="D140" t="str">
        <f>MID(TableOSEPLNTCH[[#This Row],[Structure Line]],FIND(" ",TableOSEPLNTCH[[#This Row],[Structure Line]])+1,LEN(TableOSEPLNTCH[[#This Row],[Structure Line]]))</f>
        <v>Emerging Technologies and the Future of Learning</v>
      </c>
      <c r="E140" s="89">
        <f>TableOSEPLNTCH[[#This Row],[Credit Points]]</f>
        <v>25</v>
      </c>
      <c r="F140">
        <v>2</v>
      </c>
      <c r="G140" t="s">
        <v>539</v>
      </c>
      <c r="H140">
        <v>1</v>
      </c>
      <c r="I140" t="s">
        <v>537</v>
      </c>
      <c r="J140" t="s">
        <v>169</v>
      </c>
      <c r="K140">
        <v>1</v>
      </c>
      <c r="L140" t="s">
        <v>606</v>
      </c>
      <c r="M140">
        <v>25</v>
      </c>
      <c r="N140" s="194">
        <v>44562</v>
      </c>
      <c r="O140" s="194"/>
      <c r="Q140" t="s">
        <v>169</v>
      </c>
      <c r="R140">
        <v>1</v>
      </c>
    </row>
    <row r="141" spans="1:18" x14ac:dyDescent="0.25">
      <c r="A141" t="str">
        <f>TableOSEPLNTCH[[#This Row],[Study Package Code]]</f>
        <v>EDUC6055</v>
      </c>
      <c r="B141" s="1">
        <f>TableOSEPLNTCH[[#This Row],[Ver]]</f>
        <v>1</v>
      </c>
      <c r="C141" t="str">
        <f>LEFT(TableOSEPLNTCH[[#This Row],[Structure Line]], FIND(" ", TableOSEPLNTCH[[#This Row],[Structure Line]])-1)</f>
        <v>EDMP620</v>
      </c>
      <c r="D141" t="str">
        <f>MID(TableOSEPLNTCH[[#This Row],[Structure Line]],FIND(" ",TableOSEPLNTCH[[#This Row],[Structure Line]])+1,LEN(TableOSEPLNTCH[[#This Row],[Structure Line]]))</f>
        <v>Empowering Learners Through Social Justice Leadership</v>
      </c>
      <c r="E141" s="89">
        <f>TableOSEPLNTCH[[#This Row],[Credit Points]]</f>
        <v>25</v>
      </c>
      <c r="F141">
        <v>3</v>
      </c>
      <c r="G141" t="s">
        <v>539</v>
      </c>
      <c r="H141">
        <v>1</v>
      </c>
      <c r="I141" t="s">
        <v>537</v>
      </c>
      <c r="J141" t="s">
        <v>171</v>
      </c>
      <c r="K141">
        <v>1</v>
      </c>
      <c r="L141" t="s">
        <v>607</v>
      </c>
      <c r="M141">
        <v>25</v>
      </c>
      <c r="N141" s="194">
        <v>44562</v>
      </c>
      <c r="O141" s="194"/>
      <c r="Q141" t="s">
        <v>171</v>
      </c>
      <c r="R141">
        <v>1</v>
      </c>
    </row>
    <row r="142" spans="1:18" x14ac:dyDescent="0.25">
      <c r="A142" t="str">
        <f>TableOSEPLNTCH[[#This Row],[Study Package Code]]</f>
        <v>EDUC6059</v>
      </c>
      <c r="B142" s="1">
        <f>TableOSEPLNTCH[[#This Row],[Ver]]</f>
        <v>1</v>
      </c>
      <c r="C142" t="str">
        <f>LEFT(TableOSEPLNTCH[[#This Row],[Structure Line]], FIND(" ", TableOSEPLNTCH[[#This Row],[Structure Line]])-1)</f>
        <v>EDMP630</v>
      </c>
      <c r="D142" t="str">
        <f>MID(TableOSEPLNTCH[[#This Row],[Structure Line]],FIND(" ",TableOSEPLNTCH[[#This Row],[Structure Line]])+1,LEN(TableOSEPLNTCH[[#This Row],[Structure Line]]))</f>
        <v>Pedagogies for Learner and Community Diversity</v>
      </c>
      <c r="E142" s="89">
        <f>TableOSEPLNTCH[[#This Row],[Credit Points]]</f>
        <v>25</v>
      </c>
      <c r="F142">
        <v>4</v>
      </c>
      <c r="G142" t="s">
        <v>539</v>
      </c>
      <c r="H142">
        <v>1</v>
      </c>
      <c r="I142" t="s">
        <v>537</v>
      </c>
      <c r="J142" t="s">
        <v>172</v>
      </c>
      <c r="K142">
        <v>1</v>
      </c>
      <c r="L142" t="s">
        <v>609</v>
      </c>
      <c r="M142">
        <v>25</v>
      </c>
      <c r="N142" s="194">
        <v>44562</v>
      </c>
      <c r="O142" s="194"/>
      <c r="Q142" t="s">
        <v>172</v>
      </c>
      <c r="R142">
        <v>1</v>
      </c>
    </row>
    <row r="143" spans="1:18" x14ac:dyDescent="0.25">
      <c r="B143"/>
      <c r="E143"/>
      <c r="F143" s="87"/>
      <c r="G143" s="88" t="s">
        <v>522</v>
      </c>
      <c r="H143" s="258">
        <v>44562</v>
      </c>
      <c r="J143" s="259" t="s">
        <v>187</v>
      </c>
      <c r="K143" s="260" t="s">
        <v>71</v>
      </c>
      <c r="L143" s="119" t="s">
        <v>186</v>
      </c>
      <c r="N143" s="242" t="s">
        <v>524</v>
      </c>
      <c r="O143" s="208">
        <v>45552</v>
      </c>
    </row>
    <row r="144" spans="1:18" x14ac:dyDescent="0.25">
      <c r="A144" t="s">
        <v>0</v>
      </c>
      <c r="B144" s="1" t="s">
        <v>525</v>
      </c>
      <c r="C144" t="s">
        <v>21</v>
      </c>
      <c r="D144" t="s">
        <v>3</v>
      </c>
      <c r="E144" s="89" t="s">
        <v>526</v>
      </c>
      <c r="F144" t="s">
        <v>527</v>
      </c>
      <c r="G144" t="s">
        <v>528</v>
      </c>
      <c r="H144" t="s">
        <v>529</v>
      </c>
      <c r="I144" t="s">
        <v>22</v>
      </c>
      <c r="J144" t="s">
        <v>530</v>
      </c>
      <c r="K144" t="s">
        <v>1</v>
      </c>
      <c r="L144" t="s">
        <v>531</v>
      </c>
      <c r="M144" t="s">
        <v>58</v>
      </c>
      <c r="N144" s="193" t="s">
        <v>532</v>
      </c>
      <c r="O144" s="193" t="s">
        <v>533</v>
      </c>
      <c r="Q144" t="s">
        <v>534</v>
      </c>
      <c r="R144" t="s">
        <v>535</v>
      </c>
    </row>
    <row r="145" spans="1:18" x14ac:dyDescent="0.25">
      <c r="A145" t="str">
        <f>TableOSEPSTEME[[#This Row],[Study Package Code]]</f>
        <v>EDUC6051</v>
      </c>
      <c r="B145" s="1">
        <f>TableOSEPSTEME[[#This Row],[Ver]]</f>
        <v>1</v>
      </c>
      <c r="C145" t="str">
        <f>LEFT(TableOSEPSTEME[[#This Row],[Structure Line]], FIND(" ", TableOSEPSTEME[[#This Row],[Structure Line]])-1)</f>
        <v>EDMP600</v>
      </c>
      <c r="D145" t="str">
        <f>MID(TableOSEPSTEME[[#This Row],[Structure Line]],FIND(" ",TableOSEPSTEME[[#This Row],[Structure Line]])+1,LEN(TableOSEPSTEME[[#This Row],[Structure Line]]))</f>
        <v>Education for a Future: Learning for Sustainability</v>
      </c>
      <c r="E145" s="89">
        <f>TableOSEPSTEME[[#This Row],[Credit Points]]</f>
        <v>25</v>
      </c>
      <c r="F145">
        <v>1</v>
      </c>
      <c r="G145" t="s">
        <v>539</v>
      </c>
      <c r="H145">
        <v>1</v>
      </c>
      <c r="I145" t="s">
        <v>537</v>
      </c>
      <c r="J145" t="s">
        <v>180</v>
      </c>
      <c r="K145">
        <v>1</v>
      </c>
      <c r="L145" t="s">
        <v>605</v>
      </c>
      <c r="M145">
        <v>25</v>
      </c>
      <c r="N145" s="194">
        <v>44562</v>
      </c>
      <c r="O145" s="194"/>
      <c r="Q145" t="s">
        <v>180</v>
      </c>
      <c r="R145">
        <v>1</v>
      </c>
    </row>
    <row r="146" spans="1:18" x14ac:dyDescent="0.25">
      <c r="A146" t="str">
        <f>TableOSEPSTEME[[#This Row],[Study Package Code]]</f>
        <v>EDUC6053</v>
      </c>
      <c r="B146" s="1">
        <f>TableOSEPSTEME[[#This Row],[Ver]]</f>
        <v>1</v>
      </c>
      <c r="C146" t="str">
        <f>LEFT(TableOSEPSTEME[[#This Row],[Structure Line]], FIND(" ", TableOSEPSTEME[[#This Row],[Structure Line]])-1)</f>
        <v>EDMP610</v>
      </c>
      <c r="D146" t="str">
        <f>MID(TableOSEPSTEME[[#This Row],[Structure Line]],FIND(" ",TableOSEPSTEME[[#This Row],[Structure Line]])+1,LEN(TableOSEPSTEME[[#This Row],[Structure Line]]))</f>
        <v>Emerging Technologies and the Future of Learning</v>
      </c>
      <c r="E146" s="89">
        <f>TableOSEPSTEME[[#This Row],[Credit Points]]</f>
        <v>25</v>
      </c>
      <c r="F146">
        <v>2</v>
      </c>
      <c r="G146" t="s">
        <v>539</v>
      </c>
      <c r="H146">
        <v>1</v>
      </c>
      <c r="I146" t="s">
        <v>537</v>
      </c>
      <c r="J146" t="s">
        <v>169</v>
      </c>
      <c r="K146">
        <v>1</v>
      </c>
      <c r="L146" t="s">
        <v>606</v>
      </c>
      <c r="M146">
        <v>25</v>
      </c>
      <c r="N146" s="194">
        <v>44562</v>
      </c>
      <c r="O146" s="194"/>
      <c r="Q146" t="s">
        <v>169</v>
      </c>
      <c r="R146">
        <v>1</v>
      </c>
    </row>
    <row r="147" spans="1:18" x14ac:dyDescent="0.25">
      <c r="A147" t="str">
        <f>TableOSEPSTEME[[#This Row],[Study Package Code]]</f>
        <v>EDUC6061</v>
      </c>
      <c r="B147" s="1">
        <f>TableOSEPSTEME[[#This Row],[Ver]]</f>
        <v>1</v>
      </c>
      <c r="C147" t="str">
        <f>LEFT(TableOSEPSTEME[[#This Row],[Structure Line]], FIND(" ", TableOSEPSTEME[[#This Row],[Structure Line]])-1)</f>
        <v>EDMS600</v>
      </c>
      <c r="D147" t="str">
        <f>MID(TableOSEPSTEME[[#This Row],[Structure Line]],FIND(" ",TableOSEPSTEME[[#This Row],[Structure Line]])+1,LEN(TableOSEPSTEME[[#This Row],[Structure Line]]))</f>
        <v>Becoming a Leader of STEM Education</v>
      </c>
      <c r="E147" s="89">
        <f>TableOSEPSTEME[[#This Row],[Credit Points]]</f>
        <v>25</v>
      </c>
      <c r="F147">
        <v>3</v>
      </c>
      <c r="G147" t="s">
        <v>539</v>
      </c>
      <c r="H147">
        <v>1</v>
      </c>
      <c r="I147" t="s">
        <v>537</v>
      </c>
      <c r="J147" t="s">
        <v>173</v>
      </c>
      <c r="K147">
        <v>1</v>
      </c>
      <c r="L147" t="s">
        <v>610</v>
      </c>
      <c r="M147">
        <v>25</v>
      </c>
      <c r="N147" s="194">
        <v>44562</v>
      </c>
      <c r="O147" s="194"/>
      <c r="Q147" t="s">
        <v>173</v>
      </c>
      <c r="R147">
        <v>1</v>
      </c>
    </row>
    <row r="148" spans="1:18" x14ac:dyDescent="0.25">
      <c r="A148" t="str">
        <f>TableOSEPSTEME[[#This Row],[Study Package Code]]</f>
        <v>EDUC6049</v>
      </c>
      <c r="B148" s="1">
        <f>TableOSEPSTEME[[#This Row],[Ver]]</f>
        <v>1</v>
      </c>
      <c r="C148" t="str">
        <f>LEFT(TableOSEPSTEME[[#This Row],[Structure Line]], FIND(" ", TableOSEPSTEME[[#This Row],[Structure Line]])-1)</f>
        <v>EDMS610</v>
      </c>
      <c r="D148" t="str">
        <f>MID(TableOSEPSTEME[[#This Row],[Structure Line]],FIND(" ",TableOSEPSTEME[[#This Row],[Structure Line]])+1,LEN(TableOSEPSTEME[[#This Row],[Structure Line]]))</f>
        <v>Designing STEM Integration</v>
      </c>
      <c r="E148" s="89">
        <f>TableOSEPSTEME[[#This Row],[Credit Points]]</f>
        <v>25</v>
      </c>
      <c r="F148">
        <v>4</v>
      </c>
      <c r="G148" t="s">
        <v>539</v>
      </c>
      <c r="H148">
        <v>1</v>
      </c>
      <c r="I148" t="s">
        <v>537</v>
      </c>
      <c r="J148" t="s">
        <v>174</v>
      </c>
      <c r="K148">
        <v>1</v>
      </c>
      <c r="L148" t="s">
        <v>604</v>
      </c>
      <c r="M148">
        <v>25</v>
      </c>
      <c r="N148" s="194">
        <v>44562</v>
      </c>
      <c r="O148" s="194"/>
      <c r="Q148" t="s">
        <v>174</v>
      </c>
      <c r="R148">
        <v>1</v>
      </c>
    </row>
    <row r="149" spans="1:18" x14ac:dyDescent="0.25">
      <c r="N149" s="194"/>
      <c r="O149" s="194"/>
    </row>
    <row r="150" spans="1:18" x14ac:dyDescent="0.25">
      <c r="B150"/>
      <c r="E150"/>
      <c r="F150" s="87"/>
      <c r="G150" s="88" t="s">
        <v>522</v>
      </c>
      <c r="H150" s="258">
        <v>45292</v>
      </c>
      <c r="J150" s="259" t="s">
        <v>102</v>
      </c>
      <c r="K150" s="260" t="s">
        <v>71</v>
      </c>
      <c r="L150" s="119" t="s">
        <v>101</v>
      </c>
      <c r="N150" s="242" t="s">
        <v>524</v>
      </c>
      <c r="O150" s="208">
        <v>45552</v>
      </c>
    </row>
    <row r="151" spans="1:18" x14ac:dyDescent="0.25">
      <c r="A151" t="s">
        <v>0</v>
      </c>
      <c r="B151" s="1" t="s">
        <v>525</v>
      </c>
      <c r="C151" t="s">
        <v>21</v>
      </c>
      <c r="D151" t="s">
        <v>3</v>
      </c>
      <c r="E151" s="89" t="s">
        <v>526</v>
      </c>
      <c r="F151" t="s">
        <v>527</v>
      </c>
      <c r="G151" t="s">
        <v>528</v>
      </c>
      <c r="H151" t="s">
        <v>529</v>
      </c>
      <c r="I151" t="s">
        <v>22</v>
      </c>
      <c r="J151" t="s">
        <v>530</v>
      </c>
      <c r="K151" t="s">
        <v>1</v>
      </c>
      <c r="L151" t="s">
        <v>531</v>
      </c>
      <c r="M151" t="s">
        <v>58</v>
      </c>
      <c r="N151" s="193" t="s">
        <v>532</v>
      </c>
      <c r="O151" s="193" t="s">
        <v>533</v>
      </c>
      <c r="Q151" t="s">
        <v>534</v>
      </c>
      <c r="R151" t="s">
        <v>535</v>
      </c>
    </row>
    <row r="152" spans="1:18" x14ac:dyDescent="0.25">
      <c r="A152" t="str">
        <f>TableOGEDUC[[#This Row],[Study Package Code]]</f>
        <v>Major</v>
      </c>
      <c r="B152" s="1">
        <f>TableOGEDUC[[#This Row],[Ver]]</f>
        <v>0</v>
      </c>
      <c r="D152" t="str">
        <f>TableOGEDUC[[#This Row],[Structure Line]]</f>
        <v>Choose a Major</v>
      </c>
      <c r="E152" s="89">
        <f>TableOGEDUC[[#This Row],[Credit Points]]</f>
        <v>200</v>
      </c>
      <c r="F152">
        <v>1</v>
      </c>
      <c r="G152" t="s">
        <v>536</v>
      </c>
      <c r="H152">
        <v>0</v>
      </c>
      <c r="I152" t="s">
        <v>537</v>
      </c>
      <c r="J152" t="s">
        <v>611</v>
      </c>
      <c r="K152">
        <v>0</v>
      </c>
      <c r="L152" t="s">
        <v>612</v>
      </c>
      <c r="M152">
        <v>200</v>
      </c>
      <c r="N152" s="194"/>
      <c r="O152" s="194"/>
      <c r="Q152" t="s">
        <v>611</v>
      </c>
      <c r="R152">
        <v>0</v>
      </c>
    </row>
    <row r="153" spans="1:18" x14ac:dyDescent="0.25">
      <c r="A153" t="str">
        <f>TableOGEDUC[[#This Row],[Study Package Code]]</f>
        <v>OUMP-EDUPR</v>
      </c>
      <c r="B153" s="1">
        <f>TableOGEDUC[[#This Row],[Ver]]</f>
        <v>1</v>
      </c>
      <c r="D153" t="str">
        <f>TableOGEDUC[[#This Row],[Structure Line]]</f>
        <v>Primary Education Major (GradDipEdu OpenUnis)</v>
      </c>
      <c r="E153" s="89">
        <f>TableOGEDUC[[#This Row],[Credit Points]]</f>
        <v>200</v>
      </c>
      <c r="F153">
        <v>1</v>
      </c>
      <c r="G153" t="s">
        <v>536</v>
      </c>
      <c r="H153">
        <v>0</v>
      </c>
      <c r="I153" t="s">
        <v>537</v>
      </c>
      <c r="J153" t="s">
        <v>141</v>
      </c>
      <c r="K153">
        <v>1</v>
      </c>
      <c r="L153" t="s">
        <v>140</v>
      </c>
      <c r="M153">
        <v>200</v>
      </c>
      <c r="N153" s="194">
        <v>45292</v>
      </c>
      <c r="O153" s="194"/>
      <c r="Q153" t="s">
        <v>141</v>
      </c>
      <c r="R153">
        <v>1</v>
      </c>
    </row>
    <row r="154" spans="1:18" x14ac:dyDescent="0.25">
      <c r="A154" t="str">
        <f>TableOGEDUC[[#This Row],[Study Package Code]]</f>
        <v>OUMP-EDUSC</v>
      </c>
      <c r="B154" s="1">
        <f>TableOGEDUC[[#This Row],[Ver]]</f>
        <v>1</v>
      </c>
      <c r="D154" t="str">
        <f>TableOGEDUC[[#This Row],[Structure Line]]</f>
        <v>Secondary Education Major (GradDipEdu OpenUnis)</v>
      </c>
      <c r="E154" s="89">
        <f>TableOGEDUC[[#This Row],[Credit Points]]</f>
        <v>200</v>
      </c>
      <c r="F154">
        <v>1</v>
      </c>
      <c r="G154" t="s">
        <v>536</v>
      </c>
      <c r="H154">
        <v>0</v>
      </c>
      <c r="I154" t="s">
        <v>537</v>
      </c>
      <c r="J154" t="s">
        <v>160</v>
      </c>
      <c r="K154">
        <v>1</v>
      </c>
      <c r="L154" t="s">
        <v>159</v>
      </c>
      <c r="M154">
        <v>200</v>
      </c>
      <c r="N154" s="194">
        <v>45292</v>
      </c>
      <c r="O154" s="194"/>
      <c r="Q154" t="s">
        <v>160</v>
      </c>
      <c r="R154">
        <v>1</v>
      </c>
    </row>
    <row r="155" spans="1:18" x14ac:dyDescent="0.25">
      <c r="B155"/>
      <c r="E155"/>
      <c r="F155" s="87"/>
      <c r="G155" s="88" t="s">
        <v>522</v>
      </c>
      <c r="H155" s="258">
        <v>45292</v>
      </c>
      <c r="J155" s="259" t="s">
        <v>141</v>
      </c>
      <c r="K155" s="260" t="s">
        <v>71</v>
      </c>
      <c r="L155" s="119" t="s">
        <v>140</v>
      </c>
      <c r="N155" s="242" t="s">
        <v>524</v>
      </c>
      <c r="O155" s="208">
        <v>45552</v>
      </c>
    </row>
    <row r="156" spans="1:18" x14ac:dyDescent="0.25">
      <c r="A156" t="s">
        <v>0</v>
      </c>
      <c r="B156" s="1" t="s">
        <v>525</v>
      </c>
      <c r="C156" t="s">
        <v>21</v>
      </c>
      <c r="D156" t="s">
        <v>3</v>
      </c>
      <c r="E156" s="89" t="s">
        <v>526</v>
      </c>
      <c r="F156" t="s">
        <v>527</v>
      </c>
      <c r="G156" t="s">
        <v>528</v>
      </c>
      <c r="H156" t="s">
        <v>529</v>
      </c>
      <c r="I156" t="s">
        <v>22</v>
      </c>
      <c r="J156" t="s">
        <v>530</v>
      </c>
      <c r="K156" t="s">
        <v>1</v>
      </c>
      <c r="L156" t="s">
        <v>531</v>
      </c>
      <c r="M156" t="s">
        <v>58</v>
      </c>
      <c r="N156" s="193" t="s">
        <v>532</v>
      </c>
      <c r="O156" s="193" t="s">
        <v>533</v>
      </c>
      <c r="Q156" t="s">
        <v>534</v>
      </c>
      <c r="R156" t="s">
        <v>535</v>
      </c>
    </row>
    <row r="157" spans="1:18" x14ac:dyDescent="0.25">
      <c r="A157" t="str">
        <f>TableOUMPEDUPR[[#This Row],[Study Package Code]]</f>
        <v>EDPR5011</v>
      </c>
      <c r="B157" s="1">
        <f>TableOUMPEDUPR[[#This Row],[Ver]]</f>
        <v>3</v>
      </c>
      <c r="C157" t="str">
        <f>LEFT(TableOUMPEDUPR[[#This Row],[Structure Line]], FIND(" ", TableOUMPEDUPR[[#This Row],[Structure Line]])-1)</f>
        <v>MTP502</v>
      </c>
      <c r="D157" t="str">
        <f>MID(TableOUMPEDUPR[[#This Row],[Structure Line]],FIND(" ",TableOUMPEDUPR[[#This Row],[Structure Line]])+1,LEN(TableOUMPEDUPR[[#This Row],[Structure Line]]))</f>
        <v>Primary Professional Experience 1: Planning for Writing</v>
      </c>
      <c r="E157" s="89">
        <f>TableOUMPEDUPR[[#This Row],[Credit Points]]</f>
        <v>25</v>
      </c>
      <c r="F157">
        <v>1</v>
      </c>
      <c r="G157" t="s">
        <v>539</v>
      </c>
      <c r="H157">
        <v>1</v>
      </c>
      <c r="I157" t="s">
        <v>613</v>
      </c>
      <c r="J157" t="s">
        <v>92</v>
      </c>
      <c r="K157">
        <v>3</v>
      </c>
      <c r="L157" t="s">
        <v>557</v>
      </c>
      <c r="M157">
        <v>25</v>
      </c>
      <c r="N157" s="194">
        <v>44562</v>
      </c>
      <c r="O157" s="194"/>
      <c r="Q157" t="s">
        <v>92</v>
      </c>
      <c r="R157">
        <v>3</v>
      </c>
    </row>
    <row r="158" spans="1:18" x14ac:dyDescent="0.25">
      <c r="A158" t="str">
        <f>TableOUMPEDUPR[[#This Row],[Study Package Code]]</f>
        <v>EDUC5012</v>
      </c>
      <c r="B158" s="1">
        <f>TableOUMPEDUPR[[#This Row],[Ver]]</f>
        <v>2</v>
      </c>
      <c r="C158" t="str">
        <f>LEFT(TableOUMPEDUPR[[#This Row],[Structure Line]], FIND(" ", TableOUMPEDUPR[[#This Row],[Structure Line]])-1)</f>
        <v>MTPS500</v>
      </c>
      <c r="D158" t="str">
        <f>MID(TableOUMPEDUPR[[#This Row],[Structure Line]],FIND(" ",TableOUMPEDUPR[[#This Row],[Structure Line]])+1,LEN(TableOUMPEDUPR[[#This Row],[Structure Line]]))</f>
        <v>Theories of Development and Learning</v>
      </c>
      <c r="E158" s="89">
        <f>TableOUMPEDUPR[[#This Row],[Credit Points]]</f>
        <v>25</v>
      </c>
      <c r="F158">
        <v>2</v>
      </c>
      <c r="G158" t="s">
        <v>539</v>
      </c>
      <c r="H158">
        <v>1</v>
      </c>
      <c r="I158" t="s">
        <v>613</v>
      </c>
      <c r="J158" t="s">
        <v>75</v>
      </c>
      <c r="K158">
        <v>2</v>
      </c>
      <c r="L158" t="s">
        <v>547</v>
      </c>
      <c r="M158">
        <v>25</v>
      </c>
      <c r="N158" s="194">
        <v>44197</v>
      </c>
      <c r="O158" s="194"/>
      <c r="Q158" t="s">
        <v>75</v>
      </c>
      <c r="R158">
        <v>2</v>
      </c>
    </row>
    <row r="159" spans="1:18" x14ac:dyDescent="0.25">
      <c r="A159" t="str">
        <f>TableOUMPEDUPR[[#This Row],[Study Package Code]]</f>
        <v>EDPR5012</v>
      </c>
      <c r="B159" s="1">
        <f>TableOUMPEDUPR[[#This Row],[Ver]]</f>
        <v>1</v>
      </c>
      <c r="C159" t="str">
        <f>LEFT(TableOUMPEDUPR[[#This Row],[Structure Line]], FIND(" ", TableOUMPEDUPR[[#This Row],[Structure Line]])-1)</f>
        <v>MTP505</v>
      </c>
      <c r="D159" t="str">
        <f>MID(TableOUMPEDUPR[[#This Row],[Structure Line]],FIND(" ",TableOUMPEDUPR[[#This Row],[Structure Line]])+1,LEN(TableOUMPEDUPR[[#This Row],[Structure Line]]))</f>
        <v>Teaching Science in the Primary Years</v>
      </c>
      <c r="E159" s="89">
        <f>TableOUMPEDUPR[[#This Row],[Credit Points]]</f>
        <v>25</v>
      </c>
      <c r="F159">
        <v>3</v>
      </c>
      <c r="G159" t="s">
        <v>539</v>
      </c>
      <c r="H159">
        <v>1</v>
      </c>
      <c r="I159" t="s">
        <v>614</v>
      </c>
      <c r="J159" t="s">
        <v>86</v>
      </c>
      <c r="K159">
        <v>1</v>
      </c>
      <c r="L159" t="s">
        <v>558</v>
      </c>
      <c r="M159">
        <v>25</v>
      </c>
      <c r="N159" s="194">
        <v>42736</v>
      </c>
      <c r="O159" s="194"/>
      <c r="Q159" t="s">
        <v>86</v>
      </c>
      <c r="R159">
        <v>1</v>
      </c>
    </row>
    <row r="160" spans="1:18" x14ac:dyDescent="0.25">
      <c r="A160" t="str">
        <f>TableOUMPEDUPR[[#This Row],[Study Package Code]]</f>
        <v>EDPR5013</v>
      </c>
      <c r="B160" s="1">
        <f>TableOUMPEDUPR[[#This Row],[Ver]]</f>
        <v>1</v>
      </c>
      <c r="C160" t="str">
        <f>LEFT(TableOUMPEDUPR[[#This Row],[Structure Line]], FIND(" ", TableOUMPEDUPR[[#This Row],[Structure Line]])-1)</f>
        <v>MTP506</v>
      </c>
      <c r="D160" t="str">
        <f>MID(TableOUMPEDUPR[[#This Row],[Structure Line]],FIND(" ",TableOUMPEDUPR[[#This Row],[Structure Line]])+1,LEN(TableOUMPEDUPR[[#This Row],[Structure Line]]))</f>
        <v>Primary Professional Experience 2: Assessment and Reporting</v>
      </c>
      <c r="E160" s="89">
        <f>TableOUMPEDUPR[[#This Row],[Credit Points]]</f>
        <v>25</v>
      </c>
      <c r="F160">
        <v>4</v>
      </c>
      <c r="G160" t="s">
        <v>539</v>
      </c>
      <c r="H160">
        <v>1</v>
      </c>
      <c r="I160" t="s">
        <v>614</v>
      </c>
      <c r="J160" t="s">
        <v>100</v>
      </c>
      <c r="K160">
        <v>1</v>
      </c>
      <c r="L160" t="s">
        <v>559</v>
      </c>
      <c r="M160">
        <v>25</v>
      </c>
      <c r="N160" s="194">
        <v>42736</v>
      </c>
      <c r="O160" s="194"/>
      <c r="Q160" t="s">
        <v>100</v>
      </c>
      <c r="R160">
        <v>1</v>
      </c>
    </row>
    <row r="161" spans="1:18" x14ac:dyDescent="0.25">
      <c r="A161" t="str">
        <f>TableOUMPEDUPR[[#This Row],[Study Package Code]]</f>
        <v>EDUC5032</v>
      </c>
      <c r="B161" s="1">
        <f>TableOUMPEDUPR[[#This Row],[Ver]]</f>
        <v>1</v>
      </c>
      <c r="C161" t="str">
        <f>LEFT(TableOUMPEDUPR[[#This Row],[Structure Line]], FIND(" ", TableOUMPEDUPR[[#This Row],[Structure Line]])-1)</f>
        <v>MTC510</v>
      </c>
      <c r="D161" t="str">
        <f>MID(TableOUMPEDUPR[[#This Row],[Structure Line]],FIND(" ",TableOUMPEDUPR[[#This Row],[Structure Line]])+1,LEN(TableOUMPEDUPR[[#This Row],[Structure Line]]))</f>
        <v>Introduction to English: Reading</v>
      </c>
      <c r="E161" s="89">
        <f>TableOUMPEDUPR[[#This Row],[Credit Points]]</f>
        <v>25</v>
      </c>
      <c r="F161">
        <v>5</v>
      </c>
      <c r="G161" t="s">
        <v>539</v>
      </c>
      <c r="H161">
        <v>1</v>
      </c>
      <c r="I161" t="s">
        <v>615</v>
      </c>
      <c r="J161" t="s">
        <v>81</v>
      </c>
      <c r="K161">
        <v>1</v>
      </c>
      <c r="L161" t="s">
        <v>540</v>
      </c>
      <c r="M161">
        <v>25</v>
      </c>
      <c r="N161" s="194">
        <v>44562</v>
      </c>
      <c r="O161" s="194"/>
      <c r="Q161" t="s">
        <v>81</v>
      </c>
      <c r="R161">
        <v>1</v>
      </c>
    </row>
    <row r="162" spans="1:18" x14ac:dyDescent="0.25">
      <c r="A162" t="str">
        <f>TableOUMPEDUPR[[#This Row],[Study Package Code]]</f>
        <v>EDUC6063</v>
      </c>
      <c r="B162" s="1">
        <f>TableOUMPEDUPR[[#This Row],[Ver]]</f>
        <v>1</v>
      </c>
      <c r="C162" t="str">
        <f>LEFT(TableOUMPEDUPR[[#This Row],[Structure Line]], FIND(" ", TableOUMPEDUPR[[#This Row],[Structure Line]])-1)</f>
        <v>MTC600</v>
      </c>
      <c r="D162" t="str">
        <f>MID(TableOUMPEDUPR[[#This Row],[Structure Line]],FIND(" ",TableOUMPEDUPR[[#This Row],[Structure Line]])+1,LEN(TableOUMPEDUPR[[#This Row],[Structure Line]]))</f>
        <v>Professional Experience 3: Using Data to Inform Teaching and Learning</v>
      </c>
      <c r="E162" s="89">
        <f>TableOUMPEDUPR[[#This Row],[Credit Points]]</f>
        <v>25</v>
      </c>
      <c r="F162">
        <v>6</v>
      </c>
      <c r="G162" t="s">
        <v>539</v>
      </c>
      <c r="H162">
        <v>1</v>
      </c>
      <c r="I162" t="s">
        <v>615</v>
      </c>
      <c r="J162" t="s">
        <v>120</v>
      </c>
      <c r="K162">
        <v>1</v>
      </c>
      <c r="L162" t="s">
        <v>548</v>
      </c>
      <c r="M162">
        <v>25</v>
      </c>
      <c r="N162" s="194">
        <v>44562</v>
      </c>
      <c r="O162" s="194"/>
      <c r="Q162" t="s">
        <v>120</v>
      </c>
      <c r="R162">
        <v>1</v>
      </c>
    </row>
    <row r="163" spans="1:18" x14ac:dyDescent="0.25">
      <c r="A163" t="str">
        <f>TableOUMPEDUPR[[#This Row],[Study Package Code]]</f>
        <v>EDPR5010</v>
      </c>
      <c r="B163" s="1">
        <f>TableOUMPEDUPR[[#This Row],[Ver]]</f>
        <v>1</v>
      </c>
      <c r="C163" t="str">
        <f>LEFT(TableOUMPEDUPR[[#This Row],[Structure Line]], FIND(" ", TableOUMPEDUPR[[#This Row],[Structure Line]])-1)</f>
        <v>MTP501</v>
      </c>
      <c r="D163" t="str">
        <f>MID(TableOUMPEDUPR[[#This Row],[Structure Line]],FIND(" ",TableOUMPEDUPR[[#This Row],[Structure Line]])+1,LEN(TableOUMPEDUPR[[#This Row],[Structure Line]]))</f>
        <v>Teaching Number, Algebra and Probability in the Primary Years</v>
      </c>
      <c r="E163" s="89">
        <f>TableOUMPEDUPR[[#This Row],[Credit Points]]</f>
        <v>25</v>
      </c>
      <c r="F163">
        <v>7</v>
      </c>
      <c r="G163" t="s">
        <v>539</v>
      </c>
      <c r="H163">
        <v>1</v>
      </c>
      <c r="I163" t="s">
        <v>616</v>
      </c>
      <c r="J163" t="s">
        <v>87</v>
      </c>
      <c r="K163">
        <v>1</v>
      </c>
      <c r="L163" t="s">
        <v>556</v>
      </c>
      <c r="M163">
        <v>25</v>
      </c>
      <c r="N163" s="194">
        <v>42736</v>
      </c>
      <c r="O163" s="194"/>
      <c r="Q163" t="s">
        <v>87</v>
      </c>
      <c r="R163">
        <v>1</v>
      </c>
    </row>
    <row r="164" spans="1:18" x14ac:dyDescent="0.25">
      <c r="A164" t="str">
        <f>TableOUMPEDUPR[[#This Row],[Study Package Code]]</f>
        <v>EDUC5017</v>
      </c>
      <c r="B164" s="1">
        <f>TableOUMPEDUPR[[#This Row],[Ver]]</f>
        <v>1</v>
      </c>
      <c r="C164" t="str">
        <f>LEFT(TableOUMPEDUPR[[#This Row],[Structure Line]], FIND(" ", TableOUMPEDUPR[[#This Row],[Structure Line]])-1)</f>
        <v>MTPS504</v>
      </c>
      <c r="D164" t="str">
        <f>MID(TableOUMPEDUPR[[#This Row],[Structure Line]],FIND(" ",TableOUMPEDUPR[[#This Row],[Structure Line]])+1,LEN(TableOUMPEDUPR[[#This Row],[Structure Line]]))</f>
        <v>Creative Technologies</v>
      </c>
      <c r="E164" s="89">
        <f>TableOUMPEDUPR[[#This Row],[Credit Points]]</f>
        <v>25</v>
      </c>
      <c r="F164">
        <v>8</v>
      </c>
      <c r="G164" t="s">
        <v>539</v>
      </c>
      <c r="H164">
        <v>1</v>
      </c>
      <c r="I164" t="s">
        <v>616</v>
      </c>
      <c r="J164" t="s">
        <v>95</v>
      </c>
      <c r="K164">
        <v>1</v>
      </c>
      <c r="L164" t="s">
        <v>555</v>
      </c>
      <c r="M164">
        <v>25</v>
      </c>
      <c r="N164" s="194">
        <v>42736</v>
      </c>
      <c r="O164" s="194"/>
      <c r="Q164" t="s">
        <v>95</v>
      </c>
      <c r="R164">
        <v>1</v>
      </c>
    </row>
    <row r="165" spans="1:18" x14ac:dyDescent="0.25">
      <c r="B165"/>
      <c r="E165"/>
      <c r="F165" s="87"/>
      <c r="G165" s="88" t="s">
        <v>522</v>
      </c>
      <c r="H165" s="258">
        <v>45292</v>
      </c>
      <c r="J165" s="259" t="s">
        <v>160</v>
      </c>
      <c r="K165" s="260" t="s">
        <v>71</v>
      </c>
      <c r="L165" s="119" t="s">
        <v>159</v>
      </c>
      <c r="N165" s="242" t="s">
        <v>524</v>
      </c>
      <c r="O165" s="208">
        <v>45552</v>
      </c>
    </row>
    <row r="166" spans="1:18" x14ac:dyDescent="0.25">
      <c r="A166" t="s">
        <v>0</v>
      </c>
      <c r="B166" s="1" t="s">
        <v>525</v>
      </c>
      <c r="C166" t="s">
        <v>21</v>
      </c>
      <c r="D166" t="s">
        <v>3</v>
      </c>
      <c r="E166" s="89" t="s">
        <v>526</v>
      </c>
      <c r="F166" t="s">
        <v>527</v>
      </c>
      <c r="G166" t="s">
        <v>528</v>
      </c>
      <c r="H166" t="s">
        <v>529</v>
      </c>
      <c r="I166" t="s">
        <v>22</v>
      </c>
      <c r="J166" t="s">
        <v>530</v>
      </c>
      <c r="K166" t="s">
        <v>1</v>
      </c>
      <c r="L166" t="s">
        <v>531</v>
      </c>
      <c r="M166" t="s">
        <v>58</v>
      </c>
      <c r="N166" s="193" t="s">
        <v>532</v>
      </c>
      <c r="O166" s="193" t="s">
        <v>533</v>
      </c>
      <c r="Q166" t="s">
        <v>534</v>
      </c>
      <c r="R166" t="s">
        <v>535</v>
      </c>
    </row>
    <row r="167" spans="1:18" x14ac:dyDescent="0.25">
      <c r="A167" t="str">
        <f>TableOUMPEDUSC[[#This Row],[Study Package Code]]</f>
        <v>Opt-EDUSC</v>
      </c>
      <c r="B167" s="1">
        <f>TableOUMPEDUSC[[#This Row],[Ver]]</f>
        <v>0</v>
      </c>
      <c r="D167" t="str">
        <f>TableOUMPEDUSC[[#This Row],[Structure Line]]</f>
        <v>Teaching Area Options (Grad Dip)</v>
      </c>
      <c r="E167" s="89">
        <f>TableOUMPEDUSC[[#This Row],[Credit Points]]</f>
        <v>50</v>
      </c>
      <c r="F167">
        <v>1</v>
      </c>
      <c r="G167" t="s">
        <v>571</v>
      </c>
      <c r="H167">
        <v>1</v>
      </c>
      <c r="I167" t="s">
        <v>537</v>
      </c>
      <c r="J167" t="s">
        <v>617</v>
      </c>
      <c r="K167">
        <v>0</v>
      </c>
      <c r="L167" t="s">
        <v>618</v>
      </c>
      <c r="M167">
        <v>50</v>
      </c>
      <c r="N167" s="194"/>
      <c r="O167" s="194"/>
      <c r="Q167" t="s">
        <v>571</v>
      </c>
      <c r="R167">
        <v>0</v>
      </c>
    </row>
    <row r="168" spans="1:18" x14ac:dyDescent="0.25">
      <c r="A168" t="str">
        <f>TableOUMPEDUSC[[#This Row],[Study Package Code]]</f>
        <v>EDSC5037</v>
      </c>
      <c r="B168" s="1">
        <f>TableOUMPEDUSC[[#This Row],[Ver]]</f>
        <v>1</v>
      </c>
      <c r="C168" t="str">
        <f>LEFT(TableOUMPEDUSC[[#This Row],[Structure Line]], FIND(" ", TableOUMPEDUSC[[#This Row],[Structure Line]])-1)</f>
        <v>MTS500</v>
      </c>
      <c r="D168" t="str">
        <f>MID(TableOUMPEDUSC[[#This Row],[Structure Line]],FIND(" ",TableOUMPEDUSC[[#This Row],[Structure Line]])+1,LEN(TableOUMPEDUSC[[#This Row],[Structure Line]]))</f>
        <v>Teaching in the Secondary School</v>
      </c>
      <c r="E168" s="89">
        <f>TableOUMPEDUSC[[#This Row],[Credit Points]]</f>
        <v>25</v>
      </c>
      <c r="F168">
        <v>2</v>
      </c>
      <c r="G168" t="s">
        <v>539</v>
      </c>
      <c r="H168">
        <v>1</v>
      </c>
      <c r="I168" t="s">
        <v>613</v>
      </c>
      <c r="J168" t="s">
        <v>281</v>
      </c>
      <c r="K168">
        <v>1</v>
      </c>
      <c r="L168" t="s">
        <v>566</v>
      </c>
      <c r="M168">
        <v>25</v>
      </c>
      <c r="N168" s="194">
        <v>42736</v>
      </c>
      <c r="O168" s="194"/>
      <c r="Q168" t="s">
        <v>281</v>
      </c>
      <c r="R168">
        <v>1</v>
      </c>
    </row>
    <row r="169" spans="1:18" x14ac:dyDescent="0.25">
      <c r="A169" t="str">
        <f>TableOUMPEDUSC[[#This Row],[Study Package Code]]</f>
        <v>EDSC5039</v>
      </c>
      <c r="B169" s="1">
        <f>TableOUMPEDUSC[[#This Row],[Ver]]</f>
        <v>1</v>
      </c>
      <c r="C169" t="str">
        <f>LEFT(TableOUMPEDUSC[[#This Row],[Structure Line]], FIND(" ", TableOUMPEDUSC[[#This Row],[Structure Line]])-1)</f>
        <v>MTS502</v>
      </c>
      <c r="D169" t="str">
        <f>MID(TableOUMPEDUSC[[#This Row],[Structure Line]],FIND(" ",TableOUMPEDUSC[[#This Row],[Structure Line]])+1,LEN(TableOUMPEDUSC[[#This Row],[Structure Line]]))</f>
        <v>Secondary Professional Experience 1: Planning</v>
      </c>
      <c r="E169" s="89">
        <f>TableOUMPEDUSC[[#This Row],[Credit Points]]</f>
        <v>25</v>
      </c>
      <c r="F169">
        <v>3</v>
      </c>
      <c r="G169" t="s">
        <v>539</v>
      </c>
      <c r="H169">
        <v>1</v>
      </c>
      <c r="I169" t="s">
        <v>613</v>
      </c>
      <c r="J169" t="s">
        <v>290</v>
      </c>
      <c r="K169">
        <v>1</v>
      </c>
      <c r="L169" t="s">
        <v>568</v>
      </c>
      <c r="M169">
        <v>25</v>
      </c>
      <c r="N169" s="194">
        <v>42736</v>
      </c>
      <c r="O169" s="194"/>
      <c r="Q169" t="s">
        <v>290</v>
      </c>
      <c r="R169">
        <v>1</v>
      </c>
    </row>
    <row r="170" spans="1:18" x14ac:dyDescent="0.25">
      <c r="A170" t="str">
        <f>TableOUMPEDUSC[[#This Row],[Study Package Code]]</f>
        <v>EDSC5051</v>
      </c>
      <c r="B170" s="1">
        <f>TableOUMPEDUSC[[#This Row],[Ver]]</f>
        <v>1</v>
      </c>
      <c r="C170" t="str">
        <f>LEFT(TableOUMPEDUSC[[#This Row],[Structure Line]], FIND(" ", TableOUMPEDUSC[[#This Row],[Structure Line]])-1)</f>
        <v>MTS504</v>
      </c>
      <c r="D170" t="str">
        <f>MID(TableOUMPEDUSC[[#This Row],[Structure Line]],FIND(" ",TableOUMPEDUSC[[#This Row],[Structure Line]])+1,LEN(TableOUMPEDUSC[[#This Row],[Structure Line]]))</f>
        <v>Secondary Professional Experience 2: Assessment and Reporting</v>
      </c>
      <c r="E170" s="89">
        <f>TableOUMPEDUSC[[#This Row],[Credit Points]]</f>
        <v>25</v>
      </c>
      <c r="F170">
        <v>4</v>
      </c>
      <c r="G170" t="s">
        <v>539</v>
      </c>
      <c r="H170">
        <v>1</v>
      </c>
      <c r="I170" t="s">
        <v>614</v>
      </c>
      <c r="J170" t="s">
        <v>294</v>
      </c>
      <c r="K170">
        <v>1</v>
      </c>
      <c r="L170" t="s">
        <v>570</v>
      </c>
      <c r="M170">
        <v>25</v>
      </c>
      <c r="N170" s="194">
        <v>42736</v>
      </c>
      <c r="O170" s="194"/>
      <c r="Q170" t="s">
        <v>294</v>
      </c>
      <c r="R170">
        <v>1</v>
      </c>
    </row>
    <row r="171" spans="1:18" x14ac:dyDescent="0.25">
      <c r="A171" t="str">
        <f>TableOUMPEDUSC[[#This Row],[Study Package Code]]</f>
        <v>EDUC6063</v>
      </c>
      <c r="B171" s="1">
        <f>TableOUMPEDUSC[[#This Row],[Ver]]</f>
        <v>1</v>
      </c>
      <c r="C171" t="str">
        <f>LEFT(TableOUMPEDUSC[[#This Row],[Structure Line]], FIND(" ", TableOUMPEDUSC[[#This Row],[Structure Line]])-1)</f>
        <v>MTC600</v>
      </c>
      <c r="D171" t="str">
        <f>MID(TableOUMPEDUSC[[#This Row],[Structure Line]],FIND(" ",TableOUMPEDUSC[[#This Row],[Structure Line]])+1,LEN(TableOUMPEDUSC[[#This Row],[Structure Line]]))</f>
        <v>Professional Experience 3: Using Data to Inform Teaching and Learning</v>
      </c>
      <c r="E171" s="89">
        <f>TableOUMPEDUSC[[#This Row],[Credit Points]]</f>
        <v>25</v>
      </c>
      <c r="F171">
        <v>5</v>
      </c>
      <c r="G171" t="s">
        <v>539</v>
      </c>
      <c r="H171">
        <v>1</v>
      </c>
      <c r="I171" t="s">
        <v>615</v>
      </c>
      <c r="J171" t="s">
        <v>120</v>
      </c>
      <c r="K171">
        <v>1</v>
      </c>
      <c r="L171" t="s">
        <v>548</v>
      </c>
      <c r="M171">
        <v>25</v>
      </c>
      <c r="N171" s="194">
        <v>44562</v>
      </c>
      <c r="O171" s="194"/>
      <c r="Q171" t="s">
        <v>120</v>
      </c>
      <c r="R171">
        <v>1</v>
      </c>
    </row>
    <row r="172" spans="1:18" x14ac:dyDescent="0.25">
      <c r="A172" t="str">
        <f>TableOUMPEDUSC[[#This Row],[Study Package Code]]</f>
        <v>EDUC5014</v>
      </c>
      <c r="B172" s="1">
        <f>TableOUMPEDUSC[[#This Row],[Ver]]</f>
        <v>1</v>
      </c>
      <c r="C172" t="str">
        <f>LEFT(TableOUMPEDUSC[[#This Row],[Structure Line]], FIND(" ", TableOUMPEDUSC[[#This Row],[Structure Line]])-1)</f>
        <v>MTPS501</v>
      </c>
      <c r="D172" t="str">
        <f>MID(TableOUMPEDUSC[[#This Row],[Structure Line]],FIND(" ",TableOUMPEDUSC[[#This Row],[Structure Line]])+1,LEN(TableOUMPEDUSC[[#This Row],[Structure Line]]))</f>
        <v>Pedagogies for Diversity</v>
      </c>
      <c r="E172" s="89">
        <f>TableOUMPEDUSC[[#This Row],[Credit Points]]</f>
        <v>25</v>
      </c>
      <c r="F172">
        <v>6</v>
      </c>
      <c r="G172" t="s">
        <v>539</v>
      </c>
      <c r="H172">
        <v>1</v>
      </c>
      <c r="I172" t="s">
        <v>615</v>
      </c>
      <c r="J172" t="s">
        <v>96</v>
      </c>
      <c r="K172">
        <v>1</v>
      </c>
      <c r="L172" t="s">
        <v>565</v>
      </c>
      <c r="M172">
        <v>25</v>
      </c>
      <c r="N172" s="194">
        <v>42736</v>
      </c>
      <c r="O172" s="194"/>
      <c r="Q172" t="s">
        <v>96</v>
      </c>
      <c r="R172">
        <v>1</v>
      </c>
    </row>
    <row r="173" spans="1:18" x14ac:dyDescent="0.25">
      <c r="A173" t="str">
        <f>TableOUMPEDUSC[[#This Row],[Study Package Code]]</f>
        <v>EDUC5017</v>
      </c>
      <c r="B173" s="1">
        <f>TableOUMPEDUSC[[#This Row],[Ver]]</f>
        <v>1</v>
      </c>
      <c r="C173" t="str">
        <f>LEFT(TableOUMPEDUSC[[#This Row],[Structure Line]], FIND(" ", TableOUMPEDUSC[[#This Row],[Structure Line]])-1)</f>
        <v>MTPS504</v>
      </c>
      <c r="D173" t="str">
        <f>MID(TableOUMPEDUSC[[#This Row],[Structure Line]],FIND(" ",TableOUMPEDUSC[[#This Row],[Structure Line]])+1,LEN(TableOUMPEDUSC[[#This Row],[Structure Line]]))</f>
        <v>Creative Technologies</v>
      </c>
      <c r="E173" s="89">
        <f>TableOUMPEDUSC[[#This Row],[Credit Points]]</f>
        <v>25</v>
      </c>
      <c r="F173">
        <v>7</v>
      </c>
      <c r="G173" t="s">
        <v>539</v>
      </c>
      <c r="H173">
        <v>1</v>
      </c>
      <c r="I173" t="s">
        <v>616</v>
      </c>
      <c r="J173" t="s">
        <v>95</v>
      </c>
      <c r="K173">
        <v>1</v>
      </c>
      <c r="L173" t="s">
        <v>555</v>
      </c>
      <c r="M173">
        <v>25</v>
      </c>
      <c r="N173" s="194">
        <v>42736</v>
      </c>
      <c r="O173" s="194"/>
      <c r="Q173" t="s">
        <v>95</v>
      </c>
      <c r="R173">
        <v>1</v>
      </c>
    </row>
    <row r="174" spans="1:18" x14ac:dyDescent="0.25">
      <c r="A174" t="str">
        <f>TableOUMPEDUSC[[#This Row],[Study Package Code]]</f>
        <v>EDSC5041</v>
      </c>
      <c r="B174" s="1">
        <f>TableOUMPEDUSC[[#This Row],[Ver]]</f>
        <v>1</v>
      </c>
      <c r="C174" t="str">
        <f>LEFT(TableOUMPEDUSC[[#This Row],[Structure Line]], FIND(" ", TableOUMPEDUSC[[#This Row],[Structure Line]])-1)</f>
        <v>MTS506</v>
      </c>
      <c r="D174" t="str">
        <f>MID(TableOUMPEDUSC[[#This Row],[Structure Line]],FIND(" ",TableOUMPEDUSC[[#This Row],[Structure Line]])+1,LEN(TableOUMPEDUSC[[#This Row],[Structure Line]]))</f>
        <v>Curriculum and Instruction Lower Secondary: The Arts</v>
      </c>
      <c r="E174" s="89">
        <f>TableOUMPEDUSC[[#This Row],[Credit Points]]</f>
        <v>25</v>
      </c>
      <c r="F174">
        <v>1</v>
      </c>
      <c r="G174" t="s">
        <v>571</v>
      </c>
      <c r="H174">
        <v>1</v>
      </c>
      <c r="I174" t="s">
        <v>537</v>
      </c>
      <c r="J174" t="s">
        <v>315</v>
      </c>
      <c r="K174">
        <v>1</v>
      </c>
      <c r="L174" t="s">
        <v>573</v>
      </c>
      <c r="M174">
        <v>25</v>
      </c>
      <c r="N174" s="194">
        <v>42736</v>
      </c>
      <c r="O174" s="194"/>
      <c r="Q174" t="s">
        <v>315</v>
      </c>
      <c r="R174">
        <v>1</v>
      </c>
    </row>
    <row r="175" spans="1:18" x14ac:dyDescent="0.25">
      <c r="A175" t="str">
        <f>TableOUMPEDUSC[[#This Row],[Study Package Code]]</f>
        <v>EDSC5042</v>
      </c>
      <c r="B175" s="1">
        <f>TableOUMPEDUSC[[#This Row],[Ver]]</f>
        <v>1</v>
      </c>
      <c r="C175" t="str">
        <f>LEFT(TableOUMPEDUSC[[#This Row],[Structure Line]], FIND(" ", TableOUMPEDUSC[[#This Row],[Structure Line]])-1)</f>
        <v>MTS507</v>
      </c>
      <c r="D175" t="str">
        <f>MID(TableOUMPEDUSC[[#This Row],[Structure Line]],FIND(" ",TableOUMPEDUSC[[#This Row],[Structure Line]])+1,LEN(TableOUMPEDUSC[[#This Row],[Structure Line]]))</f>
        <v>Curriculum and Instruction Lower Secondary: English</v>
      </c>
      <c r="E175" s="89">
        <f>TableOUMPEDUSC[[#This Row],[Credit Points]]</f>
        <v>25</v>
      </c>
      <c r="F175">
        <v>1</v>
      </c>
      <c r="G175" t="s">
        <v>571</v>
      </c>
      <c r="H175">
        <v>1</v>
      </c>
      <c r="I175" t="s">
        <v>537</v>
      </c>
      <c r="J175" t="s">
        <v>316</v>
      </c>
      <c r="K175">
        <v>1</v>
      </c>
      <c r="L175" t="s">
        <v>574</v>
      </c>
      <c r="M175">
        <v>25</v>
      </c>
      <c r="N175" s="194">
        <v>42736</v>
      </c>
      <c r="O175" s="194"/>
      <c r="Q175" t="s">
        <v>316</v>
      </c>
      <c r="R175">
        <v>1</v>
      </c>
    </row>
    <row r="176" spans="1:18" x14ac:dyDescent="0.25">
      <c r="A176" t="str">
        <f>TableOUMPEDUSC[[#This Row],[Study Package Code]]</f>
        <v>EDSC5043</v>
      </c>
      <c r="B176" s="1">
        <f>TableOUMPEDUSC[[#This Row],[Ver]]</f>
        <v>1</v>
      </c>
      <c r="C176" t="str">
        <f>LEFT(TableOUMPEDUSC[[#This Row],[Structure Line]], FIND(" ", TableOUMPEDUSC[[#This Row],[Structure Line]])-1)</f>
        <v>MTS508</v>
      </c>
      <c r="D176" t="str">
        <f>MID(TableOUMPEDUSC[[#This Row],[Structure Line]],FIND(" ",TableOUMPEDUSC[[#This Row],[Structure Line]])+1,LEN(TableOUMPEDUSC[[#This Row],[Structure Line]]))</f>
        <v>Curriculum and Instruction Lower Secondary: Humanities and Social Sciences</v>
      </c>
      <c r="E176" s="89">
        <f>TableOUMPEDUSC[[#This Row],[Credit Points]]</f>
        <v>25</v>
      </c>
      <c r="F176">
        <v>1</v>
      </c>
      <c r="G176" t="s">
        <v>571</v>
      </c>
      <c r="H176">
        <v>1</v>
      </c>
      <c r="I176" t="s">
        <v>537</v>
      </c>
      <c r="J176" t="s">
        <v>318</v>
      </c>
      <c r="K176">
        <v>1</v>
      </c>
      <c r="L176" t="s">
        <v>575</v>
      </c>
      <c r="M176">
        <v>25</v>
      </c>
      <c r="N176" s="194">
        <v>42736</v>
      </c>
      <c r="O176" s="194"/>
      <c r="Q176" t="s">
        <v>318</v>
      </c>
      <c r="R176">
        <v>1</v>
      </c>
    </row>
    <row r="177" spans="1:18" x14ac:dyDescent="0.25">
      <c r="A177" t="str">
        <f>TableOUMPEDUSC[[#This Row],[Study Package Code]]</f>
        <v>EDSC5044</v>
      </c>
      <c r="B177" s="1">
        <f>TableOUMPEDUSC[[#This Row],[Ver]]</f>
        <v>1</v>
      </c>
      <c r="C177" t="str">
        <f>LEFT(TableOUMPEDUSC[[#This Row],[Structure Line]], FIND(" ", TableOUMPEDUSC[[#This Row],[Structure Line]])-1)</f>
        <v>MTS509</v>
      </c>
      <c r="D177" t="str">
        <f>MID(TableOUMPEDUSC[[#This Row],[Structure Line]],FIND(" ",TableOUMPEDUSC[[#This Row],[Structure Line]])+1,LEN(TableOUMPEDUSC[[#This Row],[Structure Line]]))</f>
        <v>Curriculum and Instruction Lower Secondary: Mathematics</v>
      </c>
      <c r="E177" s="89">
        <f>TableOUMPEDUSC[[#This Row],[Credit Points]]</f>
        <v>25</v>
      </c>
      <c r="F177">
        <v>1</v>
      </c>
      <c r="G177" t="s">
        <v>571</v>
      </c>
      <c r="H177">
        <v>1</v>
      </c>
      <c r="I177" t="s">
        <v>537</v>
      </c>
      <c r="J177" t="s">
        <v>319</v>
      </c>
      <c r="K177">
        <v>1</v>
      </c>
      <c r="L177" t="s">
        <v>576</v>
      </c>
      <c r="M177">
        <v>25</v>
      </c>
      <c r="N177" s="194">
        <v>42736</v>
      </c>
      <c r="O177" s="194"/>
      <c r="Q177" t="s">
        <v>319</v>
      </c>
      <c r="R177">
        <v>1</v>
      </c>
    </row>
    <row r="178" spans="1:18" x14ac:dyDescent="0.25">
      <c r="A178" t="str">
        <f>TableOUMPEDUSC[[#This Row],[Study Package Code]]</f>
        <v>EDSC5045</v>
      </c>
      <c r="B178" s="1">
        <f>TableOUMPEDUSC[[#This Row],[Ver]]</f>
        <v>1</v>
      </c>
      <c r="C178" t="str">
        <f>LEFT(TableOUMPEDUSC[[#This Row],[Structure Line]], FIND(" ", TableOUMPEDUSC[[#This Row],[Structure Line]])-1)</f>
        <v>MTS510</v>
      </c>
      <c r="D178" t="str">
        <f>MID(TableOUMPEDUSC[[#This Row],[Structure Line]],FIND(" ",TableOUMPEDUSC[[#This Row],[Structure Line]])+1,LEN(TableOUMPEDUSC[[#This Row],[Structure Line]]))</f>
        <v>Curriculum and Instruction Lower Secondary: Science</v>
      </c>
      <c r="E178" s="89">
        <f>TableOUMPEDUSC[[#This Row],[Credit Points]]</f>
        <v>25</v>
      </c>
      <c r="F178">
        <v>1</v>
      </c>
      <c r="G178" t="s">
        <v>571</v>
      </c>
      <c r="H178">
        <v>1</v>
      </c>
      <c r="I178" t="s">
        <v>537</v>
      </c>
      <c r="J178" t="s">
        <v>320</v>
      </c>
      <c r="K178">
        <v>1</v>
      </c>
      <c r="L178" t="s">
        <v>577</v>
      </c>
      <c r="M178">
        <v>25</v>
      </c>
      <c r="N178" s="194">
        <v>42736</v>
      </c>
      <c r="O178" s="194"/>
      <c r="Q178" t="s">
        <v>320</v>
      </c>
      <c r="R178">
        <v>1</v>
      </c>
    </row>
    <row r="179" spans="1:18" x14ac:dyDescent="0.25">
      <c r="A179" t="str">
        <f>TableOUMPEDUSC[[#This Row],[Study Package Code]]</f>
        <v>EDSC5046</v>
      </c>
      <c r="B179" s="1">
        <f>TableOUMPEDUSC[[#This Row],[Ver]]</f>
        <v>2</v>
      </c>
      <c r="C179" t="str">
        <f>LEFT(TableOUMPEDUSC[[#This Row],[Structure Line]], FIND(" ", TableOUMPEDUSC[[#This Row],[Structure Line]])-1)</f>
        <v>MTS511</v>
      </c>
      <c r="D179" t="str">
        <f>MID(TableOUMPEDUSC[[#This Row],[Structure Line]],FIND(" ",TableOUMPEDUSC[[#This Row],[Structure Line]])+1,LEN(TableOUMPEDUSC[[#This Row],[Structure Line]]))</f>
        <v>Curriculum and Instruction Senior Secondary: The Arts</v>
      </c>
      <c r="E179" s="89">
        <f>TableOUMPEDUSC[[#This Row],[Credit Points]]</f>
        <v>25</v>
      </c>
      <c r="F179">
        <v>1</v>
      </c>
      <c r="G179" t="s">
        <v>571</v>
      </c>
      <c r="H179">
        <v>1</v>
      </c>
      <c r="I179" t="s">
        <v>537</v>
      </c>
      <c r="J179" t="s">
        <v>323</v>
      </c>
      <c r="K179">
        <v>2</v>
      </c>
      <c r="L179" t="s">
        <v>578</v>
      </c>
      <c r="M179">
        <v>25</v>
      </c>
      <c r="N179" s="194">
        <v>43831</v>
      </c>
      <c r="O179" s="194"/>
      <c r="Q179" t="s">
        <v>323</v>
      </c>
      <c r="R179">
        <v>2</v>
      </c>
    </row>
    <row r="180" spans="1:18" x14ac:dyDescent="0.25">
      <c r="A180" t="str">
        <f>TableOUMPEDUSC[[#This Row],[Study Package Code]]</f>
        <v>EDSC5048</v>
      </c>
      <c r="B180" s="1">
        <f>TableOUMPEDUSC[[#This Row],[Ver]]</f>
        <v>2</v>
      </c>
      <c r="C180" t="str">
        <f>LEFT(TableOUMPEDUSC[[#This Row],[Structure Line]], FIND(" ", TableOUMPEDUSC[[#This Row],[Structure Line]])-1)</f>
        <v>MTS513</v>
      </c>
      <c r="D180" t="str">
        <f>MID(TableOUMPEDUSC[[#This Row],[Structure Line]],FIND(" ",TableOUMPEDUSC[[#This Row],[Structure Line]])+1,LEN(TableOUMPEDUSC[[#This Row],[Structure Line]]))</f>
        <v>Curriculum and Instruction Senior Secondary: Humanities and Social Sciences</v>
      </c>
      <c r="E180" s="89">
        <f>TableOUMPEDUSC[[#This Row],[Credit Points]]</f>
        <v>25</v>
      </c>
      <c r="F180">
        <v>1</v>
      </c>
      <c r="G180" t="s">
        <v>571</v>
      </c>
      <c r="H180">
        <v>1</v>
      </c>
      <c r="I180" t="s">
        <v>537</v>
      </c>
      <c r="J180" t="s">
        <v>326</v>
      </c>
      <c r="K180">
        <v>2</v>
      </c>
      <c r="L180" t="s">
        <v>579</v>
      </c>
      <c r="M180">
        <v>25</v>
      </c>
      <c r="N180" s="194">
        <v>43831</v>
      </c>
      <c r="O180" s="194"/>
      <c r="Q180" t="s">
        <v>326</v>
      </c>
      <c r="R180">
        <v>2</v>
      </c>
    </row>
    <row r="181" spans="1:18" x14ac:dyDescent="0.25">
      <c r="A181" t="str">
        <f>TableOUMPEDUSC[[#This Row],[Study Package Code]]</f>
        <v>EDSC5049</v>
      </c>
      <c r="B181" s="1">
        <f>TableOUMPEDUSC[[#This Row],[Ver]]</f>
        <v>2</v>
      </c>
      <c r="C181" t="str">
        <f>LEFT(TableOUMPEDUSC[[#This Row],[Structure Line]], FIND(" ", TableOUMPEDUSC[[#This Row],[Structure Line]])-1)</f>
        <v>MTS514</v>
      </c>
      <c r="D181" t="str">
        <f>MID(TableOUMPEDUSC[[#This Row],[Structure Line]],FIND(" ",TableOUMPEDUSC[[#This Row],[Structure Line]])+1,LEN(TableOUMPEDUSC[[#This Row],[Structure Line]]))</f>
        <v>Curriculum and Instruction Senior Secondary: Mathematics</v>
      </c>
      <c r="E181" s="89">
        <f>TableOUMPEDUSC[[#This Row],[Credit Points]]</f>
        <v>25</v>
      </c>
      <c r="F181">
        <v>1</v>
      </c>
      <c r="G181" t="s">
        <v>571</v>
      </c>
      <c r="H181">
        <v>1</v>
      </c>
      <c r="I181" t="s">
        <v>537</v>
      </c>
      <c r="J181" t="s">
        <v>327</v>
      </c>
      <c r="K181">
        <v>2</v>
      </c>
      <c r="L181" t="s">
        <v>580</v>
      </c>
      <c r="M181">
        <v>25</v>
      </c>
      <c r="N181" s="194">
        <v>43831</v>
      </c>
      <c r="O181" s="194"/>
      <c r="Q181" t="s">
        <v>327</v>
      </c>
      <c r="R181">
        <v>2</v>
      </c>
    </row>
    <row r="182" spans="1:18" x14ac:dyDescent="0.25">
      <c r="A182" t="str">
        <f>TableOUMPEDUSC[[#This Row],[Study Package Code]]</f>
        <v>EDSC5050</v>
      </c>
      <c r="B182" s="1">
        <f>TableOUMPEDUSC[[#This Row],[Ver]]</f>
        <v>2</v>
      </c>
      <c r="C182" t="str">
        <f>LEFT(TableOUMPEDUSC[[#This Row],[Structure Line]], FIND(" ", TableOUMPEDUSC[[#This Row],[Structure Line]])-1)</f>
        <v>MTS515</v>
      </c>
      <c r="D182" t="str">
        <f>MID(TableOUMPEDUSC[[#This Row],[Structure Line]],FIND(" ",TableOUMPEDUSC[[#This Row],[Structure Line]])+1,LEN(TableOUMPEDUSC[[#This Row],[Structure Line]]))</f>
        <v>Curriculum and Instruction Senior Secondary: Science</v>
      </c>
      <c r="E182" s="89">
        <f>TableOUMPEDUSC[[#This Row],[Credit Points]]</f>
        <v>25</v>
      </c>
      <c r="F182">
        <v>1</v>
      </c>
      <c r="G182" t="s">
        <v>571</v>
      </c>
      <c r="H182">
        <v>1</v>
      </c>
      <c r="I182" t="s">
        <v>537</v>
      </c>
      <c r="J182" t="s">
        <v>328</v>
      </c>
      <c r="K182">
        <v>2</v>
      </c>
      <c r="L182" t="s">
        <v>581</v>
      </c>
      <c r="M182">
        <v>25</v>
      </c>
      <c r="N182" s="194">
        <v>43831</v>
      </c>
      <c r="O182" s="194"/>
      <c r="Q182" t="s">
        <v>328</v>
      </c>
      <c r="R182">
        <v>2</v>
      </c>
    </row>
    <row r="183" spans="1:18" x14ac:dyDescent="0.25">
      <c r="A183" t="str">
        <f>TableOUMPEDUSC[[#This Row],[Study Package Code]]</f>
        <v>EDSC5054</v>
      </c>
      <c r="B183" s="1">
        <f>TableOUMPEDUSC[[#This Row],[Ver]]</f>
        <v>1</v>
      </c>
      <c r="C183" t="str">
        <f>LEFT(TableOUMPEDUSC[[#This Row],[Structure Line]], FIND(" ", TableOUMPEDUSC[[#This Row],[Structure Line]])-1)</f>
        <v>MTS512</v>
      </c>
      <c r="D183" t="str">
        <f>MID(TableOUMPEDUSC[[#This Row],[Structure Line]],FIND(" ",TableOUMPEDUSC[[#This Row],[Structure Line]])+1,LEN(TableOUMPEDUSC[[#This Row],[Structure Line]]))</f>
        <v>Curriculum and Instruction Senior Secondary: English</v>
      </c>
      <c r="E183" s="89">
        <f>TableOUMPEDUSC[[#This Row],[Credit Points]]</f>
        <v>25</v>
      </c>
      <c r="F183">
        <v>1</v>
      </c>
      <c r="G183" t="s">
        <v>571</v>
      </c>
      <c r="H183">
        <v>1</v>
      </c>
      <c r="I183" t="s">
        <v>537</v>
      </c>
      <c r="J183" t="s">
        <v>324</v>
      </c>
      <c r="K183">
        <v>1</v>
      </c>
      <c r="L183" t="s">
        <v>582</v>
      </c>
      <c r="M183">
        <v>25</v>
      </c>
      <c r="N183" s="194">
        <v>43831</v>
      </c>
      <c r="O183" s="194"/>
      <c r="Q183" t="s">
        <v>324</v>
      </c>
      <c r="R183">
        <v>1</v>
      </c>
    </row>
    <row r="184" spans="1:18" x14ac:dyDescent="0.25">
      <c r="A184" t="str">
        <f>TableOUMPEDUSC[[#This Row],[Study Package Code]]</f>
        <v>EDSC5056</v>
      </c>
      <c r="B184" s="1">
        <f>TableOUMPEDUSC[[#This Row],[Ver]]</f>
        <v>1</v>
      </c>
      <c r="C184" t="str">
        <f>LEFT(TableOUMPEDUSC[[#This Row],[Structure Line]], FIND(" ", TableOUMPEDUSC[[#This Row],[Structure Line]])-1)</f>
        <v>MTS516</v>
      </c>
      <c r="D184" t="str">
        <f>MID(TableOUMPEDUSC[[#This Row],[Structure Line]],FIND(" ",TableOUMPEDUSC[[#This Row],[Structure Line]])+1,LEN(TableOUMPEDUSC[[#This Row],[Structure Line]]))</f>
        <v>Curriculum and Instruction Lower Secondary: Health and Physical Education</v>
      </c>
      <c r="E184" s="89">
        <f>TableOUMPEDUSC[[#This Row],[Credit Points]]</f>
        <v>25</v>
      </c>
      <c r="F184">
        <v>1</v>
      </c>
      <c r="G184" t="s">
        <v>571</v>
      </c>
      <c r="H184">
        <v>1</v>
      </c>
      <c r="I184" t="s">
        <v>537</v>
      </c>
      <c r="J184" t="s">
        <v>317</v>
      </c>
      <c r="K184">
        <v>1</v>
      </c>
      <c r="L184" t="s">
        <v>583</v>
      </c>
      <c r="M184">
        <v>25</v>
      </c>
      <c r="N184" s="194">
        <v>43831</v>
      </c>
      <c r="O184" s="194"/>
      <c r="Q184" t="s">
        <v>317</v>
      </c>
      <c r="R184">
        <v>1</v>
      </c>
    </row>
    <row r="185" spans="1:18" x14ac:dyDescent="0.25">
      <c r="A185" t="str">
        <f>TableOUMPEDUSC[[#This Row],[Study Package Code]]</f>
        <v>EDSC5058</v>
      </c>
      <c r="B185" s="1">
        <f>TableOUMPEDUSC[[#This Row],[Ver]]</f>
        <v>1</v>
      </c>
      <c r="C185" t="str">
        <f>LEFT(TableOUMPEDUSC[[#This Row],[Structure Line]], FIND(" ", TableOUMPEDUSC[[#This Row],[Structure Line]])-1)</f>
        <v>MTS517</v>
      </c>
      <c r="D185" t="str">
        <f>MID(TableOUMPEDUSC[[#This Row],[Structure Line]],FIND(" ",TableOUMPEDUSC[[#This Row],[Structure Line]])+1,LEN(TableOUMPEDUSC[[#This Row],[Structure Line]]))</f>
        <v>Curriculum and Instruction Senior Secondary: Health and Physical Education</v>
      </c>
      <c r="E185" s="89">
        <f>TableOUMPEDUSC[[#This Row],[Credit Points]]</f>
        <v>25</v>
      </c>
      <c r="F185">
        <v>1</v>
      </c>
      <c r="G185" t="s">
        <v>571</v>
      </c>
      <c r="H185">
        <v>1</v>
      </c>
      <c r="I185" t="s">
        <v>537</v>
      </c>
      <c r="J185" t="s">
        <v>325</v>
      </c>
      <c r="K185">
        <v>1</v>
      </c>
      <c r="L185" t="s">
        <v>584</v>
      </c>
      <c r="M185">
        <v>25</v>
      </c>
      <c r="N185" s="194">
        <v>43831</v>
      </c>
      <c r="O185" s="194"/>
      <c r="Q185" t="s">
        <v>325</v>
      </c>
      <c r="R185">
        <v>1</v>
      </c>
    </row>
    <row r="186" spans="1:18" x14ac:dyDescent="0.25">
      <c r="N186" s="194"/>
      <c r="O186" s="194"/>
    </row>
    <row r="187" spans="1:18" x14ac:dyDescent="0.25">
      <c r="B187"/>
      <c r="E187"/>
      <c r="F187" s="87"/>
      <c r="G187" s="88" t="s">
        <v>522</v>
      </c>
      <c r="H187" s="258">
        <v>44197</v>
      </c>
      <c r="J187" s="259" t="s">
        <v>70</v>
      </c>
      <c r="K187" s="260" t="s">
        <v>71</v>
      </c>
      <c r="L187" s="119" t="s">
        <v>69</v>
      </c>
      <c r="N187" s="242" t="s">
        <v>524</v>
      </c>
      <c r="O187" s="208">
        <v>45552</v>
      </c>
    </row>
    <row r="188" spans="1:18" x14ac:dyDescent="0.25">
      <c r="A188" t="s">
        <v>0</v>
      </c>
      <c r="B188" s="1" t="s">
        <v>525</v>
      </c>
      <c r="C188" t="s">
        <v>21</v>
      </c>
      <c r="D188" t="s">
        <v>3</v>
      </c>
      <c r="E188" s="89" t="s">
        <v>526</v>
      </c>
      <c r="F188" t="s">
        <v>527</v>
      </c>
      <c r="G188" t="s">
        <v>528</v>
      </c>
      <c r="H188" t="s">
        <v>529</v>
      </c>
      <c r="I188" t="s">
        <v>22</v>
      </c>
      <c r="J188" t="s">
        <v>530</v>
      </c>
      <c r="K188" t="s">
        <v>1</v>
      </c>
      <c r="L188" t="s">
        <v>531</v>
      </c>
      <c r="M188" t="s">
        <v>58</v>
      </c>
      <c r="N188" s="193" t="s">
        <v>532</v>
      </c>
      <c r="O188" s="193" t="s">
        <v>533</v>
      </c>
      <c r="Q188" t="s">
        <v>534</v>
      </c>
      <c r="R188" t="s">
        <v>535</v>
      </c>
    </row>
    <row r="189" spans="1:18" x14ac:dyDescent="0.25">
      <c r="A189" t="str">
        <f>TableOCEDUCS1[[#This Row],[Study Package Code]]</f>
        <v>Opt-OCEDUC</v>
      </c>
      <c r="B189" s="1">
        <f>TableOCEDUCS1[[#This Row],[Ver]]</f>
        <v>0</v>
      </c>
      <c r="D189" t="str">
        <f>TableOCEDUCS1[[#This Row],[Structure Line]]</f>
        <v>Choose your optional units</v>
      </c>
      <c r="E189" s="89">
        <f>TableOCEDUCS1[[#This Row],[Credit Points]]</f>
        <v>100</v>
      </c>
      <c r="F189">
        <v>1</v>
      </c>
      <c r="G189" t="s">
        <v>571</v>
      </c>
      <c r="H189">
        <v>1</v>
      </c>
      <c r="I189" t="s">
        <v>537</v>
      </c>
      <c r="J189" t="s">
        <v>514</v>
      </c>
      <c r="K189">
        <v>0</v>
      </c>
      <c r="L189" t="s">
        <v>619</v>
      </c>
      <c r="M189">
        <v>100</v>
      </c>
      <c r="N189" s="194"/>
      <c r="O189" s="194"/>
      <c r="Q189" t="s">
        <v>620</v>
      </c>
    </row>
    <row r="190" spans="1:18" x14ac:dyDescent="0.25">
      <c r="A190" t="str">
        <f>TableOCEDUCS1[[#This Row],[Study Package Code]]</f>
        <v>EDEC5016</v>
      </c>
      <c r="B190" s="1">
        <f>TableOCEDUCS1[[#This Row],[Ver]]</f>
        <v>1</v>
      </c>
      <c r="C190" t="str">
        <f>LEFT(TableOCEDUCS1[[#This Row],[Structure Line]], FIND(" ", TableOCEDUCS1[[#This Row],[Structure Line]])-1)</f>
        <v>MTEC503</v>
      </c>
      <c r="D190" t="str">
        <f>MID(TableOCEDUCS1[[#This Row],[Structure Line]],FIND(" ",TableOCEDUCS1[[#This Row],[Structure Line]])+1,LEN(TableOCEDUCS1[[#This Row],[Structure Line]]))</f>
        <v>Numeracy for 5 to 8 Year-Olds</v>
      </c>
      <c r="E190" s="89">
        <f>TableOCEDUCS1[[#This Row],[Credit Points]]</f>
        <v>25</v>
      </c>
      <c r="F190">
        <v>1</v>
      </c>
      <c r="G190" t="s">
        <v>571</v>
      </c>
      <c r="H190">
        <v>1</v>
      </c>
      <c r="I190" t="s">
        <v>537</v>
      </c>
      <c r="J190" t="s">
        <v>84</v>
      </c>
      <c r="K190">
        <v>1</v>
      </c>
      <c r="L190" t="s">
        <v>543</v>
      </c>
      <c r="M190">
        <v>25</v>
      </c>
      <c r="N190" s="194">
        <v>43101</v>
      </c>
      <c r="O190" s="194"/>
      <c r="Q190" t="s">
        <v>84</v>
      </c>
      <c r="R190">
        <v>1</v>
      </c>
    </row>
    <row r="191" spans="1:18" x14ac:dyDescent="0.25">
      <c r="A191" t="str">
        <f>TableOCEDUCS1[[#This Row],[Study Package Code]]</f>
        <v>EDEC5018</v>
      </c>
      <c r="B191" s="1">
        <f>TableOCEDUCS1[[#This Row],[Ver]]</f>
        <v>1</v>
      </c>
      <c r="C191" t="str">
        <f>LEFT(TableOCEDUCS1[[#This Row],[Structure Line]], FIND(" ", TableOCEDUCS1[[#This Row],[Structure Line]])-1)</f>
        <v>MTEC509</v>
      </c>
      <c r="D191" t="str">
        <f>MID(TableOCEDUCS1[[#This Row],[Structure Line]],FIND(" ",TableOCEDUCS1[[#This Row],[Structure Line]])+1,LEN(TableOCEDUCS1[[#This Row],[Structure Line]]))</f>
        <v>Creative and Media Arts in Early Childhood</v>
      </c>
      <c r="E191" s="89">
        <f>TableOCEDUCS1[[#This Row],[Credit Points]]</f>
        <v>25</v>
      </c>
      <c r="F191">
        <v>1</v>
      </c>
      <c r="G191" t="s">
        <v>571</v>
      </c>
      <c r="H191">
        <v>1</v>
      </c>
      <c r="I191" t="s">
        <v>537</v>
      </c>
      <c r="J191" t="s">
        <v>107</v>
      </c>
      <c r="K191">
        <v>1</v>
      </c>
      <c r="L191" t="s">
        <v>552</v>
      </c>
      <c r="M191">
        <v>25</v>
      </c>
      <c r="N191" s="194">
        <v>43101</v>
      </c>
      <c r="O191" s="194"/>
      <c r="Q191" t="s">
        <v>107</v>
      </c>
      <c r="R191">
        <v>1</v>
      </c>
    </row>
    <row r="192" spans="1:18" x14ac:dyDescent="0.25">
      <c r="A192" t="str">
        <f>TableOCEDUCS1[[#This Row],[Study Package Code]]</f>
        <v>EDEC5019</v>
      </c>
      <c r="B192" s="1">
        <f>TableOCEDUCS1[[#This Row],[Ver]]</f>
        <v>1</v>
      </c>
      <c r="C192" t="str">
        <f>LEFT(TableOCEDUCS1[[#This Row],[Structure Line]], FIND(" ", TableOCEDUCS1[[#This Row],[Structure Line]])-1)</f>
        <v>MTEC508</v>
      </c>
      <c r="D192" t="str">
        <f>MID(TableOCEDUCS1[[#This Row],[Structure Line]],FIND(" ",TableOCEDUCS1[[#This Row],[Structure Line]])+1,LEN(TableOCEDUCS1[[#This Row],[Structure Line]]))</f>
        <v>Humanities and Science in Early Childhood</v>
      </c>
      <c r="E192" s="89">
        <f>TableOCEDUCS1[[#This Row],[Credit Points]]</f>
        <v>25</v>
      </c>
      <c r="F192">
        <v>1</v>
      </c>
      <c r="G192" t="s">
        <v>571</v>
      </c>
      <c r="H192">
        <v>1</v>
      </c>
      <c r="I192" t="s">
        <v>537</v>
      </c>
      <c r="J192" t="s">
        <v>83</v>
      </c>
      <c r="K192">
        <v>1</v>
      </c>
      <c r="L192" t="s">
        <v>551</v>
      </c>
      <c r="M192">
        <v>25</v>
      </c>
      <c r="N192" s="194">
        <v>43101</v>
      </c>
      <c r="O192" s="194"/>
      <c r="Q192" t="s">
        <v>83</v>
      </c>
      <c r="R192">
        <v>1</v>
      </c>
    </row>
    <row r="193" spans="1:18" x14ac:dyDescent="0.25">
      <c r="A193" t="str">
        <f>TableOCEDUCS1[[#This Row],[Study Package Code]]</f>
        <v>EDPR5010</v>
      </c>
      <c r="B193" s="1">
        <f>TableOCEDUCS1[[#This Row],[Ver]]</f>
        <v>1</v>
      </c>
      <c r="C193" t="str">
        <f>LEFT(TableOCEDUCS1[[#This Row],[Structure Line]], FIND(" ", TableOCEDUCS1[[#This Row],[Structure Line]])-1)</f>
        <v>MTP501</v>
      </c>
      <c r="D193" t="str">
        <f>MID(TableOCEDUCS1[[#This Row],[Structure Line]],FIND(" ",TableOCEDUCS1[[#This Row],[Structure Line]])+1,LEN(TableOCEDUCS1[[#This Row],[Structure Line]]))</f>
        <v>Teaching Number, Algebra and Probability in the Primary Years</v>
      </c>
      <c r="E193" s="89">
        <f>TableOCEDUCS1[[#This Row],[Credit Points]]</f>
        <v>25</v>
      </c>
      <c r="F193">
        <v>1</v>
      </c>
      <c r="G193" t="s">
        <v>571</v>
      </c>
      <c r="H193">
        <v>1</v>
      </c>
      <c r="I193" t="s">
        <v>537</v>
      </c>
      <c r="J193" t="s">
        <v>87</v>
      </c>
      <c r="K193">
        <v>1</v>
      </c>
      <c r="L193" t="s">
        <v>556</v>
      </c>
      <c r="M193">
        <v>25</v>
      </c>
      <c r="N193" s="194">
        <v>42736</v>
      </c>
      <c r="O193" s="194"/>
      <c r="Q193" t="s">
        <v>87</v>
      </c>
      <c r="R193">
        <v>1</v>
      </c>
    </row>
    <row r="194" spans="1:18" x14ac:dyDescent="0.25">
      <c r="A194" t="str">
        <f>TableOCEDUCS1[[#This Row],[Study Package Code]]</f>
        <v>EDPR5012</v>
      </c>
      <c r="B194" s="1">
        <f>TableOCEDUCS1[[#This Row],[Ver]]</f>
        <v>1</v>
      </c>
      <c r="C194" t="str">
        <f>LEFT(TableOCEDUCS1[[#This Row],[Structure Line]], FIND(" ", TableOCEDUCS1[[#This Row],[Structure Line]])-1)</f>
        <v>MTP505</v>
      </c>
      <c r="D194" t="str">
        <f>MID(TableOCEDUCS1[[#This Row],[Structure Line]],FIND(" ",TableOCEDUCS1[[#This Row],[Structure Line]])+1,LEN(TableOCEDUCS1[[#This Row],[Structure Line]]))</f>
        <v>Teaching Science in the Primary Years</v>
      </c>
      <c r="E194" s="89">
        <f>TableOCEDUCS1[[#This Row],[Credit Points]]</f>
        <v>25</v>
      </c>
      <c r="F194">
        <v>1</v>
      </c>
      <c r="G194" t="s">
        <v>571</v>
      </c>
      <c r="H194">
        <v>1</v>
      </c>
      <c r="I194" t="s">
        <v>537</v>
      </c>
      <c r="J194" t="s">
        <v>86</v>
      </c>
      <c r="K194">
        <v>1</v>
      </c>
      <c r="L194" t="s">
        <v>558</v>
      </c>
      <c r="M194">
        <v>25</v>
      </c>
      <c r="N194" s="194">
        <v>42736</v>
      </c>
      <c r="O194" s="194"/>
      <c r="Q194" t="s">
        <v>86</v>
      </c>
      <c r="R194">
        <v>1</v>
      </c>
    </row>
    <row r="195" spans="1:18" x14ac:dyDescent="0.25">
      <c r="A195" t="str">
        <f>TableOCEDUCS1[[#This Row],[Study Package Code]]</f>
        <v>EDPR5016</v>
      </c>
      <c r="B195" s="1">
        <f>TableOCEDUCS1[[#This Row],[Ver]]</f>
        <v>1</v>
      </c>
      <c r="C195" t="str">
        <f>LEFT(TableOCEDUCS1[[#This Row],[Structure Line]], FIND(" ", TableOCEDUCS1[[#This Row],[Structure Line]])-1)</f>
        <v>MTP509</v>
      </c>
      <c r="D195" t="str">
        <f>MID(TableOCEDUCS1[[#This Row],[Structure Line]],FIND(" ",TableOCEDUCS1[[#This Row],[Structure Line]])+1,LEN(TableOCEDUCS1[[#This Row],[Structure Line]]))</f>
        <v>Teaching Arts in the Primary Years</v>
      </c>
      <c r="E195" s="89">
        <f>TableOCEDUCS1[[#This Row],[Credit Points]]</f>
        <v>25</v>
      </c>
      <c r="F195">
        <v>1</v>
      </c>
      <c r="G195" t="s">
        <v>571</v>
      </c>
      <c r="H195">
        <v>1</v>
      </c>
      <c r="I195" t="s">
        <v>537</v>
      </c>
      <c r="J195" t="s">
        <v>115</v>
      </c>
      <c r="K195">
        <v>1</v>
      </c>
      <c r="L195" t="s">
        <v>563</v>
      </c>
      <c r="M195">
        <v>25</v>
      </c>
      <c r="N195" s="194">
        <v>42736</v>
      </c>
      <c r="O195" s="194"/>
      <c r="Q195" t="s">
        <v>115</v>
      </c>
      <c r="R195">
        <v>1</v>
      </c>
    </row>
    <row r="196" spans="1:18" x14ac:dyDescent="0.25">
      <c r="A196" t="str">
        <f>TableOCEDUCS1[[#This Row],[Study Package Code]]</f>
        <v>EDPR5017</v>
      </c>
      <c r="B196" s="1">
        <f>TableOCEDUCS1[[#This Row],[Ver]]</f>
        <v>1</v>
      </c>
      <c r="C196" t="str">
        <f>LEFT(TableOCEDUCS1[[#This Row],[Structure Line]], FIND(" ", TableOCEDUCS1[[#This Row],[Structure Line]])-1)</f>
        <v>MTP504</v>
      </c>
      <c r="D196" t="str">
        <f>MID(TableOCEDUCS1[[#This Row],[Structure Line]],FIND(" ",TableOCEDUCS1[[#This Row],[Structure Line]])+1,LEN(TableOCEDUCS1[[#This Row],[Structure Line]]))</f>
        <v>Teaching Humanities and Social Sciences in the Primary Years</v>
      </c>
      <c r="E196" s="89">
        <f>TableOCEDUCS1[[#This Row],[Credit Points]]</f>
        <v>25</v>
      </c>
      <c r="F196">
        <v>1</v>
      </c>
      <c r="G196" t="s">
        <v>571</v>
      </c>
      <c r="H196">
        <v>1</v>
      </c>
      <c r="I196" t="s">
        <v>537</v>
      </c>
      <c r="J196" t="s">
        <v>108</v>
      </c>
      <c r="K196">
        <v>1</v>
      </c>
      <c r="L196" t="s">
        <v>561</v>
      </c>
      <c r="M196">
        <v>25</v>
      </c>
      <c r="N196" s="194">
        <v>42736</v>
      </c>
      <c r="O196" s="194"/>
      <c r="Q196" t="s">
        <v>108</v>
      </c>
      <c r="R196">
        <v>1</v>
      </c>
    </row>
    <row r="197" spans="1:18" x14ac:dyDescent="0.25">
      <c r="A197" t="str">
        <f>TableOCEDUCS1[[#This Row],[Study Package Code]]</f>
        <v>EDSC5040</v>
      </c>
      <c r="B197" s="1">
        <f>TableOCEDUCS1[[#This Row],[Ver]]</f>
        <v>1</v>
      </c>
      <c r="C197" t="str">
        <f>LEFT(TableOCEDUCS1[[#This Row],[Structure Line]], FIND(" ", TableOCEDUCS1[[#This Row],[Structure Line]])-1)</f>
        <v>MTS503</v>
      </c>
      <c r="D197" t="str">
        <f>MID(TableOCEDUCS1[[#This Row],[Structure Line]],FIND(" ",TableOCEDUCS1[[#This Row],[Structure Line]])+1,LEN(TableOCEDUCS1[[#This Row],[Structure Line]]))</f>
        <v>Managing the Learning Environment</v>
      </c>
      <c r="E197" s="89">
        <f>TableOCEDUCS1[[#This Row],[Credit Points]]</f>
        <v>25</v>
      </c>
      <c r="F197">
        <v>1</v>
      </c>
      <c r="G197" t="s">
        <v>571</v>
      </c>
      <c r="H197">
        <v>1</v>
      </c>
      <c r="I197" t="s">
        <v>537</v>
      </c>
      <c r="J197" t="s">
        <v>262</v>
      </c>
      <c r="K197">
        <v>1</v>
      </c>
      <c r="L197" t="s">
        <v>569</v>
      </c>
      <c r="M197">
        <v>25</v>
      </c>
      <c r="N197" s="194">
        <v>42736</v>
      </c>
      <c r="O197" s="194"/>
      <c r="Q197" t="s">
        <v>262</v>
      </c>
      <c r="R197">
        <v>1</v>
      </c>
    </row>
    <row r="198" spans="1:18" x14ac:dyDescent="0.25">
      <c r="A198" t="str">
        <f>TableOCEDUCS1[[#This Row],[Study Package Code]]</f>
        <v>EDUC5012</v>
      </c>
      <c r="B198" s="1">
        <f>TableOCEDUCS1[[#This Row],[Ver]]</f>
        <v>2</v>
      </c>
      <c r="C198" t="str">
        <f>LEFT(TableOCEDUCS1[[#This Row],[Structure Line]], FIND(" ", TableOCEDUCS1[[#This Row],[Structure Line]])-1)</f>
        <v>MTPS500</v>
      </c>
      <c r="D198" t="str">
        <f>MID(TableOCEDUCS1[[#This Row],[Structure Line]],FIND(" ",TableOCEDUCS1[[#This Row],[Structure Line]])+1,LEN(TableOCEDUCS1[[#This Row],[Structure Line]]))</f>
        <v>Theories of Development and Learning</v>
      </c>
      <c r="E198" s="89">
        <f>TableOCEDUCS1[[#This Row],[Credit Points]]</f>
        <v>25</v>
      </c>
      <c r="F198">
        <v>1</v>
      </c>
      <c r="G198" t="s">
        <v>571</v>
      </c>
      <c r="H198">
        <v>1</v>
      </c>
      <c r="I198" t="s">
        <v>537</v>
      </c>
      <c r="J198" t="s">
        <v>75</v>
      </c>
      <c r="K198">
        <v>2</v>
      </c>
      <c r="L198" t="s">
        <v>547</v>
      </c>
      <c r="M198">
        <v>25</v>
      </c>
      <c r="N198" s="194">
        <v>44197</v>
      </c>
      <c r="O198" s="194"/>
      <c r="Q198" t="s">
        <v>75</v>
      </c>
      <c r="R198">
        <v>2</v>
      </c>
    </row>
    <row r="199" spans="1:18" x14ac:dyDescent="0.25">
      <c r="A199" t="str">
        <f>TableOCEDUCS1[[#This Row],[Study Package Code]]</f>
        <v>EDUC5013</v>
      </c>
      <c r="B199" s="1">
        <f>TableOCEDUCS1[[#This Row],[Ver]]</f>
        <v>1</v>
      </c>
      <c r="C199" t="str">
        <f>LEFT(TableOCEDUCS1[[#This Row],[Structure Line]], FIND(" ", TableOCEDUCS1[[#This Row],[Structure Line]])-1)</f>
        <v>MTP503</v>
      </c>
      <c r="D199" t="str">
        <f>MID(TableOCEDUCS1[[#This Row],[Structure Line]],FIND(" ",TableOCEDUCS1[[#This Row],[Structure Line]])+1,LEN(TableOCEDUCS1[[#This Row],[Structure Line]]))</f>
        <v>Developing Positive Learning Environments</v>
      </c>
      <c r="E199" s="89">
        <f>TableOCEDUCS1[[#This Row],[Credit Points]]</f>
        <v>25</v>
      </c>
      <c r="F199">
        <v>1</v>
      </c>
      <c r="G199" t="s">
        <v>571</v>
      </c>
      <c r="H199">
        <v>1</v>
      </c>
      <c r="I199" t="s">
        <v>537</v>
      </c>
      <c r="J199" t="s">
        <v>80</v>
      </c>
      <c r="K199">
        <v>1</v>
      </c>
      <c r="L199" t="s">
        <v>546</v>
      </c>
      <c r="M199">
        <v>25</v>
      </c>
      <c r="N199" s="194">
        <v>42736</v>
      </c>
      <c r="O199" s="194"/>
      <c r="Q199" t="s">
        <v>80</v>
      </c>
      <c r="R199">
        <v>1</v>
      </c>
    </row>
    <row r="200" spans="1:18" x14ac:dyDescent="0.25">
      <c r="A200" t="str">
        <f>TableOCEDUCS1[[#This Row],[Study Package Code]]</f>
        <v>EDUC5014</v>
      </c>
      <c r="B200" s="1">
        <f>TableOCEDUCS1[[#This Row],[Ver]]</f>
        <v>1</v>
      </c>
      <c r="C200" t="str">
        <f>LEFT(TableOCEDUCS1[[#This Row],[Structure Line]], FIND(" ", TableOCEDUCS1[[#This Row],[Structure Line]])-1)</f>
        <v>MTPS501</v>
      </c>
      <c r="D200" t="str">
        <f>MID(TableOCEDUCS1[[#This Row],[Structure Line]],FIND(" ",TableOCEDUCS1[[#This Row],[Structure Line]])+1,LEN(TableOCEDUCS1[[#This Row],[Structure Line]]))</f>
        <v>Pedagogies for Diversity</v>
      </c>
      <c r="E200" s="89">
        <f>TableOCEDUCS1[[#This Row],[Credit Points]]</f>
        <v>25</v>
      </c>
      <c r="F200">
        <v>1</v>
      </c>
      <c r="G200" t="s">
        <v>571</v>
      </c>
      <c r="H200">
        <v>1</v>
      </c>
      <c r="I200" t="s">
        <v>537</v>
      </c>
      <c r="J200" t="s">
        <v>96</v>
      </c>
      <c r="K200">
        <v>1</v>
      </c>
      <c r="L200" t="s">
        <v>565</v>
      </c>
      <c r="M200">
        <v>25</v>
      </c>
      <c r="N200" s="194">
        <v>42736</v>
      </c>
      <c r="O200" s="194"/>
      <c r="Q200" t="s">
        <v>96</v>
      </c>
      <c r="R200">
        <v>1</v>
      </c>
    </row>
    <row r="201" spans="1:18" x14ac:dyDescent="0.25">
      <c r="A201" t="str">
        <f>TableOCEDUCS1[[#This Row],[Study Package Code]]</f>
        <v>EDUC5017</v>
      </c>
      <c r="B201" s="1">
        <f>TableOCEDUCS1[[#This Row],[Ver]]</f>
        <v>1</v>
      </c>
      <c r="C201" t="str">
        <f>LEFT(TableOCEDUCS1[[#This Row],[Structure Line]], FIND(" ", TableOCEDUCS1[[#This Row],[Structure Line]])-1)</f>
        <v>MTPS504</v>
      </c>
      <c r="D201" t="str">
        <f>MID(TableOCEDUCS1[[#This Row],[Structure Line]],FIND(" ",TableOCEDUCS1[[#This Row],[Structure Line]])+1,LEN(TableOCEDUCS1[[#This Row],[Structure Line]]))</f>
        <v>Creative Technologies</v>
      </c>
      <c r="E201" s="89">
        <f>TableOCEDUCS1[[#This Row],[Credit Points]]</f>
        <v>25</v>
      </c>
      <c r="F201">
        <v>1</v>
      </c>
      <c r="G201" t="s">
        <v>571</v>
      </c>
      <c r="H201">
        <v>1</v>
      </c>
      <c r="I201" t="s">
        <v>537</v>
      </c>
      <c r="J201" t="s">
        <v>95</v>
      </c>
      <c r="K201">
        <v>1</v>
      </c>
      <c r="L201" t="s">
        <v>555</v>
      </c>
      <c r="M201">
        <v>25</v>
      </c>
      <c r="N201" s="194">
        <v>42736</v>
      </c>
      <c r="O201" s="194"/>
      <c r="Q201" t="s">
        <v>95</v>
      </c>
      <c r="R201">
        <v>1</v>
      </c>
    </row>
    <row r="202" spans="1:18" x14ac:dyDescent="0.25">
      <c r="A202" t="str">
        <f>TableOCEDUCS1[[#This Row],[Study Package Code]]</f>
        <v>EDUC5034</v>
      </c>
      <c r="B202" s="1">
        <f>TableOCEDUCS1[[#This Row],[Ver]]</f>
        <v>1</v>
      </c>
      <c r="C202" t="str">
        <f>LEFT(TableOCEDUCS1[[#This Row],[Structure Line]], FIND(" ", TableOCEDUCS1[[#This Row],[Structure Line]])-1)</f>
        <v>MTC520</v>
      </c>
      <c r="D202" t="str">
        <f>MID(TableOCEDUCS1[[#This Row],[Structure Line]],FIND(" ",TableOCEDUCS1[[#This Row],[Structure Line]])+1,LEN(TableOCEDUCS1[[#This Row],[Structure Line]]))</f>
        <v>Mentoring, Coaching and Tutoring</v>
      </c>
      <c r="E202" s="89">
        <f>TableOCEDUCS1[[#This Row],[Credit Points]]</f>
        <v>25</v>
      </c>
      <c r="F202">
        <v>1</v>
      </c>
      <c r="G202" t="s">
        <v>571</v>
      </c>
      <c r="H202">
        <v>1</v>
      </c>
      <c r="I202" t="s">
        <v>537</v>
      </c>
      <c r="J202" t="s">
        <v>263</v>
      </c>
      <c r="K202">
        <v>1</v>
      </c>
      <c r="L202" t="s">
        <v>586</v>
      </c>
      <c r="M202">
        <v>25</v>
      </c>
      <c r="N202" s="194">
        <v>44562</v>
      </c>
      <c r="O202" s="194"/>
      <c r="Q202" t="s">
        <v>263</v>
      </c>
      <c r="R202">
        <v>1</v>
      </c>
    </row>
    <row r="203" spans="1:18" x14ac:dyDescent="0.25">
      <c r="B203"/>
      <c r="E203"/>
      <c r="F203" s="87"/>
      <c r="G203" s="88" t="s">
        <v>522</v>
      </c>
      <c r="H203" s="258">
        <v>44197</v>
      </c>
      <c r="J203" s="259" t="s">
        <v>82</v>
      </c>
      <c r="K203" s="260" t="s">
        <v>71</v>
      </c>
      <c r="L203" s="119" t="s">
        <v>45</v>
      </c>
      <c r="N203" s="242" t="s">
        <v>524</v>
      </c>
      <c r="O203" s="208">
        <v>45552</v>
      </c>
    </row>
    <row r="204" spans="1:18" x14ac:dyDescent="0.25">
      <c r="A204" t="s">
        <v>0</v>
      </c>
      <c r="B204" s="1" t="s">
        <v>525</v>
      </c>
      <c r="C204" t="s">
        <v>21</v>
      </c>
      <c r="D204" t="s">
        <v>3</v>
      </c>
      <c r="E204" s="89" t="s">
        <v>526</v>
      </c>
      <c r="F204" t="s">
        <v>527</v>
      </c>
      <c r="G204" t="s">
        <v>528</v>
      </c>
      <c r="H204" t="s">
        <v>529</v>
      </c>
      <c r="I204" t="s">
        <v>22</v>
      </c>
      <c r="J204" t="s">
        <v>530</v>
      </c>
      <c r="K204" t="s">
        <v>1</v>
      </c>
      <c r="L204" t="s">
        <v>531</v>
      </c>
      <c r="M204" t="s">
        <v>58</v>
      </c>
      <c r="N204" s="193" t="s">
        <v>532</v>
      </c>
      <c r="O204" s="193" t="s">
        <v>533</v>
      </c>
      <c r="Q204" t="s">
        <v>534</v>
      </c>
      <c r="R204" t="s">
        <v>535</v>
      </c>
    </row>
    <row r="205" spans="1:18" x14ac:dyDescent="0.25">
      <c r="A205" t="str">
        <f>TableOCEDUC[[#This Row],[Study Package Code]]</f>
        <v>Opt-OCEDUC</v>
      </c>
      <c r="B205" s="1">
        <f>TableOCEDUC[[#This Row],[Ver]]</f>
        <v>0</v>
      </c>
      <c r="D205" t="str">
        <f>TableOCEDUC[[#This Row],[Structure Line]]</f>
        <v>Choose Options to the value of 100CP</v>
      </c>
      <c r="E205" s="89">
        <f>TableOCEDUC[[#This Row],[Credit Points]]</f>
        <v>100</v>
      </c>
      <c r="F205">
        <v>1</v>
      </c>
      <c r="G205" t="s">
        <v>571</v>
      </c>
      <c r="H205">
        <v>0</v>
      </c>
      <c r="I205" t="s">
        <v>537</v>
      </c>
      <c r="J205" t="s">
        <v>514</v>
      </c>
      <c r="L205" t="s">
        <v>621</v>
      </c>
      <c r="M205">
        <v>100</v>
      </c>
      <c r="N205" s="194"/>
      <c r="O205" s="194"/>
      <c r="Q205" t="s">
        <v>620</v>
      </c>
    </row>
    <row r="206" spans="1:18" x14ac:dyDescent="0.25">
      <c r="A206" t="str">
        <f>TableOCEDUC[[#This Row],[Study Package Code]]</f>
        <v>EDEC5016</v>
      </c>
      <c r="B206" s="1">
        <f>TableOCEDUC[[#This Row],[Ver]]</f>
        <v>1</v>
      </c>
      <c r="C206" t="str">
        <f>LEFT(TableOCEDUC[[#This Row],[Structure Line]], FIND(" ", TableOCEDUC[[#This Row],[Structure Line]])-1)</f>
        <v>MTEC503</v>
      </c>
      <c r="D206" t="str">
        <f>MID(TableOCEDUC[[#This Row],[Structure Line]],FIND(" ",TableOCEDUC[[#This Row],[Structure Line]])+1,LEN(TableOCEDUC[[#This Row],[Structure Line]]))</f>
        <v>Numeracy for 5 to 8 Year-Olds</v>
      </c>
      <c r="E206" s="89">
        <f>TableOCEDUC[[#This Row],[Credit Points]]</f>
        <v>25</v>
      </c>
      <c r="F206">
        <v>1</v>
      </c>
      <c r="G206" t="s">
        <v>571</v>
      </c>
      <c r="H206">
        <v>0</v>
      </c>
      <c r="I206" t="s">
        <v>537</v>
      </c>
      <c r="J206" t="s">
        <v>84</v>
      </c>
      <c r="K206">
        <v>1</v>
      </c>
      <c r="L206" t="s">
        <v>543</v>
      </c>
      <c r="M206">
        <v>25</v>
      </c>
      <c r="N206" s="194">
        <v>43101</v>
      </c>
      <c r="O206" s="194"/>
      <c r="Q206" t="s">
        <v>84</v>
      </c>
      <c r="R206">
        <v>1</v>
      </c>
    </row>
    <row r="207" spans="1:18" x14ac:dyDescent="0.25">
      <c r="A207" t="str">
        <f>TableOCEDUC[[#This Row],[Study Package Code]]</f>
        <v>EDEC5018</v>
      </c>
      <c r="B207" s="1">
        <f>TableOCEDUC[[#This Row],[Ver]]</f>
        <v>1</v>
      </c>
      <c r="C207" t="str">
        <f>LEFT(TableOCEDUC[[#This Row],[Structure Line]], FIND(" ", TableOCEDUC[[#This Row],[Structure Line]])-1)</f>
        <v>MTEC509</v>
      </c>
      <c r="D207" t="str">
        <f>MID(TableOCEDUC[[#This Row],[Structure Line]],FIND(" ",TableOCEDUC[[#This Row],[Structure Line]])+1,LEN(TableOCEDUC[[#This Row],[Structure Line]]))</f>
        <v>Creative and Media Arts in Early Childhood</v>
      </c>
      <c r="E207" s="89">
        <f>TableOCEDUC[[#This Row],[Credit Points]]</f>
        <v>25</v>
      </c>
      <c r="F207">
        <v>1</v>
      </c>
      <c r="G207" t="s">
        <v>571</v>
      </c>
      <c r="H207">
        <v>0</v>
      </c>
      <c r="I207" t="s">
        <v>537</v>
      </c>
      <c r="J207" t="s">
        <v>107</v>
      </c>
      <c r="K207">
        <v>1</v>
      </c>
      <c r="L207" t="s">
        <v>552</v>
      </c>
      <c r="M207">
        <v>25</v>
      </c>
      <c r="N207" s="194">
        <v>43101</v>
      </c>
      <c r="O207" s="194"/>
      <c r="Q207" t="s">
        <v>107</v>
      </c>
      <c r="R207">
        <v>1</v>
      </c>
    </row>
    <row r="208" spans="1:18" x14ac:dyDescent="0.25">
      <c r="A208" t="str">
        <f>TableOCEDUC[[#This Row],[Study Package Code]]</f>
        <v>EDEC5019</v>
      </c>
      <c r="B208" s="1">
        <f>TableOCEDUC[[#This Row],[Ver]]</f>
        <v>1</v>
      </c>
      <c r="C208" t="str">
        <f>LEFT(TableOCEDUC[[#This Row],[Structure Line]], FIND(" ", TableOCEDUC[[#This Row],[Structure Line]])-1)</f>
        <v>MTEC508</v>
      </c>
      <c r="D208" t="str">
        <f>MID(TableOCEDUC[[#This Row],[Structure Line]],FIND(" ",TableOCEDUC[[#This Row],[Structure Line]])+1,LEN(TableOCEDUC[[#This Row],[Structure Line]]))</f>
        <v>Humanities and Science in Early Childhood</v>
      </c>
      <c r="E208" s="89">
        <f>TableOCEDUC[[#This Row],[Credit Points]]</f>
        <v>25</v>
      </c>
      <c r="F208">
        <v>1</v>
      </c>
      <c r="G208" t="s">
        <v>571</v>
      </c>
      <c r="H208">
        <v>0</v>
      </c>
      <c r="I208" t="s">
        <v>537</v>
      </c>
      <c r="J208" t="s">
        <v>83</v>
      </c>
      <c r="K208">
        <v>1</v>
      </c>
      <c r="L208" t="s">
        <v>551</v>
      </c>
      <c r="M208">
        <v>25</v>
      </c>
      <c r="N208" s="194">
        <v>43101</v>
      </c>
      <c r="O208" s="194"/>
      <c r="Q208" t="s">
        <v>83</v>
      </c>
      <c r="R208">
        <v>1</v>
      </c>
    </row>
    <row r="209" spans="1:18" x14ac:dyDescent="0.25">
      <c r="A209" t="str">
        <f>TableOCEDUC[[#This Row],[Study Package Code]]</f>
        <v>EDPR5010</v>
      </c>
      <c r="B209" s="1">
        <f>TableOCEDUC[[#This Row],[Ver]]</f>
        <v>1</v>
      </c>
      <c r="C209" t="str">
        <f>LEFT(TableOCEDUC[[#This Row],[Structure Line]], FIND(" ", TableOCEDUC[[#This Row],[Structure Line]])-1)</f>
        <v>MTP501</v>
      </c>
      <c r="D209" t="str">
        <f>MID(TableOCEDUC[[#This Row],[Structure Line]],FIND(" ",TableOCEDUC[[#This Row],[Structure Line]])+1,LEN(TableOCEDUC[[#This Row],[Structure Line]]))</f>
        <v>Teaching Number, Algebra and Probability in the Primary Years</v>
      </c>
      <c r="E209" s="89">
        <f>TableOCEDUC[[#This Row],[Credit Points]]</f>
        <v>25</v>
      </c>
      <c r="F209">
        <v>1</v>
      </c>
      <c r="G209" t="s">
        <v>571</v>
      </c>
      <c r="H209">
        <v>0</v>
      </c>
      <c r="I209" t="s">
        <v>537</v>
      </c>
      <c r="J209" t="s">
        <v>87</v>
      </c>
      <c r="K209">
        <v>1</v>
      </c>
      <c r="L209" t="s">
        <v>556</v>
      </c>
      <c r="M209">
        <v>25</v>
      </c>
      <c r="N209" s="194">
        <v>42736</v>
      </c>
      <c r="O209" s="194"/>
      <c r="Q209" t="s">
        <v>87</v>
      </c>
      <c r="R209">
        <v>1</v>
      </c>
    </row>
    <row r="210" spans="1:18" x14ac:dyDescent="0.25">
      <c r="A210" t="str">
        <f>TableOCEDUC[[#This Row],[Study Package Code]]</f>
        <v>EDPR5012</v>
      </c>
      <c r="B210" s="1">
        <f>TableOCEDUC[[#This Row],[Ver]]</f>
        <v>1</v>
      </c>
      <c r="C210" t="str">
        <f>LEFT(TableOCEDUC[[#This Row],[Structure Line]], FIND(" ", TableOCEDUC[[#This Row],[Structure Line]])-1)</f>
        <v>MTP505</v>
      </c>
      <c r="D210" t="str">
        <f>MID(TableOCEDUC[[#This Row],[Structure Line]],FIND(" ",TableOCEDUC[[#This Row],[Structure Line]])+1,LEN(TableOCEDUC[[#This Row],[Structure Line]]))</f>
        <v>Teaching Science in the Primary Years</v>
      </c>
      <c r="E210" s="89">
        <f>TableOCEDUC[[#This Row],[Credit Points]]</f>
        <v>25</v>
      </c>
      <c r="F210">
        <v>1</v>
      </c>
      <c r="G210" t="s">
        <v>571</v>
      </c>
      <c r="H210">
        <v>0</v>
      </c>
      <c r="I210" t="s">
        <v>537</v>
      </c>
      <c r="J210" t="s">
        <v>86</v>
      </c>
      <c r="K210">
        <v>1</v>
      </c>
      <c r="L210" t="s">
        <v>558</v>
      </c>
      <c r="M210">
        <v>25</v>
      </c>
      <c r="N210" s="194">
        <v>42736</v>
      </c>
      <c r="O210" s="194"/>
      <c r="Q210" t="s">
        <v>86</v>
      </c>
      <c r="R210">
        <v>1</v>
      </c>
    </row>
    <row r="211" spans="1:18" x14ac:dyDescent="0.25">
      <c r="A211" t="str">
        <f>TableOCEDUC[[#This Row],[Study Package Code]]</f>
        <v>EDPR5016</v>
      </c>
      <c r="B211" s="1">
        <f>TableOCEDUC[[#This Row],[Ver]]</f>
        <v>1</v>
      </c>
      <c r="C211" t="str">
        <f>LEFT(TableOCEDUC[[#This Row],[Structure Line]], FIND(" ", TableOCEDUC[[#This Row],[Structure Line]])-1)</f>
        <v>MTP509</v>
      </c>
      <c r="D211" t="str">
        <f>MID(TableOCEDUC[[#This Row],[Structure Line]],FIND(" ",TableOCEDUC[[#This Row],[Structure Line]])+1,LEN(TableOCEDUC[[#This Row],[Structure Line]]))</f>
        <v>Teaching Arts in the Primary Years</v>
      </c>
      <c r="E211" s="89">
        <f>TableOCEDUC[[#This Row],[Credit Points]]</f>
        <v>25</v>
      </c>
      <c r="F211">
        <v>1</v>
      </c>
      <c r="G211" t="s">
        <v>571</v>
      </c>
      <c r="H211">
        <v>0</v>
      </c>
      <c r="I211" t="s">
        <v>537</v>
      </c>
      <c r="J211" t="s">
        <v>115</v>
      </c>
      <c r="K211">
        <v>1</v>
      </c>
      <c r="L211" t="s">
        <v>563</v>
      </c>
      <c r="M211">
        <v>25</v>
      </c>
      <c r="N211" s="194">
        <v>42736</v>
      </c>
      <c r="O211" s="194"/>
      <c r="Q211" t="s">
        <v>115</v>
      </c>
      <c r="R211">
        <v>1</v>
      </c>
    </row>
    <row r="212" spans="1:18" x14ac:dyDescent="0.25">
      <c r="A212" t="str">
        <f>TableOCEDUC[[#This Row],[Study Package Code]]</f>
        <v>EDPR5017</v>
      </c>
      <c r="B212" s="1">
        <f>TableOCEDUC[[#This Row],[Ver]]</f>
        <v>1</v>
      </c>
      <c r="C212" t="str">
        <f>LEFT(TableOCEDUC[[#This Row],[Structure Line]], FIND(" ", TableOCEDUC[[#This Row],[Structure Line]])-1)</f>
        <v>MTP504</v>
      </c>
      <c r="D212" t="str">
        <f>MID(TableOCEDUC[[#This Row],[Structure Line]],FIND(" ",TableOCEDUC[[#This Row],[Structure Line]])+1,LEN(TableOCEDUC[[#This Row],[Structure Line]]))</f>
        <v>Teaching Humanities and Social Sciences in the Primary Years</v>
      </c>
      <c r="E212" s="89">
        <f>TableOCEDUC[[#This Row],[Credit Points]]</f>
        <v>25</v>
      </c>
      <c r="F212">
        <v>1</v>
      </c>
      <c r="G212" t="s">
        <v>571</v>
      </c>
      <c r="H212">
        <v>0</v>
      </c>
      <c r="I212" t="s">
        <v>537</v>
      </c>
      <c r="J212" t="s">
        <v>108</v>
      </c>
      <c r="K212">
        <v>1</v>
      </c>
      <c r="L212" t="s">
        <v>561</v>
      </c>
      <c r="M212">
        <v>25</v>
      </c>
      <c r="N212" s="194">
        <v>42736</v>
      </c>
      <c r="O212" s="194"/>
      <c r="Q212" t="s">
        <v>108</v>
      </c>
      <c r="R212">
        <v>1</v>
      </c>
    </row>
    <row r="213" spans="1:18" x14ac:dyDescent="0.25">
      <c r="A213" t="str">
        <f>TableOCEDUC[[#This Row],[Study Package Code]]</f>
        <v>EDSC5040</v>
      </c>
      <c r="B213" s="1">
        <f>TableOCEDUC[[#This Row],[Ver]]</f>
        <v>1</v>
      </c>
      <c r="C213" t="str">
        <f>LEFT(TableOCEDUC[[#This Row],[Structure Line]], FIND(" ", TableOCEDUC[[#This Row],[Structure Line]])-1)</f>
        <v>MTS503</v>
      </c>
      <c r="D213" t="str">
        <f>MID(TableOCEDUC[[#This Row],[Structure Line]],FIND(" ",TableOCEDUC[[#This Row],[Structure Line]])+1,LEN(TableOCEDUC[[#This Row],[Structure Line]]))</f>
        <v>Managing the Learning Environment</v>
      </c>
      <c r="E213" s="89">
        <f>TableOCEDUC[[#This Row],[Credit Points]]</f>
        <v>25</v>
      </c>
      <c r="F213">
        <v>1</v>
      </c>
      <c r="G213" t="s">
        <v>571</v>
      </c>
      <c r="H213">
        <v>0</v>
      </c>
      <c r="I213" t="s">
        <v>537</v>
      </c>
      <c r="J213" t="s">
        <v>262</v>
      </c>
      <c r="K213">
        <v>1</v>
      </c>
      <c r="L213" t="s">
        <v>569</v>
      </c>
      <c r="M213">
        <v>25</v>
      </c>
      <c r="N213" s="194">
        <v>42736</v>
      </c>
      <c r="O213" s="194"/>
      <c r="Q213" t="s">
        <v>262</v>
      </c>
      <c r="R213">
        <v>1</v>
      </c>
    </row>
    <row r="214" spans="1:18" x14ac:dyDescent="0.25">
      <c r="A214" t="str">
        <f>TableOCEDUC[[#This Row],[Study Package Code]]</f>
        <v>EDUC5012</v>
      </c>
      <c r="B214" s="1">
        <f>TableOCEDUC[[#This Row],[Ver]]</f>
        <v>2</v>
      </c>
      <c r="C214" t="str">
        <f>LEFT(TableOCEDUC[[#This Row],[Structure Line]], FIND(" ", TableOCEDUC[[#This Row],[Structure Line]])-1)</f>
        <v>MTPS500</v>
      </c>
      <c r="D214" t="str">
        <f>MID(TableOCEDUC[[#This Row],[Structure Line]],FIND(" ",TableOCEDUC[[#This Row],[Structure Line]])+1,LEN(TableOCEDUC[[#This Row],[Structure Line]]))</f>
        <v>Theories of Development and Learning</v>
      </c>
      <c r="E214" s="89">
        <f>TableOCEDUC[[#This Row],[Credit Points]]</f>
        <v>25</v>
      </c>
      <c r="F214">
        <v>1</v>
      </c>
      <c r="G214" t="s">
        <v>571</v>
      </c>
      <c r="H214">
        <v>0</v>
      </c>
      <c r="I214" t="s">
        <v>537</v>
      </c>
      <c r="J214" t="s">
        <v>75</v>
      </c>
      <c r="K214">
        <v>2</v>
      </c>
      <c r="L214" t="s">
        <v>547</v>
      </c>
      <c r="M214">
        <v>25</v>
      </c>
      <c r="N214" s="194">
        <v>44197</v>
      </c>
      <c r="O214" s="194"/>
      <c r="Q214" t="s">
        <v>75</v>
      </c>
      <c r="R214">
        <v>2</v>
      </c>
    </row>
    <row r="215" spans="1:18" x14ac:dyDescent="0.25">
      <c r="A215" t="str">
        <f>TableOCEDUC[[#This Row],[Study Package Code]]</f>
        <v>EDUC5013</v>
      </c>
      <c r="B215" s="1">
        <f>TableOCEDUC[[#This Row],[Ver]]</f>
        <v>1</v>
      </c>
      <c r="C215" t="str">
        <f>LEFT(TableOCEDUC[[#This Row],[Structure Line]], FIND(" ", TableOCEDUC[[#This Row],[Structure Line]])-1)</f>
        <v>MTP503</v>
      </c>
      <c r="D215" t="str">
        <f>MID(TableOCEDUC[[#This Row],[Structure Line]],FIND(" ",TableOCEDUC[[#This Row],[Structure Line]])+1,LEN(TableOCEDUC[[#This Row],[Structure Line]]))</f>
        <v>Developing Positive Learning Environments</v>
      </c>
      <c r="E215" s="89">
        <f>TableOCEDUC[[#This Row],[Credit Points]]</f>
        <v>25</v>
      </c>
      <c r="F215">
        <v>1</v>
      </c>
      <c r="G215" t="s">
        <v>571</v>
      </c>
      <c r="H215">
        <v>0</v>
      </c>
      <c r="I215" t="s">
        <v>537</v>
      </c>
      <c r="J215" t="s">
        <v>80</v>
      </c>
      <c r="K215">
        <v>1</v>
      </c>
      <c r="L215" t="s">
        <v>546</v>
      </c>
      <c r="M215">
        <v>25</v>
      </c>
      <c r="N215" s="194">
        <v>42736</v>
      </c>
      <c r="O215" s="194"/>
      <c r="Q215" t="s">
        <v>80</v>
      </c>
      <c r="R215">
        <v>1</v>
      </c>
    </row>
    <row r="216" spans="1:18" x14ac:dyDescent="0.25">
      <c r="A216" t="str">
        <f>TableOCEDUC[[#This Row],[Study Package Code]]</f>
        <v>EDUC5014</v>
      </c>
      <c r="B216" s="1">
        <f>TableOCEDUC[[#This Row],[Ver]]</f>
        <v>1</v>
      </c>
      <c r="C216" t="str">
        <f>LEFT(TableOCEDUC[[#This Row],[Structure Line]], FIND(" ", TableOCEDUC[[#This Row],[Structure Line]])-1)</f>
        <v>MTPS501</v>
      </c>
      <c r="D216" t="str">
        <f>MID(TableOCEDUC[[#This Row],[Structure Line]],FIND(" ",TableOCEDUC[[#This Row],[Structure Line]])+1,LEN(TableOCEDUC[[#This Row],[Structure Line]]))</f>
        <v>Pedagogies for Diversity</v>
      </c>
      <c r="E216" s="89">
        <f>TableOCEDUC[[#This Row],[Credit Points]]</f>
        <v>25</v>
      </c>
      <c r="F216">
        <v>1</v>
      </c>
      <c r="G216" t="s">
        <v>571</v>
      </c>
      <c r="H216">
        <v>0</v>
      </c>
      <c r="I216" t="s">
        <v>537</v>
      </c>
      <c r="J216" t="s">
        <v>96</v>
      </c>
      <c r="K216">
        <v>1</v>
      </c>
      <c r="L216" t="s">
        <v>565</v>
      </c>
      <c r="M216">
        <v>25</v>
      </c>
      <c r="N216" s="194">
        <v>42736</v>
      </c>
      <c r="O216" s="194"/>
      <c r="Q216" t="s">
        <v>96</v>
      </c>
      <c r="R216">
        <v>1</v>
      </c>
    </row>
    <row r="217" spans="1:18" x14ac:dyDescent="0.25">
      <c r="A217" t="str">
        <f>TableOCEDUC[[#This Row],[Study Package Code]]</f>
        <v>EDUC5017</v>
      </c>
      <c r="B217" s="1">
        <f>TableOCEDUC[[#This Row],[Ver]]</f>
        <v>1</v>
      </c>
      <c r="C217" t="str">
        <f>LEFT(TableOCEDUC[[#This Row],[Structure Line]], FIND(" ", TableOCEDUC[[#This Row],[Structure Line]])-1)</f>
        <v>MTPS504</v>
      </c>
      <c r="D217" t="str">
        <f>MID(TableOCEDUC[[#This Row],[Structure Line]],FIND(" ",TableOCEDUC[[#This Row],[Structure Line]])+1,LEN(TableOCEDUC[[#This Row],[Structure Line]]))</f>
        <v>Creative Technologies</v>
      </c>
      <c r="E217" s="89">
        <f>TableOCEDUC[[#This Row],[Credit Points]]</f>
        <v>25</v>
      </c>
      <c r="F217">
        <v>1</v>
      </c>
      <c r="G217" t="s">
        <v>571</v>
      </c>
      <c r="H217">
        <v>0</v>
      </c>
      <c r="I217" t="s">
        <v>537</v>
      </c>
      <c r="J217" t="s">
        <v>95</v>
      </c>
      <c r="K217">
        <v>1</v>
      </c>
      <c r="L217" t="s">
        <v>555</v>
      </c>
      <c r="M217">
        <v>25</v>
      </c>
      <c r="N217" s="194">
        <v>42736</v>
      </c>
      <c r="O217" s="194"/>
      <c r="Q217" t="s">
        <v>95</v>
      </c>
      <c r="R217">
        <v>1</v>
      </c>
    </row>
    <row r="218" spans="1:18" x14ac:dyDescent="0.25">
      <c r="A218" t="str">
        <f>TableOCEDUC[[#This Row],[Study Package Code]]</f>
        <v>EDUC5034</v>
      </c>
      <c r="B218" s="1">
        <f>TableOCEDUC[[#This Row],[Ver]]</f>
        <v>1</v>
      </c>
      <c r="C218" t="str">
        <f>LEFT(TableOCEDUC[[#This Row],[Structure Line]], FIND(" ", TableOCEDUC[[#This Row],[Structure Line]])-1)</f>
        <v>MTC520</v>
      </c>
      <c r="D218" t="str">
        <f>MID(TableOCEDUC[[#This Row],[Structure Line]],FIND(" ",TableOCEDUC[[#This Row],[Structure Line]])+1,LEN(TableOCEDUC[[#This Row],[Structure Line]]))</f>
        <v>Mentoring, Coaching and Tutoring</v>
      </c>
      <c r="E218" s="89">
        <f>TableOCEDUC[[#This Row],[Credit Points]]</f>
        <v>25</v>
      </c>
      <c r="F218">
        <v>1</v>
      </c>
      <c r="G218" t="s">
        <v>571</v>
      </c>
      <c r="H218">
        <v>0</v>
      </c>
      <c r="I218" t="s">
        <v>537</v>
      </c>
      <c r="J218" t="s">
        <v>263</v>
      </c>
      <c r="K218">
        <v>1</v>
      </c>
      <c r="L218" t="s">
        <v>586</v>
      </c>
      <c r="M218">
        <v>25</v>
      </c>
      <c r="N218" s="194">
        <v>44562</v>
      </c>
      <c r="O218" s="194"/>
      <c r="Q218" t="s">
        <v>263</v>
      </c>
      <c r="R218">
        <v>1</v>
      </c>
    </row>
    <row r="220" spans="1:18" x14ac:dyDescent="0.25">
      <c r="B220"/>
      <c r="E220"/>
      <c r="F220" s="87"/>
      <c r="G220" s="88" t="s">
        <v>522</v>
      </c>
      <c r="H220" s="258">
        <v>44197</v>
      </c>
      <c r="J220" s="259" t="s">
        <v>89</v>
      </c>
      <c r="K220" s="260" t="s">
        <v>71</v>
      </c>
      <c r="L220" s="119" t="s">
        <v>88</v>
      </c>
      <c r="N220" s="242" t="s">
        <v>524</v>
      </c>
      <c r="O220" s="208">
        <v>45552</v>
      </c>
    </row>
    <row r="221" spans="1:18" x14ac:dyDescent="0.25">
      <c r="A221" t="s">
        <v>0</v>
      </c>
      <c r="B221" s="1" t="s">
        <v>525</v>
      </c>
      <c r="C221" t="s">
        <v>21</v>
      </c>
      <c r="D221" t="s">
        <v>3</v>
      </c>
      <c r="E221" s="89" t="s">
        <v>526</v>
      </c>
      <c r="F221" t="s">
        <v>527</v>
      </c>
      <c r="G221" t="s">
        <v>528</v>
      </c>
      <c r="H221" t="s">
        <v>529</v>
      </c>
      <c r="I221" t="s">
        <v>22</v>
      </c>
      <c r="J221" t="s">
        <v>530</v>
      </c>
      <c r="K221" t="s">
        <v>1</v>
      </c>
      <c r="L221" t="s">
        <v>531</v>
      </c>
      <c r="M221" t="s">
        <v>58</v>
      </c>
      <c r="N221" s="193" t="s">
        <v>532</v>
      </c>
      <c r="O221" s="193" t="s">
        <v>533</v>
      </c>
      <c r="Q221" t="s">
        <v>534</v>
      </c>
      <c r="R221" t="s">
        <v>535</v>
      </c>
    </row>
    <row r="222" spans="1:18" x14ac:dyDescent="0.25">
      <c r="A222" t="str">
        <f>TableOCEDHE1[[#This Row],[Study Package Code]]</f>
        <v>EDHE5001</v>
      </c>
      <c r="B222" s="1">
        <f>TableOCEDHE1[[#This Row],[Ver]]</f>
        <v>1</v>
      </c>
      <c r="C222" t="str">
        <f>LEFT(TableOCEDHE1[[#This Row],[Structure Line]], FIND(" ", TableOCEDHE1[[#This Row],[Structure Line]])-1)</f>
        <v>EDHE501</v>
      </c>
      <c r="D222" t="str">
        <f>MID(TableOCEDHE1[[#This Row],[Structure Line]],FIND(" ",TableOCEDHE1[[#This Row],[Structure Line]])+1,LEN(TableOCEDHE1[[#This Row],[Structure Line]]))</f>
        <v>The Learning Cycle: Design and Curriculum</v>
      </c>
      <c r="E222" s="89">
        <f>TableOCEDHE1[[#This Row],[Credit Points]]</f>
        <v>25</v>
      </c>
      <c r="F222">
        <v>1</v>
      </c>
      <c r="G222" t="s">
        <v>539</v>
      </c>
      <c r="H222">
        <v>1</v>
      </c>
      <c r="I222" t="s">
        <v>537</v>
      </c>
      <c r="J222" t="s">
        <v>252</v>
      </c>
      <c r="K222">
        <v>1</v>
      </c>
      <c r="L222" t="s">
        <v>622</v>
      </c>
      <c r="M222">
        <v>25</v>
      </c>
      <c r="N222" s="194">
        <v>43466</v>
      </c>
      <c r="O222" s="194"/>
      <c r="Q222" t="s">
        <v>252</v>
      </c>
      <c r="R222">
        <v>1</v>
      </c>
    </row>
    <row r="223" spans="1:18" x14ac:dyDescent="0.25">
      <c r="A223" t="str">
        <f>TableOCEDHE1[[#This Row],[Study Package Code]]</f>
        <v>EDHE5002</v>
      </c>
      <c r="B223" s="1">
        <f>TableOCEDHE1[[#This Row],[Ver]]</f>
        <v>1</v>
      </c>
      <c r="C223" t="str">
        <f>LEFT(TableOCEDHE1[[#This Row],[Structure Line]], FIND(" ", TableOCEDHE1[[#This Row],[Structure Line]])-1)</f>
        <v>EDHE502</v>
      </c>
      <c r="D223" t="str">
        <f>MID(TableOCEDHE1[[#This Row],[Structure Line]],FIND(" ",TableOCEDHE1[[#This Row],[Structure Line]])+1,LEN(TableOCEDHE1[[#This Row],[Structure Line]]))</f>
        <v>Design Thinking and Educational Innovation</v>
      </c>
      <c r="E223" s="89">
        <f>TableOCEDHE1[[#This Row],[Credit Points]]</f>
        <v>25</v>
      </c>
      <c r="F223">
        <v>2</v>
      </c>
      <c r="G223" t="s">
        <v>539</v>
      </c>
      <c r="H223">
        <v>1</v>
      </c>
      <c r="I223" t="s">
        <v>537</v>
      </c>
      <c r="J223" t="s">
        <v>253</v>
      </c>
      <c r="K223">
        <v>1</v>
      </c>
      <c r="L223" t="s">
        <v>623</v>
      </c>
      <c r="M223">
        <v>25</v>
      </c>
      <c r="N223" s="194">
        <v>43466</v>
      </c>
      <c r="O223" s="194"/>
      <c r="Q223" t="s">
        <v>253</v>
      </c>
      <c r="R223">
        <v>1</v>
      </c>
    </row>
    <row r="224" spans="1:18" x14ac:dyDescent="0.25">
      <c r="A224" t="str">
        <f>TableOCEDHE1[[#This Row],[Study Package Code]]</f>
        <v>EDHE5004</v>
      </c>
      <c r="B224" s="1">
        <f>TableOCEDHE1[[#This Row],[Ver]]</f>
        <v>1</v>
      </c>
      <c r="C224" t="str">
        <f>LEFT(TableOCEDHE1[[#This Row],[Structure Line]], FIND(" ", TableOCEDHE1[[#This Row],[Structure Line]])-1)</f>
        <v>EDHE504</v>
      </c>
      <c r="D224" t="str">
        <f>MID(TableOCEDHE1[[#This Row],[Structure Line]],FIND(" ",TableOCEDHE1[[#This Row],[Structure Line]])+1,LEN(TableOCEDHE1[[#This Row],[Structure Line]]))</f>
        <v>Research for the Scholarship of Learning and Teaching</v>
      </c>
      <c r="E224" s="89">
        <f>TableOCEDHE1[[#This Row],[Credit Points]]</f>
        <v>25</v>
      </c>
      <c r="F224">
        <v>3</v>
      </c>
      <c r="G224" t="s">
        <v>539</v>
      </c>
      <c r="H224">
        <v>1</v>
      </c>
      <c r="I224" t="s">
        <v>537</v>
      </c>
      <c r="J224" t="s">
        <v>254</v>
      </c>
      <c r="K224">
        <v>1</v>
      </c>
      <c r="L224" t="s">
        <v>624</v>
      </c>
      <c r="M224">
        <v>25</v>
      </c>
      <c r="N224" s="194">
        <v>43466</v>
      </c>
      <c r="O224" s="194"/>
      <c r="Q224" t="s">
        <v>254</v>
      </c>
      <c r="R224">
        <v>1</v>
      </c>
    </row>
    <row r="225" spans="1:18" x14ac:dyDescent="0.25">
      <c r="A225" t="str">
        <f>TableOCEDHE1[[#This Row],[Study Package Code]]</f>
        <v>EDHE5005</v>
      </c>
      <c r="B225" s="1">
        <f>TableOCEDHE1[[#This Row],[Ver]]</f>
        <v>1</v>
      </c>
      <c r="C225" t="str">
        <f>LEFT(TableOCEDHE1[[#This Row],[Structure Line]], FIND(" ", TableOCEDHE1[[#This Row],[Structure Line]])-1)</f>
        <v>EDHE505</v>
      </c>
      <c r="D225" t="str">
        <f>MID(TableOCEDHE1[[#This Row],[Structure Line]],FIND(" ",TableOCEDHE1[[#This Row],[Structure Line]])+1,LEN(TableOCEDHE1[[#This Row],[Structure Line]]))</f>
        <v>Teaching Portfolio</v>
      </c>
      <c r="E225" s="89">
        <f>TableOCEDHE1[[#This Row],[Credit Points]]</f>
        <v>25</v>
      </c>
      <c r="F225">
        <v>4</v>
      </c>
      <c r="G225" t="s">
        <v>539</v>
      </c>
      <c r="H225">
        <v>1</v>
      </c>
      <c r="I225" t="s">
        <v>537</v>
      </c>
      <c r="J225" t="s">
        <v>255</v>
      </c>
      <c r="K225">
        <v>1</v>
      </c>
      <c r="L225" t="s">
        <v>625</v>
      </c>
      <c r="M225">
        <v>25</v>
      </c>
      <c r="N225" s="194">
        <v>43466</v>
      </c>
      <c r="O225" s="194"/>
      <c r="Q225" t="s">
        <v>255</v>
      </c>
      <c r="R225">
        <v>1</v>
      </c>
    </row>
    <row r="226" spans="1:18" x14ac:dyDescent="0.25">
      <c r="B226"/>
      <c r="E226"/>
      <c r="F226" s="87"/>
      <c r="G226" s="88" t="s">
        <v>522</v>
      </c>
      <c r="H226" s="258">
        <v>43466</v>
      </c>
      <c r="J226" s="259" t="s">
        <v>90</v>
      </c>
      <c r="K226" s="260" t="s">
        <v>71</v>
      </c>
      <c r="L226" s="177" t="s">
        <v>47</v>
      </c>
      <c r="N226" s="242" t="s">
        <v>524</v>
      </c>
      <c r="O226" s="208">
        <v>45552</v>
      </c>
    </row>
    <row r="227" spans="1:18" x14ac:dyDescent="0.25">
      <c r="A227" t="s">
        <v>0</v>
      </c>
      <c r="B227" s="1" t="s">
        <v>525</v>
      </c>
      <c r="C227" t="s">
        <v>21</v>
      </c>
      <c r="D227" t="s">
        <v>3</v>
      </c>
      <c r="E227" s="89" t="s">
        <v>526</v>
      </c>
      <c r="F227" t="s">
        <v>527</v>
      </c>
      <c r="G227" t="s">
        <v>528</v>
      </c>
      <c r="H227" t="s">
        <v>529</v>
      </c>
      <c r="I227" t="s">
        <v>22</v>
      </c>
      <c r="J227" t="s">
        <v>530</v>
      </c>
      <c r="K227" t="s">
        <v>1</v>
      </c>
      <c r="L227" t="s">
        <v>531</v>
      </c>
      <c r="M227" t="s">
        <v>58</v>
      </c>
      <c r="N227" s="193" t="s">
        <v>532</v>
      </c>
      <c r="O227" s="193" t="s">
        <v>533</v>
      </c>
      <c r="Q227" t="s">
        <v>534</v>
      </c>
      <c r="R227" t="s">
        <v>535</v>
      </c>
    </row>
    <row r="228" spans="1:18" x14ac:dyDescent="0.25">
      <c r="A228" t="str">
        <f>TableOCEDHE[[#This Row],[Study Package Code]]</f>
        <v>EDHE5004</v>
      </c>
      <c r="B228" s="1">
        <f>TableOCEDHE[[#This Row],[Ver]]</f>
        <v>1</v>
      </c>
      <c r="C228" t="str">
        <f>LEFT(TableOCEDHE[[#This Row],[Structure Line]], FIND(" ", TableOCEDHE[[#This Row],[Structure Line]])-1)</f>
        <v>EDHE504</v>
      </c>
      <c r="D228" t="str">
        <f>MID(TableOCEDHE[[#This Row],[Structure Line]],FIND(" ",TableOCEDHE[[#This Row],[Structure Line]])+1,LEN(TableOCEDHE[[#This Row],[Structure Line]]))</f>
        <v>Research for the Scholarship of Learning and Teaching</v>
      </c>
      <c r="E228" s="89">
        <f>TableOCEDHE[[#This Row],[Credit Points]]</f>
        <v>25</v>
      </c>
      <c r="F228">
        <v>1</v>
      </c>
      <c r="G228" t="s">
        <v>539</v>
      </c>
      <c r="H228">
        <v>1</v>
      </c>
      <c r="I228" t="s">
        <v>537</v>
      </c>
      <c r="J228" t="s">
        <v>254</v>
      </c>
      <c r="K228">
        <v>1</v>
      </c>
      <c r="L228" t="s">
        <v>624</v>
      </c>
      <c r="M228">
        <v>25</v>
      </c>
      <c r="N228" s="194">
        <v>43466</v>
      </c>
      <c r="O228" s="194"/>
      <c r="Q228" t="s">
        <v>254</v>
      </c>
      <c r="R228">
        <v>1</v>
      </c>
    </row>
    <row r="229" spans="1:18" x14ac:dyDescent="0.25">
      <c r="A229" t="str">
        <f>TableOCEDHE[[#This Row],[Study Package Code]]</f>
        <v>EDHE5005</v>
      </c>
      <c r="B229" s="1">
        <f>TableOCEDHE[[#This Row],[Ver]]</f>
        <v>1</v>
      </c>
      <c r="C229" t="str">
        <f>LEFT(TableOCEDHE[[#This Row],[Structure Line]], FIND(" ", TableOCEDHE[[#This Row],[Structure Line]])-1)</f>
        <v>EDHE505</v>
      </c>
      <c r="D229" t="str">
        <f>MID(TableOCEDHE[[#This Row],[Structure Line]],FIND(" ",TableOCEDHE[[#This Row],[Structure Line]])+1,LEN(TableOCEDHE[[#This Row],[Structure Line]]))</f>
        <v>Teaching Portfolio</v>
      </c>
      <c r="E229" s="89">
        <f>TableOCEDHE[[#This Row],[Credit Points]]</f>
        <v>25</v>
      </c>
      <c r="F229">
        <v>2</v>
      </c>
      <c r="G229" t="s">
        <v>539</v>
      </c>
      <c r="H229">
        <v>1</v>
      </c>
      <c r="I229" t="s">
        <v>537</v>
      </c>
      <c r="J229" t="s">
        <v>255</v>
      </c>
      <c r="K229">
        <v>1</v>
      </c>
      <c r="L229" t="s">
        <v>625</v>
      </c>
      <c r="M229">
        <v>25</v>
      </c>
      <c r="N229" s="194">
        <v>43466</v>
      </c>
      <c r="O229" s="194"/>
      <c r="Q229" t="s">
        <v>255</v>
      </c>
      <c r="R229">
        <v>1</v>
      </c>
    </row>
    <row r="230" spans="1:18" x14ac:dyDescent="0.25">
      <c r="A230" t="str">
        <f>TableOCEDHE[[#This Row],[Study Package Code]]</f>
        <v>EDHE5001</v>
      </c>
      <c r="B230" s="1">
        <f>TableOCEDHE[[#This Row],[Ver]]</f>
        <v>1</v>
      </c>
      <c r="C230" t="str">
        <f>LEFT(TableOCEDHE[[#This Row],[Structure Line]], FIND(" ", TableOCEDHE[[#This Row],[Structure Line]])-1)</f>
        <v>EDHE501</v>
      </c>
      <c r="D230" t="str">
        <f>MID(TableOCEDHE[[#This Row],[Structure Line]],FIND(" ",TableOCEDHE[[#This Row],[Structure Line]])+1,LEN(TableOCEDHE[[#This Row],[Structure Line]]))</f>
        <v>The Learning Cycle: Design and Curriculum</v>
      </c>
      <c r="E230" s="89">
        <f>TableOCEDHE[[#This Row],[Credit Points]]</f>
        <v>25</v>
      </c>
      <c r="F230">
        <v>3</v>
      </c>
      <c r="G230" t="s">
        <v>539</v>
      </c>
      <c r="H230">
        <v>1</v>
      </c>
      <c r="I230" t="s">
        <v>537</v>
      </c>
      <c r="J230" t="s">
        <v>252</v>
      </c>
      <c r="K230">
        <v>1</v>
      </c>
      <c r="L230" t="s">
        <v>622</v>
      </c>
      <c r="M230">
        <v>25</v>
      </c>
      <c r="N230" s="194">
        <v>43466</v>
      </c>
      <c r="O230" s="194"/>
      <c r="Q230" t="s">
        <v>252</v>
      </c>
      <c r="R230">
        <v>1</v>
      </c>
    </row>
    <row r="231" spans="1:18" x14ac:dyDescent="0.25">
      <c r="A231" t="str">
        <f>TableOCEDHE[[#This Row],[Study Package Code]]</f>
        <v>EDHE5002</v>
      </c>
      <c r="B231" s="1">
        <f>TableOCEDHE[[#This Row],[Ver]]</f>
        <v>1</v>
      </c>
      <c r="C231" t="str">
        <f>LEFT(TableOCEDHE[[#This Row],[Structure Line]], FIND(" ", TableOCEDHE[[#This Row],[Structure Line]])-1)</f>
        <v>EDHE502</v>
      </c>
      <c r="D231" t="str">
        <f>MID(TableOCEDHE[[#This Row],[Structure Line]],FIND(" ",TableOCEDHE[[#This Row],[Structure Line]])+1,LEN(TableOCEDHE[[#This Row],[Structure Line]]))</f>
        <v>Design Thinking and Educational Innovation</v>
      </c>
      <c r="E231" s="89">
        <f>TableOCEDHE[[#This Row],[Credit Points]]</f>
        <v>25</v>
      </c>
      <c r="F231">
        <v>4</v>
      </c>
      <c r="G231" t="s">
        <v>539</v>
      </c>
      <c r="H231">
        <v>1</v>
      </c>
      <c r="I231" t="s">
        <v>537</v>
      </c>
      <c r="J231" t="s">
        <v>253</v>
      </c>
      <c r="K231">
        <v>1</v>
      </c>
      <c r="L231" t="s">
        <v>623</v>
      </c>
      <c r="M231">
        <v>25</v>
      </c>
      <c r="N231" s="194">
        <v>43466</v>
      </c>
      <c r="O231" s="194"/>
      <c r="Q231" t="s">
        <v>253</v>
      </c>
      <c r="R231">
        <v>1</v>
      </c>
    </row>
  </sheetData>
  <conditionalFormatting sqref="J4:J7">
    <cfRule type="duplicateValues" dxfId="68" priority="62"/>
  </conditionalFormatting>
  <conditionalFormatting sqref="J10:J25">
    <cfRule type="duplicateValues" dxfId="67" priority="50"/>
  </conditionalFormatting>
  <conditionalFormatting sqref="J28:J43">
    <cfRule type="duplicateValues" dxfId="66" priority="47"/>
  </conditionalFormatting>
  <conditionalFormatting sqref="J46:J85">
    <cfRule type="duplicateValues" dxfId="65" priority="44"/>
  </conditionalFormatting>
  <conditionalFormatting sqref="J89:J95">
    <cfRule type="duplicateValues" dxfId="64" priority="41"/>
  </conditionalFormatting>
  <conditionalFormatting sqref="J98:J103">
    <cfRule type="duplicateValues" dxfId="63" priority="38"/>
  </conditionalFormatting>
  <conditionalFormatting sqref="J106:J111">
    <cfRule type="duplicateValues" dxfId="62" priority="35"/>
  </conditionalFormatting>
  <conditionalFormatting sqref="J115:J130">
    <cfRule type="duplicateValues" dxfId="61" priority="32"/>
  </conditionalFormatting>
  <conditionalFormatting sqref="J133:J136">
    <cfRule type="duplicateValues" dxfId="60" priority="29"/>
  </conditionalFormatting>
  <conditionalFormatting sqref="J139:J142">
    <cfRule type="duplicateValues" dxfId="59" priority="26"/>
  </conditionalFormatting>
  <conditionalFormatting sqref="J145:J149">
    <cfRule type="duplicateValues" dxfId="58" priority="23"/>
  </conditionalFormatting>
  <conditionalFormatting sqref="J152:J154">
    <cfRule type="duplicateValues" dxfId="57" priority="20"/>
  </conditionalFormatting>
  <conditionalFormatting sqref="J157:J164">
    <cfRule type="duplicateValues" dxfId="56" priority="17"/>
  </conditionalFormatting>
  <conditionalFormatting sqref="J167:J186">
    <cfRule type="duplicateValues" dxfId="55" priority="14"/>
  </conditionalFormatting>
  <conditionalFormatting sqref="J189:J202">
    <cfRule type="duplicateValues" dxfId="54" priority="11"/>
  </conditionalFormatting>
  <conditionalFormatting sqref="J205:J218">
    <cfRule type="duplicateValues" dxfId="53" priority="8"/>
  </conditionalFormatting>
  <conditionalFormatting sqref="J222:J225">
    <cfRule type="duplicateValues" dxfId="52" priority="5"/>
  </conditionalFormatting>
  <conditionalFormatting sqref="J228:J231">
    <cfRule type="duplicateValues" dxfId="51" priority="2"/>
  </conditionalFormatting>
  <conditionalFormatting sqref="N4:N7">
    <cfRule type="cellIs" dxfId="50" priority="61" operator="greaterThan">
      <formula>$P$1</formula>
    </cfRule>
  </conditionalFormatting>
  <conditionalFormatting sqref="N10:N25">
    <cfRule type="cellIs" dxfId="49" priority="49" operator="greaterThan">
      <formula>$P$1</formula>
    </cfRule>
  </conditionalFormatting>
  <conditionalFormatting sqref="N28:N43">
    <cfRule type="cellIs" dxfId="48" priority="46" operator="greaterThan">
      <formula>$P$1</formula>
    </cfRule>
  </conditionalFormatting>
  <conditionalFormatting sqref="N46:N85">
    <cfRule type="cellIs" dxfId="47" priority="43" operator="greaterThan">
      <formula>$P$1</formula>
    </cfRule>
  </conditionalFormatting>
  <conditionalFormatting sqref="N89:N95">
    <cfRule type="cellIs" dxfId="46" priority="40" operator="greaterThan">
      <formula>$P$1</formula>
    </cfRule>
  </conditionalFormatting>
  <conditionalFormatting sqref="N98:N103">
    <cfRule type="cellIs" dxfId="45" priority="37" operator="greaterThan">
      <formula>$P$1</formula>
    </cfRule>
  </conditionalFormatting>
  <conditionalFormatting sqref="N106:N111">
    <cfRule type="cellIs" dxfId="44" priority="34" operator="greaterThan">
      <formula>$P$1</formula>
    </cfRule>
  </conditionalFormatting>
  <conditionalFormatting sqref="N115:N130">
    <cfRule type="cellIs" dxfId="43" priority="31" operator="greaterThan">
      <formula>$P$1</formula>
    </cfRule>
  </conditionalFormatting>
  <conditionalFormatting sqref="N133:N136">
    <cfRule type="cellIs" dxfId="42" priority="28" operator="greaterThan">
      <formula>$P$1</formula>
    </cfRule>
  </conditionalFormatting>
  <conditionalFormatting sqref="N139:N142">
    <cfRule type="cellIs" dxfId="41" priority="25" operator="greaterThan">
      <formula>$P$1</formula>
    </cfRule>
  </conditionalFormatting>
  <conditionalFormatting sqref="N145:N149">
    <cfRule type="cellIs" dxfId="40" priority="22" operator="greaterThan">
      <formula>$P$1</formula>
    </cfRule>
  </conditionalFormatting>
  <conditionalFormatting sqref="N152:N154">
    <cfRule type="cellIs" dxfId="39" priority="19" operator="greaterThan">
      <formula>$P$1</formula>
    </cfRule>
  </conditionalFormatting>
  <conditionalFormatting sqref="N157:N164">
    <cfRule type="cellIs" dxfId="38" priority="16" operator="greaterThan">
      <formula>$P$1</formula>
    </cfRule>
  </conditionalFormatting>
  <conditionalFormatting sqref="N167:N186">
    <cfRule type="cellIs" dxfId="37" priority="13" operator="greaterThan">
      <formula>$P$1</formula>
    </cfRule>
  </conditionalFormatting>
  <conditionalFormatting sqref="N189:N202">
    <cfRule type="cellIs" dxfId="36" priority="10" operator="greaterThan">
      <formula>$P$1</formula>
    </cfRule>
  </conditionalFormatting>
  <conditionalFormatting sqref="N205:N218">
    <cfRule type="cellIs" dxfId="35" priority="7" operator="greaterThan">
      <formula>$P$1</formula>
    </cfRule>
  </conditionalFormatting>
  <conditionalFormatting sqref="N222:N225">
    <cfRule type="cellIs" dxfId="34" priority="4" operator="greaterThan">
      <formula>$P$1</formula>
    </cfRule>
  </conditionalFormatting>
  <conditionalFormatting sqref="N228:N231">
    <cfRule type="cellIs" dxfId="33" priority="1" operator="greaterThan">
      <formula>$P$1</formula>
    </cfRule>
  </conditionalFormatting>
  <conditionalFormatting sqref="O4:O7">
    <cfRule type="notContainsBlanks" dxfId="32" priority="116">
      <formula>LEN(TRIM(O4))&gt;0</formula>
    </cfRule>
  </conditionalFormatting>
  <conditionalFormatting sqref="O10:O25">
    <cfRule type="notContainsBlanks" dxfId="31" priority="51">
      <formula>LEN(TRIM(O10))&gt;0</formula>
    </cfRule>
  </conditionalFormatting>
  <conditionalFormatting sqref="O28:O43">
    <cfRule type="notContainsBlanks" dxfId="30" priority="48">
      <formula>LEN(TRIM(O28))&gt;0</formula>
    </cfRule>
  </conditionalFormatting>
  <conditionalFormatting sqref="O46:O85">
    <cfRule type="notContainsBlanks" dxfId="29" priority="45">
      <formula>LEN(TRIM(O46))&gt;0</formula>
    </cfRule>
  </conditionalFormatting>
  <conditionalFormatting sqref="O89:O95">
    <cfRule type="notContainsBlanks" dxfId="28" priority="42">
      <formula>LEN(TRIM(O89))&gt;0</formula>
    </cfRule>
  </conditionalFormatting>
  <conditionalFormatting sqref="O98:O103">
    <cfRule type="notContainsBlanks" dxfId="27" priority="39">
      <formula>LEN(TRIM(O98))&gt;0</formula>
    </cfRule>
  </conditionalFormatting>
  <conditionalFormatting sqref="O106:O111">
    <cfRule type="notContainsBlanks" dxfId="26" priority="36">
      <formula>LEN(TRIM(O106))&gt;0</formula>
    </cfRule>
  </conditionalFormatting>
  <conditionalFormatting sqref="O115:O130">
    <cfRule type="notContainsBlanks" dxfId="25" priority="33">
      <formula>LEN(TRIM(O115))&gt;0</formula>
    </cfRule>
  </conditionalFormatting>
  <conditionalFormatting sqref="O133:O136">
    <cfRule type="notContainsBlanks" dxfId="24" priority="30">
      <formula>LEN(TRIM(O133))&gt;0</formula>
    </cfRule>
  </conditionalFormatting>
  <conditionalFormatting sqref="O139:O142">
    <cfRule type="notContainsBlanks" dxfId="23" priority="27">
      <formula>LEN(TRIM(O139))&gt;0</formula>
    </cfRule>
  </conditionalFormatting>
  <conditionalFormatting sqref="O145:O149">
    <cfRule type="notContainsBlanks" dxfId="22" priority="24">
      <formula>LEN(TRIM(O145))&gt;0</formula>
    </cfRule>
  </conditionalFormatting>
  <conditionalFormatting sqref="O152:O154">
    <cfRule type="notContainsBlanks" dxfId="21" priority="21">
      <formula>LEN(TRIM(O152))&gt;0</formula>
    </cfRule>
  </conditionalFormatting>
  <conditionalFormatting sqref="O157:O164">
    <cfRule type="notContainsBlanks" dxfId="20" priority="18">
      <formula>LEN(TRIM(O157))&gt;0</formula>
    </cfRule>
  </conditionalFormatting>
  <conditionalFormatting sqref="O167:O186">
    <cfRule type="notContainsBlanks" dxfId="19" priority="15">
      <formula>LEN(TRIM(O167))&gt;0</formula>
    </cfRule>
  </conditionalFormatting>
  <conditionalFormatting sqref="O189:O202">
    <cfRule type="notContainsBlanks" dxfId="18" priority="12">
      <formula>LEN(TRIM(O189))&gt;0</formula>
    </cfRule>
  </conditionalFormatting>
  <conditionalFormatting sqref="O205:O218">
    <cfRule type="notContainsBlanks" dxfId="17" priority="9">
      <formula>LEN(TRIM(O205))&gt;0</formula>
    </cfRule>
  </conditionalFormatting>
  <conditionalFormatting sqref="O222:O225">
    <cfRule type="notContainsBlanks" dxfId="16" priority="6">
      <formula>LEN(TRIM(O222))&gt;0</formula>
    </cfRule>
  </conditionalFormatting>
  <conditionalFormatting sqref="O228:O231">
    <cfRule type="notContainsBlanks" dxfId="15" priority="3">
      <formula>LEN(TRIM(O228))&gt;0</formula>
    </cfRule>
  </conditionalFormatting>
  <conditionalFormatting sqref="Q4:R7 Q152:R154 Q157:R164 Q167:R185">
    <cfRule type="expression" dxfId="14" priority="101">
      <formula>Q4&lt;&gt;J4</formula>
    </cfRule>
  </conditionalFormatting>
  <conditionalFormatting sqref="Q10:R25">
    <cfRule type="expression" dxfId="13" priority="86">
      <formula>Q10&lt;&gt;J10</formula>
    </cfRule>
  </conditionalFormatting>
  <conditionalFormatting sqref="Q28:R43">
    <cfRule type="expression" dxfId="12" priority="85">
      <formula>Q28&lt;&gt;J28</formula>
    </cfRule>
  </conditionalFormatting>
  <conditionalFormatting sqref="Q46:R85">
    <cfRule type="expression" dxfId="11" priority="84">
      <formula>Q46&lt;&gt;J46</formula>
    </cfRule>
  </conditionalFormatting>
  <conditionalFormatting sqref="Q89:R95">
    <cfRule type="expression" dxfId="10" priority="83">
      <formula>Q89&lt;&gt;J89</formula>
    </cfRule>
  </conditionalFormatting>
  <conditionalFormatting sqref="Q98:R103">
    <cfRule type="expression" dxfId="9" priority="82">
      <formula>Q98&lt;&gt;J98</formula>
    </cfRule>
  </conditionalFormatting>
  <conditionalFormatting sqref="Q106:R111">
    <cfRule type="expression" dxfId="8" priority="81">
      <formula>Q106&lt;&gt;J106</formula>
    </cfRule>
  </conditionalFormatting>
  <conditionalFormatting sqref="Q115:R130">
    <cfRule type="expression" dxfId="7" priority="80">
      <formula>Q115&lt;&gt;J115</formula>
    </cfRule>
  </conditionalFormatting>
  <conditionalFormatting sqref="Q133:R136">
    <cfRule type="expression" dxfId="6" priority="79">
      <formula>Q133&lt;&gt;J133</formula>
    </cfRule>
  </conditionalFormatting>
  <conditionalFormatting sqref="Q139:R142">
    <cfRule type="expression" dxfId="5" priority="78">
      <formula>Q139&lt;&gt;J139</formula>
    </cfRule>
  </conditionalFormatting>
  <conditionalFormatting sqref="Q145:R148">
    <cfRule type="expression" dxfId="4" priority="77">
      <formula>Q145&lt;&gt;J145</formula>
    </cfRule>
  </conditionalFormatting>
  <conditionalFormatting sqref="Q189:R202">
    <cfRule type="expression" dxfId="3" priority="75">
      <formula>Q189&lt;&gt;J189</formula>
    </cfRule>
  </conditionalFormatting>
  <conditionalFormatting sqref="Q205:R218">
    <cfRule type="expression" dxfId="2" priority="74">
      <formula>Q205&lt;&gt;J205</formula>
    </cfRule>
  </conditionalFormatting>
  <conditionalFormatting sqref="Q222:R225">
    <cfRule type="expression" dxfId="1" priority="73">
      <formula>Q222&lt;&gt;J222</formula>
    </cfRule>
  </conditionalFormatting>
  <conditionalFormatting sqref="Q228:R231">
    <cfRule type="expression" dxfId="0" priority="72">
      <formula>Q228&lt;&gt;J228</formula>
    </cfRule>
  </conditionalFormatting>
  <pageMargins left="0.7" right="0.7" top="0.75" bottom="0.75" header="0.3" footer="0.3"/>
  <pageSetup paperSize="9" orientation="portrait" r:id="rId1"/>
  <ignoredErrors>
    <ignoredError sqref="C10 C11:C25 D10:D25" calculatedColumn="1"/>
  </ignoredErrors>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L73"/>
  <sheetViews>
    <sheetView workbookViewId="0">
      <selection activeCell="D7" sqref="D7"/>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A1" s="70"/>
      <c r="F1" s="196" t="s">
        <v>524</v>
      </c>
      <c r="G1" s="197">
        <v>45622</v>
      </c>
    </row>
    <row r="2" spans="1:12" ht="76.5" x14ac:dyDescent="0.25">
      <c r="A2" t="s">
        <v>626</v>
      </c>
      <c r="B2" s="241" t="s">
        <v>613</v>
      </c>
      <c r="C2" s="241" t="s">
        <v>614</v>
      </c>
      <c r="D2" s="241" t="s">
        <v>615</v>
      </c>
      <c r="E2" s="241" t="s">
        <v>616</v>
      </c>
    </row>
    <row r="3" spans="1:12" x14ac:dyDescent="0.25">
      <c r="A3" t="s">
        <v>118</v>
      </c>
      <c r="B3" s="1"/>
      <c r="C3" s="1">
        <v>1</v>
      </c>
      <c r="D3" s="1"/>
      <c r="E3" s="1"/>
      <c r="H3" t="s">
        <v>118</v>
      </c>
      <c r="J3">
        <v>1</v>
      </c>
    </row>
    <row r="4" spans="1:12" x14ac:dyDescent="0.25">
      <c r="A4" t="s">
        <v>91</v>
      </c>
      <c r="B4" s="1"/>
      <c r="C4" s="1">
        <v>1</v>
      </c>
      <c r="D4" s="1"/>
      <c r="E4" s="1"/>
      <c r="H4" t="s">
        <v>91</v>
      </c>
      <c r="J4">
        <v>1</v>
      </c>
    </row>
    <row r="5" spans="1:12" x14ac:dyDescent="0.25">
      <c r="A5" t="s">
        <v>99</v>
      </c>
      <c r="B5" s="1"/>
      <c r="C5" s="1"/>
      <c r="D5" s="1">
        <v>1</v>
      </c>
      <c r="E5" s="1"/>
      <c r="H5" t="s">
        <v>99</v>
      </c>
      <c r="K5">
        <v>1</v>
      </c>
    </row>
    <row r="6" spans="1:12" x14ac:dyDescent="0.25">
      <c r="A6" t="s">
        <v>84</v>
      </c>
      <c r="B6" s="1"/>
      <c r="C6" s="1"/>
      <c r="D6" s="1">
        <v>1</v>
      </c>
      <c r="E6" s="1"/>
      <c r="H6" t="s">
        <v>84</v>
      </c>
      <c r="K6">
        <v>1</v>
      </c>
    </row>
    <row r="7" spans="1:12" x14ac:dyDescent="0.25">
      <c r="A7" t="s">
        <v>77</v>
      </c>
      <c r="B7" s="1">
        <v>1</v>
      </c>
      <c r="C7" s="1">
        <v>1</v>
      </c>
      <c r="D7" s="1"/>
      <c r="E7" s="1"/>
      <c r="H7" t="s">
        <v>77</v>
      </c>
      <c r="I7">
        <v>1</v>
      </c>
      <c r="J7">
        <v>1</v>
      </c>
    </row>
    <row r="8" spans="1:12" x14ac:dyDescent="0.25">
      <c r="A8" t="s">
        <v>107</v>
      </c>
      <c r="B8" s="1">
        <v>1</v>
      </c>
      <c r="C8" s="1"/>
      <c r="D8" s="1"/>
      <c r="E8" s="1"/>
      <c r="H8" t="s">
        <v>107</v>
      </c>
      <c r="I8">
        <v>1</v>
      </c>
    </row>
    <row r="9" spans="1:12" x14ac:dyDescent="0.25">
      <c r="A9" t="s">
        <v>83</v>
      </c>
      <c r="B9" s="1"/>
      <c r="C9" s="1">
        <v>1</v>
      </c>
      <c r="D9" s="1"/>
      <c r="E9" s="1"/>
      <c r="H9" t="s">
        <v>83</v>
      </c>
      <c r="J9">
        <v>1</v>
      </c>
    </row>
    <row r="10" spans="1:12" x14ac:dyDescent="0.25">
      <c r="A10" t="s">
        <v>85</v>
      </c>
      <c r="B10" s="1"/>
      <c r="C10" s="1"/>
      <c r="D10" s="1"/>
      <c r="E10" s="1">
        <v>1</v>
      </c>
      <c r="H10" t="s">
        <v>85</v>
      </c>
      <c r="L10">
        <v>1</v>
      </c>
    </row>
    <row r="11" spans="1:12" x14ac:dyDescent="0.25">
      <c r="A11" t="s">
        <v>114</v>
      </c>
      <c r="B11" s="1"/>
      <c r="C11" s="1"/>
      <c r="D11" s="1"/>
      <c r="E11" s="1">
        <v>1</v>
      </c>
      <c r="H11" t="s">
        <v>114</v>
      </c>
      <c r="L11">
        <v>1</v>
      </c>
    </row>
    <row r="12" spans="1:12" x14ac:dyDescent="0.25">
      <c r="A12" t="s">
        <v>119</v>
      </c>
      <c r="B12" s="1"/>
      <c r="C12" s="1"/>
      <c r="D12" s="1">
        <v>1</v>
      </c>
      <c r="E12" s="1"/>
      <c r="H12" t="s">
        <v>119</v>
      </c>
      <c r="K12">
        <v>1</v>
      </c>
    </row>
    <row r="13" spans="1:12" x14ac:dyDescent="0.25">
      <c r="A13" t="s">
        <v>252</v>
      </c>
      <c r="B13" s="1">
        <v>1</v>
      </c>
      <c r="C13" s="1"/>
      <c r="D13" s="1">
        <v>1</v>
      </c>
      <c r="E13" s="1"/>
      <c r="H13" t="s">
        <v>252</v>
      </c>
      <c r="I13">
        <v>1</v>
      </c>
      <c r="K13">
        <v>1</v>
      </c>
    </row>
    <row r="14" spans="1:12" x14ac:dyDescent="0.25">
      <c r="A14" t="s">
        <v>253</v>
      </c>
      <c r="B14" s="1"/>
      <c r="C14" s="1">
        <v>1</v>
      </c>
      <c r="D14" s="1"/>
      <c r="E14" s="1">
        <v>1</v>
      </c>
      <c r="H14" t="s">
        <v>253</v>
      </c>
      <c r="J14">
        <v>1</v>
      </c>
      <c r="L14">
        <v>1</v>
      </c>
    </row>
    <row r="15" spans="1:12" x14ac:dyDescent="0.25">
      <c r="A15" t="s">
        <v>254</v>
      </c>
      <c r="B15" s="1">
        <v>1</v>
      </c>
      <c r="C15" s="1"/>
      <c r="D15" s="1">
        <v>1</v>
      </c>
      <c r="E15" s="1"/>
      <c r="H15" t="s">
        <v>254</v>
      </c>
      <c r="I15">
        <v>1</v>
      </c>
      <c r="K15">
        <v>1</v>
      </c>
    </row>
    <row r="16" spans="1:12" x14ac:dyDescent="0.25">
      <c r="A16" t="s">
        <v>255</v>
      </c>
      <c r="B16" s="1"/>
      <c r="C16" s="1">
        <v>1</v>
      </c>
      <c r="D16" s="1"/>
      <c r="E16" s="1">
        <v>1</v>
      </c>
      <c r="H16" t="s">
        <v>255</v>
      </c>
      <c r="J16">
        <v>1</v>
      </c>
      <c r="L16">
        <v>1</v>
      </c>
    </row>
    <row r="17" spans="1:12" x14ac:dyDescent="0.25">
      <c r="A17" t="s">
        <v>87</v>
      </c>
      <c r="B17" s="1"/>
      <c r="C17" s="1">
        <v>1</v>
      </c>
      <c r="D17" s="1"/>
      <c r="E17" s="1">
        <v>1</v>
      </c>
      <c r="H17" t="s">
        <v>87</v>
      </c>
      <c r="J17">
        <v>1</v>
      </c>
      <c r="L17">
        <v>1</v>
      </c>
    </row>
    <row r="18" spans="1:12" x14ac:dyDescent="0.25">
      <c r="A18" t="s">
        <v>92</v>
      </c>
      <c r="B18" s="1">
        <v>1</v>
      </c>
      <c r="C18" s="1">
        <v>1</v>
      </c>
      <c r="D18" s="1"/>
      <c r="E18" s="1"/>
      <c r="H18" t="s">
        <v>92</v>
      </c>
      <c r="I18">
        <v>1</v>
      </c>
      <c r="J18">
        <v>1</v>
      </c>
    </row>
    <row r="19" spans="1:12" x14ac:dyDescent="0.25">
      <c r="A19" t="s">
        <v>86</v>
      </c>
      <c r="B19" s="1"/>
      <c r="C19" s="1">
        <v>1</v>
      </c>
      <c r="D19" s="1"/>
      <c r="E19" s="1"/>
      <c r="H19" t="s">
        <v>86</v>
      </c>
      <c r="I19">
        <v>1</v>
      </c>
      <c r="J19">
        <v>1</v>
      </c>
    </row>
    <row r="20" spans="1:12" x14ac:dyDescent="0.25">
      <c r="A20" t="s">
        <v>100</v>
      </c>
      <c r="B20" s="1"/>
      <c r="C20" s="1">
        <v>1</v>
      </c>
      <c r="D20" s="1">
        <v>1</v>
      </c>
      <c r="E20" s="1"/>
      <c r="H20" t="s">
        <v>100</v>
      </c>
      <c r="J20">
        <v>1</v>
      </c>
      <c r="K20">
        <v>1</v>
      </c>
    </row>
    <row r="21" spans="1:12" x14ac:dyDescent="0.25">
      <c r="A21" t="s">
        <v>116</v>
      </c>
      <c r="B21" s="1"/>
      <c r="C21" s="1">
        <v>1</v>
      </c>
      <c r="D21" s="1"/>
      <c r="E21" s="1"/>
      <c r="H21" t="s">
        <v>116</v>
      </c>
      <c r="J21">
        <v>1</v>
      </c>
    </row>
    <row r="22" spans="1:12" x14ac:dyDescent="0.25">
      <c r="A22" t="s">
        <v>115</v>
      </c>
      <c r="B22" s="1">
        <v>1</v>
      </c>
      <c r="C22" s="1"/>
      <c r="D22" s="1"/>
      <c r="E22" s="1"/>
      <c r="H22" t="s">
        <v>115</v>
      </c>
      <c r="I22">
        <v>1</v>
      </c>
    </row>
    <row r="23" spans="1:12" x14ac:dyDescent="0.25">
      <c r="A23" t="s">
        <v>108</v>
      </c>
      <c r="B23" s="1"/>
      <c r="C23" s="1"/>
      <c r="D23" s="1"/>
      <c r="E23" s="1">
        <v>1</v>
      </c>
      <c r="H23" t="s">
        <v>108</v>
      </c>
      <c r="L23">
        <v>1</v>
      </c>
    </row>
    <row r="24" spans="1:12" x14ac:dyDescent="0.25">
      <c r="A24" t="s">
        <v>121</v>
      </c>
      <c r="B24" s="1"/>
      <c r="C24" s="1"/>
      <c r="D24" s="1">
        <v>1</v>
      </c>
      <c r="E24" s="1"/>
      <c r="H24" t="s">
        <v>121</v>
      </c>
      <c r="K24">
        <v>1</v>
      </c>
    </row>
    <row r="25" spans="1:12" x14ac:dyDescent="0.25">
      <c r="A25" t="s">
        <v>281</v>
      </c>
      <c r="B25" s="1">
        <v>1</v>
      </c>
      <c r="C25" s="1">
        <v>1</v>
      </c>
      <c r="D25" s="1"/>
      <c r="E25" s="1"/>
      <c r="H25" t="s">
        <v>281</v>
      </c>
      <c r="I25">
        <v>1</v>
      </c>
      <c r="J25">
        <v>1</v>
      </c>
    </row>
    <row r="26" spans="1:12" x14ac:dyDescent="0.25">
      <c r="A26" t="s">
        <v>282</v>
      </c>
      <c r="B26" s="1"/>
      <c r="C26" s="1">
        <v>1</v>
      </c>
      <c r="D26" s="1"/>
      <c r="E26" s="1">
        <v>1</v>
      </c>
      <c r="H26" t="s">
        <v>282</v>
      </c>
      <c r="J26">
        <v>1</v>
      </c>
      <c r="L26">
        <v>1</v>
      </c>
    </row>
    <row r="27" spans="1:12" x14ac:dyDescent="0.25">
      <c r="A27" t="s">
        <v>290</v>
      </c>
      <c r="B27" s="1">
        <v>1</v>
      </c>
      <c r="C27" s="1">
        <v>1</v>
      </c>
      <c r="D27" s="1"/>
      <c r="E27" s="1"/>
      <c r="H27" t="s">
        <v>290</v>
      </c>
      <c r="I27">
        <v>1</v>
      </c>
      <c r="J27">
        <v>1</v>
      </c>
    </row>
    <row r="28" spans="1:12" x14ac:dyDescent="0.25">
      <c r="A28" t="s">
        <v>262</v>
      </c>
      <c r="B28" s="1">
        <v>1</v>
      </c>
      <c r="C28" s="1"/>
      <c r="D28" s="1">
        <v>1</v>
      </c>
      <c r="E28" s="1"/>
      <c r="H28" t="s">
        <v>262</v>
      </c>
      <c r="I28">
        <v>1</v>
      </c>
      <c r="K28">
        <v>1</v>
      </c>
    </row>
    <row r="29" spans="1:12" x14ac:dyDescent="0.25">
      <c r="A29" t="s">
        <v>315</v>
      </c>
      <c r="B29" s="1"/>
      <c r="C29" s="1">
        <v>1</v>
      </c>
      <c r="D29" s="1"/>
      <c r="E29" s="1">
        <v>1</v>
      </c>
      <c r="H29" t="s">
        <v>315</v>
      </c>
      <c r="J29">
        <v>1</v>
      </c>
      <c r="L29">
        <v>1</v>
      </c>
    </row>
    <row r="30" spans="1:12" x14ac:dyDescent="0.25">
      <c r="A30" t="s">
        <v>316</v>
      </c>
      <c r="B30" s="1"/>
      <c r="C30" s="1">
        <v>1</v>
      </c>
      <c r="D30" s="1"/>
      <c r="E30" s="1">
        <v>1</v>
      </c>
      <c r="H30" t="s">
        <v>316</v>
      </c>
      <c r="J30">
        <v>1</v>
      </c>
      <c r="L30">
        <v>1</v>
      </c>
    </row>
    <row r="31" spans="1:12" x14ac:dyDescent="0.25">
      <c r="A31" t="s">
        <v>318</v>
      </c>
      <c r="B31" s="1"/>
      <c r="C31" s="1">
        <v>1</v>
      </c>
      <c r="D31" s="1"/>
      <c r="E31" s="1">
        <v>1</v>
      </c>
      <c r="H31" t="s">
        <v>318</v>
      </c>
      <c r="J31">
        <v>1</v>
      </c>
      <c r="L31">
        <v>1</v>
      </c>
    </row>
    <row r="32" spans="1:12" x14ac:dyDescent="0.25">
      <c r="A32" t="s">
        <v>319</v>
      </c>
      <c r="B32" s="1"/>
      <c r="C32" s="1">
        <v>1</v>
      </c>
      <c r="D32" s="1"/>
      <c r="E32" s="1">
        <v>1</v>
      </c>
      <c r="H32" t="s">
        <v>319</v>
      </c>
      <c r="J32">
        <v>1</v>
      </c>
      <c r="L32">
        <v>1</v>
      </c>
    </row>
    <row r="33" spans="1:12" x14ac:dyDescent="0.25">
      <c r="A33" t="s">
        <v>320</v>
      </c>
      <c r="B33" s="1"/>
      <c r="C33" s="1">
        <v>1</v>
      </c>
      <c r="D33" s="1"/>
      <c r="E33" s="1">
        <v>1</v>
      </c>
      <c r="H33" t="s">
        <v>320</v>
      </c>
      <c r="J33">
        <v>1</v>
      </c>
      <c r="L33">
        <v>1</v>
      </c>
    </row>
    <row r="34" spans="1:12" x14ac:dyDescent="0.25">
      <c r="A34" t="s">
        <v>323</v>
      </c>
      <c r="B34" s="1"/>
      <c r="C34" s="1">
        <v>1</v>
      </c>
      <c r="D34" s="1"/>
      <c r="E34" s="1">
        <v>1</v>
      </c>
      <c r="H34" t="s">
        <v>323</v>
      </c>
      <c r="I34">
        <v>1</v>
      </c>
      <c r="J34">
        <v>1</v>
      </c>
      <c r="K34">
        <v>1</v>
      </c>
      <c r="L34">
        <v>1</v>
      </c>
    </row>
    <row r="35" spans="1:12" x14ac:dyDescent="0.25">
      <c r="A35" t="s">
        <v>326</v>
      </c>
      <c r="B35" s="1"/>
      <c r="C35" s="1">
        <v>1</v>
      </c>
      <c r="D35" s="1"/>
      <c r="E35" s="1">
        <v>1</v>
      </c>
      <c r="H35" t="s">
        <v>326</v>
      </c>
      <c r="I35">
        <v>1</v>
      </c>
      <c r="J35">
        <v>1</v>
      </c>
      <c r="K35">
        <v>1</v>
      </c>
      <c r="L35">
        <v>1</v>
      </c>
    </row>
    <row r="36" spans="1:12" x14ac:dyDescent="0.25">
      <c r="A36" t="s">
        <v>327</v>
      </c>
      <c r="B36" s="1"/>
      <c r="C36" s="1">
        <v>1</v>
      </c>
      <c r="D36" s="1"/>
      <c r="E36" s="1">
        <v>1</v>
      </c>
      <c r="H36" t="s">
        <v>327</v>
      </c>
      <c r="I36">
        <v>1</v>
      </c>
      <c r="J36">
        <v>1</v>
      </c>
      <c r="K36">
        <v>1</v>
      </c>
      <c r="L36">
        <v>1</v>
      </c>
    </row>
    <row r="37" spans="1:12" x14ac:dyDescent="0.25">
      <c r="A37" t="s">
        <v>328</v>
      </c>
      <c r="B37" s="1"/>
      <c r="C37" s="1">
        <v>1</v>
      </c>
      <c r="D37" s="1"/>
      <c r="E37" s="1">
        <v>1</v>
      </c>
      <c r="H37" t="s">
        <v>328</v>
      </c>
      <c r="I37">
        <v>1</v>
      </c>
      <c r="J37">
        <v>1</v>
      </c>
      <c r="K37">
        <v>1</v>
      </c>
      <c r="L37">
        <v>1</v>
      </c>
    </row>
    <row r="38" spans="1:12" x14ac:dyDescent="0.25">
      <c r="A38" t="s">
        <v>294</v>
      </c>
      <c r="B38" s="1"/>
      <c r="C38" s="1">
        <v>1</v>
      </c>
      <c r="D38" s="1">
        <v>1</v>
      </c>
      <c r="E38" s="1"/>
      <c r="H38" t="s">
        <v>294</v>
      </c>
      <c r="J38">
        <v>1</v>
      </c>
      <c r="K38">
        <v>1</v>
      </c>
    </row>
    <row r="39" spans="1:12" x14ac:dyDescent="0.25">
      <c r="A39" t="s">
        <v>324</v>
      </c>
      <c r="B39" s="1"/>
      <c r="C39" s="1">
        <v>1</v>
      </c>
      <c r="D39" s="1"/>
      <c r="E39" s="1">
        <v>1</v>
      </c>
      <c r="H39" t="s">
        <v>324</v>
      </c>
      <c r="I39">
        <v>1</v>
      </c>
      <c r="J39">
        <v>1</v>
      </c>
      <c r="K39">
        <v>1</v>
      </c>
      <c r="L39">
        <v>1</v>
      </c>
    </row>
    <row r="40" spans="1:12" x14ac:dyDescent="0.25">
      <c r="A40" t="s">
        <v>317</v>
      </c>
      <c r="B40" s="1"/>
      <c r="C40" s="1">
        <v>1</v>
      </c>
      <c r="D40" s="1"/>
      <c r="E40" s="1">
        <v>1</v>
      </c>
      <c r="H40" t="s">
        <v>317</v>
      </c>
      <c r="J40">
        <v>1</v>
      </c>
      <c r="L40">
        <v>1</v>
      </c>
    </row>
    <row r="41" spans="1:12" x14ac:dyDescent="0.25">
      <c r="A41" t="s">
        <v>325</v>
      </c>
      <c r="B41" s="1"/>
      <c r="C41" s="1">
        <v>1</v>
      </c>
      <c r="D41" s="1"/>
      <c r="E41" s="1">
        <v>1</v>
      </c>
      <c r="H41" t="s">
        <v>325</v>
      </c>
      <c r="I41">
        <v>1</v>
      </c>
      <c r="J41">
        <v>1</v>
      </c>
      <c r="K41">
        <v>1</v>
      </c>
      <c r="L41">
        <v>1</v>
      </c>
    </row>
    <row r="42" spans="1:12" x14ac:dyDescent="0.25">
      <c r="A42" t="s">
        <v>333</v>
      </c>
      <c r="B42" s="1"/>
      <c r="C42" s="1">
        <v>1</v>
      </c>
      <c r="D42" s="1"/>
      <c r="E42" s="1">
        <v>1</v>
      </c>
      <c r="H42" t="s">
        <v>333</v>
      </c>
      <c r="J42">
        <v>1</v>
      </c>
      <c r="L42">
        <v>1</v>
      </c>
    </row>
    <row r="43" spans="1:12" x14ac:dyDescent="0.25">
      <c r="A43" t="s">
        <v>302</v>
      </c>
      <c r="B43" s="1">
        <v>1</v>
      </c>
      <c r="C43" s="1"/>
      <c r="D43" s="1"/>
      <c r="E43" s="1"/>
      <c r="H43" t="s">
        <v>302</v>
      </c>
      <c r="I43">
        <v>1</v>
      </c>
    </row>
    <row r="44" spans="1:12" x14ac:dyDescent="0.25">
      <c r="A44" t="s">
        <v>75</v>
      </c>
      <c r="B44" s="1">
        <v>1</v>
      </c>
      <c r="C44" s="1"/>
      <c r="D44" s="1">
        <v>1</v>
      </c>
      <c r="E44" s="1"/>
      <c r="H44" t="s">
        <v>75</v>
      </c>
      <c r="I44">
        <v>1</v>
      </c>
      <c r="K44">
        <v>1</v>
      </c>
    </row>
    <row r="45" spans="1:12" x14ac:dyDescent="0.25">
      <c r="A45" t="s">
        <v>80</v>
      </c>
      <c r="B45" s="1"/>
      <c r="C45" s="1">
        <v>1</v>
      </c>
      <c r="D45" s="1"/>
      <c r="E45" s="1">
        <v>1</v>
      </c>
      <c r="H45" t="s">
        <v>80</v>
      </c>
      <c r="J45">
        <v>1</v>
      </c>
      <c r="L45">
        <v>1</v>
      </c>
    </row>
    <row r="46" spans="1:12" x14ac:dyDescent="0.25">
      <c r="A46" t="s">
        <v>96</v>
      </c>
      <c r="B46" s="1">
        <v>1</v>
      </c>
      <c r="C46" s="1"/>
      <c r="D46" s="1">
        <v>1</v>
      </c>
      <c r="E46" s="1"/>
      <c r="H46" t="s">
        <v>96</v>
      </c>
      <c r="I46">
        <v>1</v>
      </c>
      <c r="K46">
        <v>1</v>
      </c>
    </row>
    <row r="47" spans="1:12" x14ac:dyDescent="0.25">
      <c r="A47" t="s">
        <v>95</v>
      </c>
      <c r="B47" s="1"/>
      <c r="C47" s="1">
        <v>1</v>
      </c>
      <c r="D47" s="1">
        <v>1</v>
      </c>
      <c r="E47" s="1">
        <v>1</v>
      </c>
      <c r="H47" t="s">
        <v>95</v>
      </c>
      <c r="J47">
        <v>1</v>
      </c>
      <c r="K47">
        <v>1</v>
      </c>
      <c r="L47">
        <v>1</v>
      </c>
    </row>
    <row r="48" spans="1:12" x14ac:dyDescent="0.25">
      <c r="A48" t="s">
        <v>224</v>
      </c>
      <c r="B48" s="1"/>
      <c r="C48" s="1">
        <v>1</v>
      </c>
      <c r="D48" s="1"/>
      <c r="E48" s="1">
        <v>1</v>
      </c>
      <c r="H48" t="s">
        <v>224</v>
      </c>
      <c r="J48">
        <v>1</v>
      </c>
      <c r="L48">
        <v>1</v>
      </c>
    </row>
    <row r="49" spans="1:12" x14ac:dyDescent="0.25">
      <c r="A49" t="s">
        <v>239</v>
      </c>
      <c r="B49" s="1">
        <v>1</v>
      </c>
      <c r="C49" s="1"/>
      <c r="D49" s="1">
        <v>1</v>
      </c>
      <c r="E49" s="1"/>
      <c r="H49" t="s">
        <v>239</v>
      </c>
      <c r="I49">
        <v>1</v>
      </c>
      <c r="K49">
        <v>1</v>
      </c>
    </row>
    <row r="50" spans="1:12" x14ac:dyDescent="0.25">
      <c r="A50" t="s">
        <v>223</v>
      </c>
      <c r="B50" s="1">
        <v>1</v>
      </c>
      <c r="C50" s="1"/>
      <c r="D50" s="1">
        <v>1</v>
      </c>
      <c r="E50" s="1"/>
      <c r="H50" t="s">
        <v>223</v>
      </c>
      <c r="I50">
        <v>1</v>
      </c>
      <c r="K50">
        <v>1</v>
      </c>
    </row>
    <row r="51" spans="1:12" x14ac:dyDescent="0.25">
      <c r="A51" t="s">
        <v>229</v>
      </c>
      <c r="B51" s="1"/>
      <c r="C51" s="1">
        <v>1</v>
      </c>
      <c r="D51" s="1"/>
      <c r="E51" s="1">
        <v>1</v>
      </c>
      <c r="H51" t="s">
        <v>229</v>
      </c>
      <c r="J51">
        <v>1</v>
      </c>
      <c r="L51">
        <v>1</v>
      </c>
    </row>
    <row r="52" spans="1:12" x14ac:dyDescent="0.25">
      <c r="A52" t="s">
        <v>242</v>
      </c>
      <c r="B52" s="1">
        <v>1</v>
      </c>
      <c r="C52" s="1"/>
      <c r="D52" s="1">
        <v>1</v>
      </c>
      <c r="E52" s="1"/>
      <c r="H52" t="s">
        <v>242</v>
      </c>
      <c r="I52">
        <v>1</v>
      </c>
      <c r="K52">
        <v>1</v>
      </c>
    </row>
    <row r="53" spans="1:12" x14ac:dyDescent="0.25">
      <c r="A53" t="s">
        <v>81</v>
      </c>
      <c r="B53" s="1">
        <v>1</v>
      </c>
      <c r="C53" s="1"/>
      <c r="D53" s="1">
        <v>1</v>
      </c>
      <c r="E53" s="1"/>
      <c r="H53" t="s">
        <v>81</v>
      </c>
      <c r="I53">
        <v>1</v>
      </c>
      <c r="K53">
        <v>1</v>
      </c>
    </row>
    <row r="54" spans="1:12" x14ac:dyDescent="0.25">
      <c r="A54" t="s">
        <v>263</v>
      </c>
      <c r="B54" s="1"/>
      <c r="C54" s="1">
        <v>1</v>
      </c>
      <c r="D54" s="1"/>
      <c r="E54" s="1">
        <v>1</v>
      </c>
      <c r="H54" t="s">
        <v>263</v>
      </c>
      <c r="J54">
        <v>1</v>
      </c>
      <c r="L54">
        <v>1</v>
      </c>
    </row>
    <row r="55" spans="1:12" x14ac:dyDescent="0.25">
      <c r="A55" t="s">
        <v>170</v>
      </c>
      <c r="B55" s="1"/>
      <c r="C55" s="1"/>
      <c r="D55" s="1">
        <v>1</v>
      </c>
      <c r="E55" s="1"/>
      <c r="H55" t="s">
        <v>170</v>
      </c>
      <c r="K55">
        <v>1</v>
      </c>
    </row>
    <row r="56" spans="1:12" x14ac:dyDescent="0.25">
      <c r="A56" t="s">
        <v>231</v>
      </c>
      <c r="B56" s="1"/>
      <c r="C56" s="1">
        <v>1</v>
      </c>
      <c r="D56" s="1"/>
      <c r="E56" s="1">
        <v>1</v>
      </c>
      <c r="H56" t="s">
        <v>231</v>
      </c>
      <c r="J56">
        <v>1</v>
      </c>
      <c r="L56">
        <v>1</v>
      </c>
    </row>
    <row r="57" spans="1:12" x14ac:dyDescent="0.25">
      <c r="A57" t="s">
        <v>162</v>
      </c>
      <c r="B57" s="1">
        <v>1</v>
      </c>
      <c r="C57" s="1"/>
      <c r="D57" s="1">
        <v>1</v>
      </c>
      <c r="E57" s="1"/>
      <c r="H57" t="s">
        <v>162</v>
      </c>
      <c r="I57">
        <v>1</v>
      </c>
      <c r="K57">
        <v>1</v>
      </c>
    </row>
    <row r="58" spans="1:12" x14ac:dyDescent="0.25">
      <c r="A58" t="s">
        <v>178</v>
      </c>
      <c r="B58" s="1"/>
      <c r="C58" s="1">
        <v>1</v>
      </c>
      <c r="D58" s="1"/>
      <c r="E58" s="1">
        <v>1</v>
      </c>
      <c r="H58" t="s">
        <v>178</v>
      </c>
      <c r="J58">
        <v>1</v>
      </c>
      <c r="L58">
        <v>1</v>
      </c>
    </row>
    <row r="59" spans="1:12" x14ac:dyDescent="0.25">
      <c r="A59" t="s">
        <v>226</v>
      </c>
      <c r="B59" s="1"/>
      <c r="C59" s="1">
        <v>1</v>
      </c>
      <c r="D59" s="1"/>
      <c r="E59" s="1">
        <v>1</v>
      </c>
      <c r="H59" t="s">
        <v>226</v>
      </c>
      <c r="J59">
        <v>1</v>
      </c>
      <c r="L59">
        <v>1</v>
      </c>
    </row>
    <row r="60" spans="1:12" x14ac:dyDescent="0.25">
      <c r="A60" t="s">
        <v>225</v>
      </c>
      <c r="B60" s="1">
        <v>1</v>
      </c>
      <c r="C60" s="1"/>
      <c r="D60" s="1">
        <v>1</v>
      </c>
      <c r="E60" s="1"/>
      <c r="H60" t="s">
        <v>225</v>
      </c>
      <c r="I60">
        <v>1</v>
      </c>
      <c r="K60">
        <v>1</v>
      </c>
    </row>
    <row r="61" spans="1:12" x14ac:dyDescent="0.25">
      <c r="A61" t="s">
        <v>164</v>
      </c>
      <c r="B61" s="1"/>
      <c r="C61" s="1">
        <v>1</v>
      </c>
      <c r="D61" s="1"/>
      <c r="E61" s="1">
        <v>1</v>
      </c>
      <c r="H61" t="s">
        <v>164</v>
      </c>
      <c r="J61">
        <v>1</v>
      </c>
      <c r="L61">
        <v>1</v>
      </c>
    </row>
    <row r="62" spans="1:12" x14ac:dyDescent="0.25">
      <c r="A62" t="s">
        <v>174</v>
      </c>
      <c r="B62" s="1"/>
      <c r="C62" s="1"/>
      <c r="D62" s="1">
        <v>1</v>
      </c>
      <c r="E62" s="1"/>
      <c r="H62" t="s">
        <v>174</v>
      </c>
      <c r="K62">
        <v>1</v>
      </c>
    </row>
    <row r="63" spans="1:12" x14ac:dyDescent="0.25">
      <c r="A63" t="s">
        <v>180</v>
      </c>
      <c r="B63" s="1">
        <v>1</v>
      </c>
      <c r="C63" s="1"/>
      <c r="D63" s="1">
        <v>1</v>
      </c>
      <c r="E63" s="1"/>
      <c r="H63" t="s">
        <v>180</v>
      </c>
      <c r="I63">
        <v>1</v>
      </c>
      <c r="K63">
        <v>1</v>
      </c>
    </row>
    <row r="64" spans="1:12" x14ac:dyDescent="0.25">
      <c r="A64" t="s">
        <v>169</v>
      </c>
      <c r="B64" s="1"/>
      <c r="C64" s="1">
        <v>1</v>
      </c>
      <c r="D64" s="1"/>
      <c r="E64" s="1">
        <v>1</v>
      </c>
      <c r="H64" t="s">
        <v>169</v>
      </c>
      <c r="J64">
        <v>1</v>
      </c>
      <c r="L64">
        <v>1</v>
      </c>
    </row>
    <row r="65" spans="1:12" x14ac:dyDescent="0.25">
      <c r="A65" t="s">
        <v>171</v>
      </c>
      <c r="B65" s="1">
        <v>1</v>
      </c>
      <c r="C65" s="1"/>
      <c r="D65" s="1"/>
      <c r="E65" s="1"/>
      <c r="H65" t="s">
        <v>171</v>
      </c>
      <c r="I65">
        <v>1</v>
      </c>
    </row>
    <row r="66" spans="1:12" x14ac:dyDescent="0.25">
      <c r="A66" t="s">
        <v>168</v>
      </c>
      <c r="B66" s="1">
        <v>1</v>
      </c>
      <c r="C66" s="1"/>
      <c r="D66" s="1"/>
      <c r="E66" s="1"/>
      <c r="H66" t="s">
        <v>168</v>
      </c>
      <c r="I66">
        <v>1</v>
      </c>
    </row>
    <row r="67" spans="1:12" x14ac:dyDescent="0.25">
      <c r="A67" t="s">
        <v>172</v>
      </c>
      <c r="B67" s="1"/>
      <c r="C67" s="1"/>
      <c r="D67" s="1">
        <v>1</v>
      </c>
      <c r="E67" s="1"/>
      <c r="H67" t="s">
        <v>172</v>
      </c>
      <c r="K67">
        <v>1</v>
      </c>
    </row>
    <row r="68" spans="1:12" x14ac:dyDescent="0.25">
      <c r="A68" t="s">
        <v>173</v>
      </c>
      <c r="B68" s="1">
        <v>1</v>
      </c>
      <c r="C68" s="1"/>
      <c r="D68" s="1"/>
      <c r="E68" s="1"/>
      <c r="H68" t="s">
        <v>173</v>
      </c>
      <c r="I68">
        <v>1</v>
      </c>
    </row>
    <row r="69" spans="1:12" x14ac:dyDescent="0.25">
      <c r="A69" t="s">
        <v>120</v>
      </c>
      <c r="B69" s="1">
        <v>1</v>
      </c>
      <c r="C69" s="1"/>
      <c r="D69" s="1">
        <v>1</v>
      </c>
      <c r="E69" s="1"/>
      <c r="H69" t="s">
        <v>120</v>
      </c>
      <c r="I69">
        <v>1</v>
      </c>
      <c r="K69">
        <v>1</v>
      </c>
    </row>
    <row r="70" spans="1:12" x14ac:dyDescent="0.25">
      <c r="A70" t="s">
        <v>129</v>
      </c>
      <c r="B70" s="1">
        <v>1</v>
      </c>
      <c r="C70" s="1">
        <v>1</v>
      </c>
      <c r="D70" s="1">
        <v>1</v>
      </c>
      <c r="E70" s="1">
        <v>1</v>
      </c>
      <c r="H70" t="s">
        <v>129</v>
      </c>
      <c r="I70">
        <v>1</v>
      </c>
      <c r="J70">
        <v>1</v>
      </c>
      <c r="K70">
        <v>1</v>
      </c>
      <c r="L70">
        <v>1</v>
      </c>
    </row>
    <row r="71" spans="1:12" x14ac:dyDescent="0.25">
      <c r="A71" t="s">
        <v>122</v>
      </c>
      <c r="B71" s="1">
        <v>1</v>
      </c>
      <c r="C71" s="1"/>
      <c r="D71" s="1"/>
      <c r="E71" s="1">
        <v>1</v>
      </c>
      <c r="H71" t="s">
        <v>122</v>
      </c>
      <c r="I71">
        <v>1</v>
      </c>
      <c r="L71">
        <v>1</v>
      </c>
    </row>
    <row r="72" spans="1:12" x14ac:dyDescent="0.25">
      <c r="A72" t="s">
        <v>179</v>
      </c>
      <c r="B72" s="1">
        <v>1</v>
      </c>
      <c r="C72" s="1"/>
      <c r="D72" s="1">
        <v>1</v>
      </c>
      <c r="E72" s="1"/>
      <c r="H72" t="s">
        <v>179</v>
      </c>
      <c r="I72">
        <v>1</v>
      </c>
      <c r="K72">
        <v>1</v>
      </c>
    </row>
    <row r="73" spans="1:12" x14ac:dyDescent="0.25">
      <c r="A73" t="s">
        <v>230</v>
      </c>
      <c r="B73" s="1">
        <v>1</v>
      </c>
      <c r="C73" s="1"/>
      <c r="D73" s="1"/>
      <c r="E73" s="1"/>
      <c r="H73" t="s">
        <v>230</v>
      </c>
      <c r="I73">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schemas.microsoft.com/office/2006/metadata/properties"/>
    <ds:schemaRef ds:uri="http://schemas.microsoft.com/office/infopath/2007/PartnerControls"/>
    <ds:schemaRef ds:uri="http://purl.org/dc/elements/1.1/"/>
    <ds:schemaRef ds:uri="ba69df13-0c3c-4942-8695-6ca01564010c"/>
    <ds:schemaRef ds:uri="cc9cb892-206f-4052-b06f-5783104e029f"/>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Planner OM-Teach (ECE)</vt:lpstr>
      <vt:lpstr>Planner OM-Teach (Prim)</vt:lpstr>
      <vt:lpstr>Planner OM-EDUC</vt:lpstr>
      <vt:lpstr>Planner OM-APLING</vt:lpstr>
      <vt:lpstr>Planner GradCertTESOL</vt:lpstr>
      <vt:lpstr>Planner OC-EDUC</vt:lpstr>
      <vt:lpstr>Planner OC-EDHE</vt:lpstr>
      <vt:lpstr>Unitsets</vt:lpstr>
      <vt:lpstr>Planner OM-Teach (Sec)</vt:lpstr>
      <vt:lpstr>Planner OG-EDUC (Prim)</vt:lpstr>
      <vt:lpstr>Planner OG-EDUC (Prim Accel)</vt:lpstr>
      <vt:lpstr>Planner OG-EDUC (Sec)</vt:lpstr>
      <vt:lpstr>Planner OG-EDUC (Sec Accel)</vt:lpstr>
      <vt:lpstr>Unitsets Secondary &amp; GD</vt:lpstr>
      <vt:lpstr>Handbook</vt:lpstr>
      <vt:lpstr>Structures</vt:lpstr>
      <vt:lpstr>Availabilities</vt:lpstr>
      <vt:lpstr>FTAArts</vt:lpstr>
      <vt:lpstr>FTAEnglish</vt:lpstr>
      <vt:lpstr>FTAHASS</vt:lpstr>
      <vt:lpstr>FTAHPE</vt:lpstr>
      <vt:lpstr>FTAMaths</vt:lpstr>
      <vt:lpstr>FTAScience</vt:lpstr>
      <vt:lpstr>'Planner GradCertTESOL'!Print_Area</vt:lpstr>
      <vt:lpstr>'Planner OC-EDHE'!Print_Area</vt:lpstr>
      <vt:lpstr>'Planner OC-EDUC'!Print_Area</vt:lpstr>
      <vt:lpstr>'Planner OG-EDUC (Prim Accel)'!Print_Area</vt:lpstr>
      <vt:lpstr>'Planner OG-EDUC (Prim)'!Print_Area</vt:lpstr>
      <vt:lpstr>'Planner OG-EDUC (Sec Accel)'!Print_Area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RangeUnitsetsOCEDUC</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2024-11-26T07:25:48Z</cp:lastPrinted>
  <dcterms:created xsi:type="dcterms:W3CDTF">2022-02-28T04:48:12Z</dcterms:created>
  <dcterms:modified xsi:type="dcterms:W3CDTF">2024-11-26T07:36:44Z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