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updateLinks="never"/>
  <mc:AlternateContent xmlns:mc="http://schemas.openxmlformats.org/markup-compatibility/2006">
    <mc:Choice Requires="x15">
      <x15ac:absPath xmlns:x15ac="http://schemas.microsoft.com/office/spreadsheetml/2010/11/ac" url="C:\Users\259378F\Downloads\"/>
    </mc:Choice>
  </mc:AlternateContent>
  <xr:revisionPtr revIDLastSave="0" documentId="13_ncr:1_{0DA41876-F4E5-4F3E-8217-FE4D43C8DAF7}" xr6:coauthVersionLast="47" xr6:coauthVersionMax="47" xr10:uidLastSave="{00000000-0000-0000-0000-000000000000}"/>
  <workbookProtection workbookAlgorithmName="SHA-512" workbookHashValue="rcxLSlnh7BigMlQ/ZJMgDqAeUI/4a8eRN5FqdeS98KRd8byzOqLdgHIvH8HCSuMWoABB/baxuduOtIr6aOy/kg==" workbookSaltValue="0A5odUc0IocHun+2hYjUVA==" workbookSpinCount="100000" lockStructure="1"/>
  <bookViews>
    <workbookView xWindow="-120" yWindow="-120" windowWidth="29040" windowHeight="17520" firstSheet="1" activeTab="1" xr2:uid="{00000000-000D-0000-FFFF-FFFF00000000}"/>
  </bookViews>
  <sheets>
    <sheet name="Masters URP (OUA)" sheetId="5" state="hidden" r:id="rId1"/>
    <sheet name="GC DevPlan (OUA)" sheetId="10" r:id="rId2"/>
    <sheet name="GC Geog (OUA)" sheetId="12" state="hidden" r:id="rId3"/>
    <sheet name="Unitsets" sheetId="2" state="hidden" r:id="rId4"/>
    <sheet name="Handbook" sheetId="3" state="hidden" r:id="rId5"/>
    <sheet name="Structures" sheetId="8" state="hidden" r:id="rId6"/>
    <sheet name="Availabilities" sheetId="9" state="hidden" r:id="rId7"/>
  </sheets>
  <definedNames>
    <definedName name="_xlnm._FilterDatabase" localSheetId="4" hidden="1">Handbook!#REF!</definedName>
    <definedName name="_xlnm.Print_Area" localSheetId="1">'GC DevPlan (OUA)'!$A$1:$L$16</definedName>
    <definedName name="_xlnm.Print_Area" localSheetId="2">'GC Geog (OUA)'!$A$1:$L$22</definedName>
    <definedName name="_xlnm.Print_Area" localSheetId="0">'Masters URP (OUA)'!$A$1:$L$40</definedName>
    <definedName name="RangeOptions">Unitsets!$L$21:$N$31</definedName>
    <definedName name="RangeUnitsets">Unitsets!$L$3:$AI$15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6" i="12" l="1"/>
  <c r="C13" i="12"/>
  <c r="J35" i="3"/>
  <c r="I35" i="3"/>
  <c r="H35" i="3"/>
  <c r="G35" i="3"/>
  <c r="J34" i="3"/>
  <c r="I34" i="3"/>
  <c r="H34" i="3"/>
  <c r="G34" i="3"/>
  <c r="J33" i="3"/>
  <c r="I33" i="3"/>
  <c r="H33" i="3"/>
  <c r="G33" i="3"/>
  <c r="J32" i="3"/>
  <c r="I32" i="3"/>
  <c r="H32" i="3"/>
  <c r="G32" i="3"/>
  <c r="J31" i="3"/>
  <c r="I31" i="3"/>
  <c r="H31" i="3"/>
  <c r="G31" i="3"/>
  <c r="J30" i="3"/>
  <c r="I30" i="3"/>
  <c r="H30" i="3"/>
  <c r="G30" i="3"/>
  <c r="J29" i="3"/>
  <c r="I29" i="3"/>
  <c r="H29" i="3"/>
  <c r="G29" i="3"/>
  <c r="J28" i="3"/>
  <c r="I28" i="3"/>
  <c r="H28" i="3"/>
  <c r="G28" i="3"/>
  <c r="J27" i="3"/>
  <c r="I27" i="3"/>
  <c r="H27" i="3"/>
  <c r="G27" i="3"/>
  <c r="J26" i="3"/>
  <c r="I26" i="3"/>
  <c r="H26" i="3"/>
  <c r="G26" i="3"/>
  <c r="J25" i="3"/>
  <c r="I25" i="3"/>
  <c r="H25" i="3"/>
  <c r="G25" i="3"/>
  <c r="J24" i="3"/>
  <c r="I24" i="3"/>
  <c r="H24" i="3"/>
  <c r="G24" i="3"/>
  <c r="J23" i="3"/>
  <c r="I23" i="3"/>
  <c r="H23" i="3"/>
  <c r="G23" i="3"/>
  <c r="J22" i="3"/>
  <c r="I22" i="3"/>
  <c r="H22" i="3"/>
  <c r="G22" i="3"/>
  <c r="J21" i="3"/>
  <c r="I21" i="3"/>
  <c r="H21" i="3"/>
  <c r="G21" i="3"/>
  <c r="J20" i="3"/>
  <c r="I20" i="3"/>
  <c r="H20" i="3"/>
  <c r="G20" i="3"/>
  <c r="J19" i="3"/>
  <c r="I19" i="3"/>
  <c r="H19" i="3"/>
  <c r="G19" i="3"/>
  <c r="J18" i="3"/>
  <c r="I18" i="3"/>
  <c r="H18" i="3"/>
  <c r="G18" i="3"/>
  <c r="J17" i="3"/>
  <c r="I17" i="3"/>
  <c r="H17" i="3"/>
  <c r="G17" i="3"/>
  <c r="J16" i="3"/>
  <c r="I16" i="3"/>
  <c r="H16" i="3"/>
  <c r="G16" i="3"/>
  <c r="J15" i="3"/>
  <c r="I15" i="3"/>
  <c r="H15" i="3"/>
  <c r="G15" i="3"/>
  <c r="J14" i="3"/>
  <c r="I14" i="3"/>
  <c r="H14" i="3"/>
  <c r="G14" i="3"/>
  <c r="J13" i="3"/>
  <c r="I13" i="3"/>
  <c r="H13" i="3"/>
  <c r="G13" i="3"/>
  <c r="J12" i="3"/>
  <c r="I12" i="3"/>
  <c r="H12" i="3"/>
  <c r="G12" i="3"/>
  <c r="J11" i="3"/>
  <c r="I11" i="3"/>
  <c r="H11" i="3"/>
  <c r="G11" i="3"/>
  <c r="J10" i="3"/>
  <c r="I10" i="3"/>
  <c r="H10" i="3"/>
  <c r="G10" i="3"/>
  <c r="J9" i="3"/>
  <c r="I9" i="3"/>
  <c r="H9" i="3"/>
  <c r="G9" i="3"/>
  <c r="J8" i="3"/>
  <c r="I8" i="3"/>
  <c r="H8" i="3"/>
  <c r="G8" i="3"/>
  <c r="J7" i="3"/>
  <c r="I7" i="3"/>
  <c r="H7" i="3"/>
  <c r="G7" i="3"/>
  <c r="J6" i="3"/>
  <c r="I6" i="3"/>
  <c r="H6" i="3"/>
  <c r="G6" i="3"/>
  <c r="J5" i="3"/>
  <c r="I5" i="3"/>
  <c r="H5" i="3"/>
  <c r="G5" i="3"/>
  <c r="J4" i="3"/>
  <c r="I4" i="3"/>
  <c r="H4" i="3"/>
  <c r="G4" i="3"/>
  <c r="G5" i="12" l="1"/>
  <c r="G5" i="10"/>
  <c r="G5" i="5"/>
  <c r="G3" i="3"/>
  <c r="H3" i="3"/>
  <c r="I3" i="3"/>
  <c r="J3" i="3"/>
  <c r="N1" i="3"/>
  <c r="M1" i="3"/>
  <c r="L1" i="3"/>
  <c r="K1" i="3"/>
  <c r="J1" i="3"/>
  <c r="I1" i="3"/>
  <c r="H1" i="3"/>
  <c r="G1" i="3"/>
  <c r="F1" i="3"/>
  <c r="E1" i="3"/>
  <c r="D1" i="3"/>
  <c r="C1" i="3"/>
  <c r="B1" i="3"/>
  <c r="A1" i="3"/>
  <c r="L27" i="5"/>
  <c r="K27" i="5"/>
  <c r="J27" i="5"/>
  <c r="I27" i="5"/>
  <c r="H27" i="5"/>
  <c r="L19" i="5"/>
  <c r="K19" i="5"/>
  <c r="J19" i="5"/>
  <c r="I19" i="5"/>
  <c r="H19" i="5"/>
  <c r="H26" i="5"/>
  <c r="C10" i="12" l="1"/>
  <c r="G4" i="12"/>
  <c r="L4" i="12"/>
  <c r="C10" i="10"/>
  <c r="G4" i="10"/>
  <c r="L4" i="10"/>
  <c r="A17" i="12" l="1"/>
  <c r="E17" i="12" s="1"/>
  <c r="A18" i="12"/>
  <c r="E18" i="12" s="1"/>
  <c r="A9" i="12"/>
  <c r="A14" i="12"/>
  <c r="E14" i="12" s="1"/>
  <c r="A15" i="12"/>
  <c r="E15" i="12" s="1"/>
  <c r="A11" i="12"/>
  <c r="A8" i="12"/>
  <c r="A12" i="12"/>
  <c r="D9" i="12" l="1"/>
  <c r="K18" i="12"/>
  <c r="D18" i="12"/>
  <c r="J18" i="12"/>
  <c r="H18" i="12"/>
  <c r="G18" i="12"/>
  <c r="F18" i="12"/>
  <c r="I18" i="12"/>
  <c r="C18" i="12"/>
  <c r="B18" i="12"/>
  <c r="F17" i="12"/>
  <c r="C17" i="12"/>
  <c r="B17" i="12"/>
  <c r="D17" i="12"/>
  <c r="K17" i="12"/>
  <c r="J17" i="12"/>
  <c r="I17" i="12"/>
  <c r="H17" i="12"/>
  <c r="G17" i="12"/>
  <c r="C9" i="12"/>
  <c r="B9" i="12"/>
  <c r="F9" i="12"/>
  <c r="G9" i="12"/>
  <c r="K15" i="12"/>
  <c r="H15" i="12"/>
  <c r="G15" i="12"/>
  <c r="F15" i="12"/>
  <c r="J15" i="12"/>
  <c r="I15" i="12"/>
  <c r="B15" i="12"/>
  <c r="D15" i="12"/>
  <c r="C15" i="12"/>
  <c r="F14" i="12"/>
  <c r="D14" i="12"/>
  <c r="C14" i="12"/>
  <c r="B14" i="12"/>
  <c r="J14" i="12"/>
  <c r="K14" i="12"/>
  <c r="I14" i="12"/>
  <c r="H14" i="12"/>
  <c r="G14" i="12"/>
  <c r="E8" i="12"/>
  <c r="E9" i="12" s="1"/>
  <c r="C8" i="12"/>
  <c r="D8" i="12"/>
  <c r="G8" i="12"/>
  <c r="F8" i="12"/>
  <c r="B8" i="12"/>
  <c r="C12" i="12"/>
  <c r="B12" i="12"/>
  <c r="D12" i="12"/>
  <c r="G12" i="12"/>
  <c r="F12" i="12"/>
  <c r="F11" i="12"/>
  <c r="D11" i="12"/>
  <c r="G11" i="12"/>
  <c r="E11" i="12"/>
  <c r="E12" i="12" s="1"/>
  <c r="C11" i="12"/>
  <c r="B11" i="12"/>
  <c r="S7" i="2" l="1"/>
  <c r="A12" i="10" s="1"/>
  <c r="S6" i="2"/>
  <c r="A11" i="10" s="1"/>
  <c r="S5" i="2"/>
  <c r="A9" i="10" s="1"/>
  <c r="S4" i="2"/>
  <c r="A8" i="10" s="1"/>
  <c r="B8" i="10" l="1"/>
  <c r="D8" i="10"/>
  <c r="G8" i="10"/>
  <c r="F8" i="10"/>
  <c r="C8" i="10"/>
  <c r="E8" i="10"/>
  <c r="E9" i="10" s="1"/>
  <c r="G9" i="10"/>
  <c r="F9" i="10"/>
  <c r="D9" i="10"/>
  <c r="B9" i="10"/>
  <c r="C9" i="10"/>
  <c r="G11" i="10"/>
  <c r="C11" i="10"/>
  <c r="B11" i="10"/>
  <c r="D11" i="10"/>
  <c r="F11" i="10"/>
  <c r="E11" i="10"/>
  <c r="E12" i="10" s="1"/>
  <c r="C12" i="10"/>
  <c r="F12" i="10"/>
  <c r="B12" i="10"/>
  <c r="G12" i="10"/>
  <c r="D12" i="10"/>
  <c r="K9" i="12"/>
  <c r="J9" i="12"/>
  <c r="I9" i="12"/>
  <c r="H9" i="12"/>
  <c r="K12" i="12"/>
  <c r="J12" i="12"/>
  <c r="I12" i="12"/>
  <c r="H12" i="12"/>
  <c r="K11" i="12"/>
  <c r="J11" i="12"/>
  <c r="I11" i="12"/>
  <c r="H11" i="12"/>
  <c r="E20" i="8" l="1"/>
  <c r="D20" i="8"/>
  <c r="C20" i="8"/>
  <c r="B20" i="8"/>
  <c r="A20" i="8"/>
  <c r="E19" i="8"/>
  <c r="D19" i="8"/>
  <c r="C19" i="8"/>
  <c r="B19" i="8"/>
  <c r="A19" i="8"/>
  <c r="E18" i="8"/>
  <c r="D18" i="8"/>
  <c r="C18" i="8"/>
  <c r="B18" i="8"/>
  <c r="A18" i="8"/>
  <c r="E17" i="8"/>
  <c r="D17" i="8"/>
  <c r="C17" i="8"/>
  <c r="B17" i="8"/>
  <c r="A17" i="8"/>
  <c r="Q7" i="2"/>
  <c r="Q6" i="2"/>
  <c r="Q5" i="2"/>
  <c r="Q4" i="2"/>
  <c r="M12" i="3" l="1"/>
  <c r="M11" i="3"/>
  <c r="M13" i="3"/>
  <c r="M10" i="3"/>
  <c r="M3" i="3"/>
  <c r="M4" i="3"/>
  <c r="M5" i="3"/>
  <c r="M6" i="3"/>
  <c r="M7" i="3"/>
  <c r="M8" i="3"/>
  <c r="M9" i="3"/>
  <c r="M14" i="3"/>
  <c r="M15" i="3"/>
  <c r="M16" i="3"/>
  <c r="M17" i="3"/>
  <c r="M18" i="3"/>
  <c r="M19" i="3"/>
  <c r="M20" i="3"/>
  <c r="M21" i="3"/>
  <c r="M22" i="3"/>
  <c r="M23" i="3"/>
  <c r="M24" i="3"/>
  <c r="M25" i="3"/>
  <c r="M26" i="3"/>
  <c r="M27" i="3"/>
  <c r="M28" i="3"/>
  <c r="M29" i="3"/>
  <c r="M30" i="3"/>
  <c r="M31" i="3"/>
  <c r="M32" i="3"/>
  <c r="M33" i="3"/>
  <c r="M34" i="3"/>
  <c r="M35" i="3"/>
  <c r="K8" i="12"/>
  <c r="K12" i="10"/>
  <c r="J8" i="12"/>
  <c r="J8" i="10"/>
  <c r="J12" i="10"/>
  <c r="I12" i="10"/>
  <c r="I11" i="10"/>
  <c r="I9" i="10"/>
  <c r="I8" i="12"/>
  <c r="H8" i="12"/>
  <c r="H9" i="10"/>
  <c r="H11" i="10"/>
  <c r="H12" i="10"/>
  <c r="J11" i="10" l="1"/>
  <c r="J9" i="10"/>
  <c r="I8" i="10"/>
  <c r="K8" i="10"/>
  <c r="H8" i="10"/>
  <c r="K11" i="10"/>
  <c r="K9" i="10"/>
  <c r="G4" i="5"/>
  <c r="C22" i="5"/>
  <c r="C16" i="5"/>
  <c r="C10" i="5"/>
  <c r="L26" i="5" l="1"/>
  <c r="A28" i="5" l="1"/>
  <c r="A32" i="5"/>
  <c r="A31" i="5"/>
  <c r="A36" i="5"/>
  <c r="A29" i="5"/>
  <c r="A33" i="5"/>
  <c r="A35" i="5"/>
  <c r="A30" i="5"/>
  <c r="A34" i="5"/>
  <c r="C13" i="5"/>
  <c r="I33" i="5" l="1"/>
  <c r="K33" i="5"/>
  <c r="H33" i="5"/>
  <c r="J33" i="5"/>
  <c r="H29" i="5"/>
  <c r="K29" i="5"/>
  <c r="J29" i="5"/>
  <c r="I29" i="5"/>
  <c r="J36" i="5"/>
  <c r="I36" i="5"/>
  <c r="H36" i="5"/>
  <c r="K36" i="5"/>
  <c r="K31" i="5"/>
  <c r="I31" i="5"/>
  <c r="J31" i="5"/>
  <c r="H31" i="5"/>
  <c r="J34" i="5"/>
  <c r="I34" i="5"/>
  <c r="H34" i="5"/>
  <c r="K34" i="5"/>
  <c r="J32" i="5"/>
  <c r="I32" i="5"/>
  <c r="K32" i="5"/>
  <c r="H32" i="5"/>
  <c r="J30" i="5"/>
  <c r="I30" i="5"/>
  <c r="H30" i="5"/>
  <c r="K30" i="5"/>
  <c r="H35" i="5"/>
  <c r="K35" i="5"/>
  <c r="I35" i="5"/>
  <c r="J35" i="5"/>
  <c r="J28" i="5"/>
  <c r="I28" i="5"/>
  <c r="H28" i="5"/>
  <c r="K28" i="5"/>
  <c r="C28" i="5"/>
  <c r="G35" i="5"/>
  <c r="C35" i="5"/>
  <c r="D35" i="5"/>
  <c r="B35" i="5"/>
  <c r="F35" i="5"/>
  <c r="D36" i="5"/>
  <c r="G36" i="5"/>
  <c r="F36" i="5"/>
  <c r="B36" i="5"/>
  <c r="C36" i="5"/>
  <c r="D29" i="5"/>
  <c r="C29" i="5"/>
  <c r="F29" i="5"/>
  <c r="G29" i="5"/>
  <c r="B29" i="5"/>
  <c r="G31" i="5"/>
  <c r="D31" i="5"/>
  <c r="C31" i="5"/>
  <c r="F31" i="5"/>
  <c r="B31" i="5"/>
  <c r="D34" i="5"/>
  <c r="B34" i="5"/>
  <c r="G34" i="5"/>
  <c r="C34" i="5"/>
  <c r="F34" i="5"/>
  <c r="D32" i="5"/>
  <c r="C32" i="5"/>
  <c r="G32" i="5"/>
  <c r="F32" i="5"/>
  <c r="B32" i="5"/>
  <c r="F33" i="5"/>
  <c r="G33" i="5"/>
  <c r="D33" i="5"/>
  <c r="C33" i="5"/>
  <c r="B33" i="5"/>
  <c r="C30" i="5"/>
  <c r="B30" i="5"/>
  <c r="D30" i="5"/>
  <c r="G30" i="5"/>
  <c r="F30" i="5"/>
  <c r="D10" i="8"/>
  <c r="D11" i="8"/>
  <c r="D12" i="8"/>
  <c r="D13" i="8"/>
  <c r="C10" i="8"/>
  <c r="C11" i="8"/>
  <c r="C12" i="8"/>
  <c r="C13" i="8"/>
  <c r="D3" i="8" l="1"/>
  <c r="D4" i="8"/>
  <c r="D5" i="8"/>
  <c r="D6" i="8"/>
  <c r="C3" i="8"/>
  <c r="C4" i="8"/>
  <c r="C5" i="8"/>
  <c r="C6" i="8"/>
  <c r="D26" i="8" l="1"/>
  <c r="D27" i="8"/>
  <c r="D28" i="8"/>
  <c r="D29" i="8"/>
  <c r="D30" i="8"/>
  <c r="D31" i="8"/>
  <c r="D32" i="8"/>
  <c r="D33" i="8"/>
  <c r="D34" i="8"/>
  <c r="D35" i="8"/>
  <c r="D36" i="8"/>
  <c r="D37" i="8"/>
  <c r="D38" i="8"/>
  <c r="D39" i="8"/>
  <c r="D40" i="8"/>
  <c r="D41" i="8"/>
  <c r="D42" i="8"/>
  <c r="D43" i="8"/>
  <c r="D44" i="8"/>
  <c r="D25" i="8"/>
  <c r="D24" i="8"/>
  <c r="C25" i="8" l="1"/>
  <c r="C26" i="8"/>
  <c r="C27" i="8"/>
  <c r="C28" i="8"/>
  <c r="C29" i="8"/>
  <c r="C30" i="8"/>
  <c r="C31" i="8"/>
  <c r="C32" i="8"/>
  <c r="C33" i="8"/>
  <c r="C34" i="8"/>
  <c r="C35" i="8"/>
  <c r="C36" i="8"/>
  <c r="C37" i="8"/>
  <c r="C38" i="8"/>
  <c r="C39" i="8"/>
  <c r="C40" i="8"/>
  <c r="C41" i="8"/>
  <c r="C42" i="8"/>
  <c r="C43" i="8"/>
  <c r="C44" i="8"/>
  <c r="E13" i="8" l="1"/>
  <c r="B13" i="8"/>
  <c r="A13" i="8"/>
  <c r="E12" i="8"/>
  <c r="B12" i="8"/>
  <c r="A12" i="8"/>
  <c r="E11" i="8"/>
  <c r="B11" i="8"/>
  <c r="A11" i="8"/>
  <c r="E10" i="8"/>
  <c r="B10" i="8"/>
  <c r="A10" i="8"/>
  <c r="E3" i="8" l="1"/>
  <c r="E4" i="8"/>
  <c r="E5" i="8"/>
  <c r="E6" i="8"/>
  <c r="B3" i="8"/>
  <c r="B4" i="8"/>
  <c r="B5" i="8"/>
  <c r="B6" i="8"/>
  <c r="A3" i="8"/>
  <c r="A4" i="8"/>
  <c r="A5" i="8"/>
  <c r="A6" i="8"/>
  <c r="L12" i="3" l="1"/>
  <c r="L11" i="3"/>
  <c r="L13" i="3"/>
  <c r="L10" i="3"/>
  <c r="L3" i="3"/>
  <c r="L4" i="3"/>
  <c r="L5" i="3"/>
  <c r="L6" i="3"/>
  <c r="L7" i="3"/>
  <c r="L8" i="3"/>
  <c r="L9" i="3"/>
  <c r="L14" i="3"/>
  <c r="L15" i="3"/>
  <c r="L16" i="3"/>
  <c r="L17" i="3"/>
  <c r="L18" i="3"/>
  <c r="L19" i="3"/>
  <c r="L20" i="3"/>
  <c r="L21" i="3"/>
  <c r="L22" i="3"/>
  <c r="L23" i="3"/>
  <c r="L24" i="3"/>
  <c r="L25" i="3"/>
  <c r="L26" i="3"/>
  <c r="L27" i="3"/>
  <c r="L28" i="3"/>
  <c r="L29" i="3"/>
  <c r="L30" i="3"/>
  <c r="L31" i="3"/>
  <c r="L32" i="3"/>
  <c r="L33" i="3"/>
  <c r="L34" i="3"/>
  <c r="L35" i="3"/>
  <c r="A24" i="8"/>
  <c r="E24" i="8" l="1"/>
  <c r="E25" i="8"/>
  <c r="E26" i="8"/>
  <c r="E27" i="8"/>
  <c r="E28" i="8"/>
  <c r="E29" i="8"/>
  <c r="E30" i="8"/>
  <c r="E31" i="8"/>
  <c r="E32" i="8"/>
  <c r="E35" i="8"/>
  <c r="E36" i="8"/>
  <c r="E33" i="8"/>
  <c r="E34" i="8"/>
  <c r="E37" i="8"/>
  <c r="E38" i="8"/>
  <c r="E39" i="8"/>
  <c r="E40" i="8"/>
  <c r="E41" i="8"/>
  <c r="E42" i="8"/>
  <c r="E43" i="8"/>
  <c r="E44" i="8"/>
  <c r="B24" i="8"/>
  <c r="B25" i="8"/>
  <c r="B26" i="8"/>
  <c r="B27" i="8"/>
  <c r="B28" i="8"/>
  <c r="B29" i="8"/>
  <c r="B30" i="8"/>
  <c r="B31" i="8"/>
  <c r="B32" i="8"/>
  <c r="B35" i="8"/>
  <c r="B36" i="8"/>
  <c r="B33" i="8"/>
  <c r="B34" i="8"/>
  <c r="B37" i="8"/>
  <c r="B38" i="8"/>
  <c r="B39" i="8"/>
  <c r="B40" i="8"/>
  <c r="B41" i="8"/>
  <c r="B42" i="8"/>
  <c r="B43" i="8"/>
  <c r="B44" i="8"/>
  <c r="A25" i="8"/>
  <c r="N12" i="3" s="1"/>
  <c r="A26" i="8"/>
  <c r="A27" i="8"/>
  <c r="A28" i="8"/>
  <c r="A29" i="8"/>
  <c r="A30" i="8"/>
  <c r="A31" i="8"/>
  <c r="A32" i="8"/>
  <c r="A35" i="8"/>
  <c r="A36" i="8"/>
  <c r="A33" i="8"/>
  <c r="A34" i="8"/>
  <c r="A37" i="8"/>
  <c r="A38" i="8"/>
  <c r="A39" i="8"/>
  <c r="A40" i="8"/>
  <c r="A41" i="8"/>
  <c r="A42" i="8"/>
  <c r="A43" i="8"/>
  <c r="A44" i="8"/>
  <c r="N10" i="3" l="1"/>
  <c r="N13" i="3"/>
  <c r="N11" i="3"/>
  <c r="N9" i="3"/>
  <c r="N19" i="3"/>
  <c r="N27" i="3"/>
  <c r="N34" i="3"/>
  <c r="N29" i="3"/>
  <c r="N35" i="3"/>
  <c r="N8" i="3"/>
  <c r="N18" i="3"/>
  <c r="N26" i="3"/>
  <c r="N33" i="3"/>
  <c r="N21" i="3"/>
  <c r="N7" i="3"/>
  <c r="N25" i="3"/>
  <c r="N32" i="3"/>
  <c r="N15" i="3"/>
  <c r="N6" i="3"/>
  <c r="N24" i="3"/>
  <c r="N31" i="3"/>
  <c r="N14" i="3"/>
  <c r="N5" i="3"/>
  <c r="N17" i="3"/>
  <c r="N23" i="3"/>
  <c r="N20" i="3"/>
  <c r="N4" i="3"/>
  <c r="N16" i="3"/>
  <c r="N22" i="3"/>
  <c r="N30" i="3"/>
  <c r="N3" i="3"/>
  <c r="N28" i="3"/>
  <c r="G28" i="5"/>
  <c r="F28" i="5"/>
  <c r="D28" i="5"/>
  <c r="B28" i="5"/>
  <c r="L4" i="5" l="1"/>
  <c r="A12" i="5" s="1"/>
  <c r="I12" i="5" l="1"/>
  <c r="K12" i="5"/>
  <c r="H12" i="5"/>
  <c r="J12" i="5"/>
  <c r="A17" i="5"/>
  <c r="A15" i="5"/>
  <c r="A14" i="5"/>
  <c r="E14" i="5" s="1"/>
  <c r="A24" i="5"/>
  <c r="A23" i="5"/>
  <c r="E23" i="5" s="1"/>
  <c r="A21" i="5"/>
  <c r="A9" i="5"/>
  <c r="A11" i="5"/>
  <c r="E11" i="5" s="1"/>
  <c r="E12" i="5" s="1"/>
  <c r="A20" i="5"/>
  <c r="E20" i="5" s="1"/>
  <c r="A8" i="5"/>
  <c r="E8" i="5" s="1"/>
  <c r="A18" i="5"/>
  <c r="E17" i="5" l="1"/>
  <c r="E18" i="5" s="1"/>
  <c r="D17" i="5"/>
  <c r="E15" i="5"/>
  <c r="E24" i="5"/>
  <c r="E9" i="5"/>
  <c r="E21" i="5"/>
  <c r="K8" i="5"/>
  <c r="J8" i="5"/>
  <c r="I8" i="5"/>
  <c r="H8" i="5"/>
  <c r="H15" i="5"/>
  <c r="K15" i="5"/>
  <c r="I15" i="5"/>
  <c r="J15" i="5"/>
  <c r="K18" i="5"/>
  <c r="J18" i="5"/>
  <c r="I18" i="5"/>
  <c r="H18" i="5"/>
  <c r="J17" i="5"/>
  <c r="I17" i="5"/>
  <c r="H17" i="5"/>
  <c r="K17" i="5"/>
  <c r="J11" i="5"/>
  <c r="I11" i="5"/>
  <c r="H11" i="5"/>
  <c r="K11" i="5"/>
  <c r="K9" i="5"/>
  <c r="I9" i="5"/>
  <c r="J9" i="5"/>
  <c r="H9" i="5"/>
  <c r="K24" i="5"/>
  <c r="I24" i="5"/>
  <c r="J24" i="5"/>
  <c r="H24" i="5"/>
  <c r="J20" i="5"/>
  <c r="I20" i="5"/>
  <c r="K20" i="5"/>
  <c r="H20" i="5"/>
  <c r="I21" i="5"/>
  <c r="K21" i="5"/>
  <c r="H21" i="5"/>
  <c r="J21" i="5"/>
  <c r="J14" i="5"/>
  <c r="I14" i="5"/>
  <c r="H14" i="5"/>
  <c r="K14" i="5"/>
  <c r="J23" i="5"/>
  <c r="I23" i="5"/>
  <c r="H23" i="5"/>
  <c r="K23" i="5"/>
  <c r="C12" i="5"/>
  <c r="C23" i="5"/>
  <c r="C21" i="5"/>
  <c r="C24" i="5"/>
  <c r="C20" i="5"/>
  <c r="C18" i="5"/>
  <c r="C9" i="5"/>
  <c r="C17" i="5"/>
  <c r="C11" i="5"/>
  <c r="C15" i="5"/>
  <c r="C14" i="5"/>
  <c r="C8" i="5" l="1"/>
  <c r="G14" i="5"/>
  <c r="F14" i="5"/>
  <c r="B14" i="5"/>
  <c r="G12" i="5"/>
  <c r="F12" i="5"/>
  <c r="B12" i="5"/>
  <c r="B15" i="5"/>
  <c r="G15" i="5"/>
  <c r="F15" i="5"/>
  <c r="G11" i="5"/>
  <c r="F11" i="5"/>
  <c r="B11" i="5"/>
  <c r="G17" i="5"/>
  <c r="F17" i="5"/>
  <c r="B17" i="5"/>
  <c r="G9" i="5"/>
  <c r="F9" i="5"/>
  <c r="B9" i="5"/>
  <c r="G18" i="5"/>
  <c r="F18" i="5"/>
  <c r="B18" i="5"/>
  <c r="G8" i="5"/>
  <c r="F8" i="5"/>
  <c r="B8" i="5"/>
  <c r="G20" i="5"/>
  <c r="F20" i="5"/>
  <c r="B20" i="5"/>
  <c r="G24" i="5"/>
  <c r="F24" i="5"/>
  <c r="B24" i="5"/>
  <c r="G21" i="5"/>
  <c r="F21" i="5"/>
  <c r="B21" i="5"/>
  <c r="G23" i="5"/>
  <c r="F23" i="5"/>
  <c r="B23" i="5"/>
  <c r="D20" i="5"/>
  <c r="D24" i="5"/>
  <c r="D21" i="5"/>
  <c r="D23" i="5"/>
  <c r="D15" i="5"/>
  <c r="D14" i="5"/>
  <c r="D18" i="5"/>
  <c r="D11" i="5"/>
  <c r="D12" i="5"/>
  <c r="D9" i="5"/>
  <c r="D8" i="5"/>
</calcChain>
</file>

<file path=xl/sharedStrings.xml><?xml version="1.0" encoding="utf-8"?>
<sst xmlns="http://schemas.openxmlformats.org/spreadsheetml/2006/main" count="852" uniqueCount="247">
  <si>
    <t>UDC</t>
  </si>
  <si>
    <t>Ver</t>
  </si>
  <si>
    <t>OUA Cd</t>
  </si>
  <si>
    <t>Unit Title</t>
  </si>
  <si>
    <t>Pre-reqs</t>
  </si>
  <si>
    <t>Credits</t>
  </si>
  <si>
    <t>Availabilities</t>
  </si>
  <si>
    <t>Progress Notes</t>
  </si>
  <si>
    <r>
      <t>Curtin University</t>
    </r>
    <r>
      <rPr>
        <sz val="11"/>
        <color theme="0"/>
        <rFont val="Arial"/>
        <family val="2"/>
      </rPr>
      <t xml:space="preserve">
School of Design and the Built Environment</t>
    </r>
  </si>
  <si>
    <t>2025 Full-Time Enrolment Planner</t>
  </si>
  <si>
    <t>Course:</t>
  </si>
  <si>
    <t>Master of Urban and Regional Planning (OpenUnis)</t>
  </si>
  <si>
    <t>Course version:</t>
  </si>
  <si>
    <t>Commencing:</t>
  </si>
  <si>
    <t>Choose your commencing study period (drop-down list)</t>
  </si>
  <si>
    <t>Credits to Complete:</t>
  </si>
  <si>
    <t>2025 Availabilities</t>
  </si>
  <si>
    <t>Year 1</t>
  </si>
  <si>
    <t>v</t>
  </si>
  <si>
    <t>OUA Code</t>
  </si>
  <si>
    <t>Study Period</t>
  </si>
  <si>
    <t>Pre Requisite(s)</t>
  </si>
  <si>
    <t>CP</t>
  </si>
  <si>
    <t>SP1</t>
  </si>
  <si>
    <t>SP2</t>
  </si>
  <si>
    <t>SP3</t>
  </si>
  <si>
    <t>SP4</t>
  </si>
  <si>
    <t>Notes / Progress</t>
  </si>
  <si>
    <t>Year 2</t>
  </si>
  <si>
    <t>Option List</t>
  </si>
  <si>
    <t>Pre-Requisite(s)</t>
  </si>
  <si>
    <t>This study plan is correct and contains up to date course information at the time of issue but may be subject to change. Curtin will not be liable to you or to any other person for any loss or damage (including direct, consequential or economic loss or damage) however caused and whether by negligence or otherwise which may result directly or indirectly from the use of this publication.</t>
  </si>
  <si>
    <r>
      <rPr>
        <b/>
        <sz val="12"/>
        <rFont val="Segoe UI"/>
        <family val="2"/>
      </rPr>
      <t xml:space="preserve">If you have any queries about your course, please contact </t>
    </r>
    <r>
      <rPr>
        <b/>
        <u/>
        <sz val="12"/>
        <color theme="10"/>
        <rFont val="Segoe UI"/>
        <family val="2"/>
      </rPr>
      <t>Curtin Connect.</t>
    </r>
  </si>
  <si>
    <t>Curtin University is a trademark of Curtin University of Technology</t>
  </si>
  <si>
    <t>CRICOS Provider Code 00301J</t>
  </si>
  <si>
    <t>Graduate Certificate in Development Planning (OpenUnis)</t>
  </si>
  <si>
    <t>Graduate Certificate in Geography (OpenUnis)</t>
  </si>
  <si>
    <t>Urban and Regional Planning / Development Planning</t>
  </si>
  <si>
    <t>RangeUnitSets</t>
  </si>
  <si>
    <t>OC-DEVPLNSP1</t>
  </si>
  <si>
    <t>OC-DEVPLNSP2</t>
  </si>
  <si>
    <t>OC-DEVPLNSP3</t>
  </si>
  <si>
    <t>OC-DEVPLNSP4</t>
  </si>
  <si>
    <t>OC-GEOG1SP1</t>
  </si>
  <si>
    <t>OC-GEOG1SP2</t>
  </si>
  <si>
    <t>OC-GEOG1SP3</t>
  </si>
  <si>
    <t>OC-GEOG1SP4</t>
  </si>
  <si>
    <t>OM-URPLAN2SP1</t>
  </si>
  <si>
    <t>OM-URPLAN2SP2</t>
  </si>
  <si>
    <t>OM-URPLAN2SP3</t>
  </si>
  <si>
    <t>OM-URPLAN2SP4</t>
  </si>
  <si>
    <t>Y1SP1</t>
  </si>
  <si>
    <t>URDE5030</t>
  </si>
  <si>
    <t>Y1SP2</t>
  </si>
  <si>
    <t>URDE5014</t>
  </si>
  <si>
    <t>Y1SP3</t>
  </si>
  <si>
    <t>Y1SP4</t>
  </si>
  <si>
    <t>GEOG5000</t>
  </si>
  <si>
    <t>GEOG5002</t>
  </si>
  <si>
    <t>URDE5016</t>
  </si>
  <si>
    <t>URDE5017</t>
  </si>
  <si>
    <t>URDE3010</t>
  </si>
  <si>
    <t>URDE5031</t>
  </si>
  <si>
    <t>GEOG5004</t>
  </si>
  <si>
    <t>GEOG5003</t>
  </si>
  <si>
    <t>URDE6007</t>
  </si>
  <si>
    <t>URDE5015</t>
  </si>
  <si>
    <t>Choose your Course (drop-down list)</t>
  </si>
  <si>
    <t>SM Version</t>
  </si>
  <si>
    <t>SM Effective Date</t>
  </si>
  <si>
    <t>Akari Iteration</t>
  </si>
  <si>
    <t>Akari Effective Date</t>
  </si>
  <si>
    <t>Credit Points</t>
  </si>
  <si>
    <t>SM Availabilities</t>
  </si>
  <si>
    <t>OC-DEVPLN</t>
  </si>
  <si>
    <t>v.2</t>
  </si>
  <si>
    <t>100 credit points required</t>
  </si>
  <si>
    <t>SP1; SP2; SP3; SP4</t>
  </si>
  <si>
    <t>Graduate Certificate in Development Planning (OpenUnis CSP)</t>
  </si>
  <si>
    <t>OC-DVPLC1</t>
  </si>
  <si>
    <t>v.1</t>
  </si>
  <si>
    <t>URDE5020</t>
  </si>
  <si>
    <t>URDE6003</t>
  </si>
  <si>
    <t>URDE6001</t>
  </si>
  <si>
    <t>OC-GEOG1</t>
  </si>
  <si>
    <t>URDE6004</t>
  </si>
  <si>
    <t>OM-URPLAN2</t>
  </si>
  <si>
    <t>300 credit points required</t>
  </si>
  <si>
    <t>Y2SP1</t>
  </si>
  <si>
    <t>URDE6005</t>
  </si>
  <si>
    <t>Y2SP2</t>
  </si>
  <si>
    <t>Y2SP3</t>
  </si>
  <si>
    <t>Y2SP4</t>
  </si>
  <si>
    <t>START</t>
  </si>
  <si>
    <t>Next</t>
  </si>
  <si>
    <t>Next2</t>
  </si>
  <si>
    <t>Next3</t>
  </si>
  <si>
    <t>-</t>
  </si>
  <si>
    <t>Option</t>
  </si>
  <si>
    <t>Study Period 1 (February - May)</t>
  </si>
  <si>
    <t>Study Period 2 (May - August)</t>
  </si>
  <si>
    <t>Study Period 3 (August - November)</t>
  </si>
  <si>
    <t>DLT Supplied</t>
  </si>
  <si>
    <t>50CP Unit</t>
  </si>
  <si>
    <t>Study Period 4 (November - February)</t>
  </si>
  <si>
    <t>CC/DLT Approved 9/02/2024</t>
  </si>
  <si>
    <t>RangeOptions</t>
  </si>
  <si>
    <t>--</t>
  </si>
  <si>
    <t>PRJM6013</t>
  </si>
  <si>
    <t>1)      Update high level course / component &amp; study period details (Unitsets Tab)</t>
  </si>
  <si>
    <t>PRJM6018</t>
  </si>
  <si>
    <t>2)      Update Planner page(s) to reference year of planner e.g. “2025” (Planner Tab)</t>
  </si>
  <si>
    <t>PRJM6020</t>
  </si>
  <si>
    <t>3)      Update structures (Structures Tab)</t>
  </si>
  <si>
    <t>PRJM6021</t>
  </si>
  <si>
    <t>4)      Update Handbook unit list from updated structures (Handbook Tab)</t>
  </si>
  <si>
    <t>SUST5013</t>
  </si>
  <si>
    <t>5)      Update Availabilities using updated Handbook unit list (Availabilities Tab)</t>
  </si>
  <si>
    <t>SUST5016</t>
  </si>
  <si>
    <t>6)      Update Pre Requisites (Handbook Tab)</t>
  </si>
  <si>
    <t>SUST5019</t>
  </si>
  <si>
    <t>7)      Update sequences for courses / components (Unitsets Tab)</t>
  </si>
  <si>
    <t>SUST5021</t>
  </si>
  <si>
    <t>8)      Review Handbook Tab for obvious issues / errors and enter notes (Handbook Tab)</t>
  </si>
  <si>
    <t>SUST5025</t>
  </si>
  <si>
    <t>9)      Review Planner Tab(s) for obvious issues / errors (Planner Tab)</t>
  </si>
  <si>
    <t>Title</t>
  </si>
  <si>
    <t>NOTES</t>
  </si>
  <si>
    <t>(please note this is a double subject)</t>
  </si>
  <si>
    <t>Not relevant to this course / study sequence</t>
  </si>
  <si>
    <t>GPH510</t>
  </si>
  <si>
    <t>Human Geography</t>
  </si>
  <si>
    <t>Nil</t>
  </si>
  <si>
    <t>GPH512</t>
  </si>
  <si>
    <t>Physical Geography</t>
  </si>
  <si>
    <t>GPH514</t>
  </si>
  <si>
    <t>Geographies of Food Security</t>
  </si>
  <si>
    <t>GPH513</t>
  </si>
  <si>
    <t>Urban Geographies</t>
  </si>
  <si>
    <t>Study an Optional subject from the list below</t>
  </si>
  <si>
    <t>See below</t>
  </si>
  <si>
    <t>PRM500</t>
  </si>
  <si>
    <t>Project Management Overview</t>
  </si>
  <si>
    <t>PRM540</t>
  </si>
  <si>
    <t>Project Procurement Management</t>
  </si>
  <si>
    <t>PRM550</t>
  </si>
  <si>
    <t>Project Risk Management</t>
  </si>
  <si>
    <t>50CP</t>
  </si>
  <si>
    <t>2025 new Pre Req</t>
  </si>
  <si>
    <t>PRM530</t>
  </si>
  <si>
    <t>Project Planning and Schedule Management</t>
  </si>
  <si>
    <t>SCP543</t>
  </si>
  <si>
    <t>Future Cities</t>
  </si>
  <si>
    <t>SCP547</t>
  </si>
  <si>
    <t>Climate Policy</t>
  </si>
  <si>
    <t>SCP548</t>
  </si>
  <si>
    <t>People and Planet</t>
  </si>
  <si>
    <t>SCP549</t>
  </si>
  <si>
    <t>Sustainability, Climate Change and Economics</t>
  </si>
  <si>
    <t>SCP530</t>
  </si>
  <si>
    <t>Sustainable Waste Management</t>
  </si>
  <si>
    <t>URP310</t>
  </si>
  <si>
    <t>Professional Practice in Urban and Regional Planning 1</t>
  </si>
  <si>
    <t>350CP or Admitted to OM-URPLAN2</t>
  </si>
  <si>
    <t>URP540</t>
  </si>
  <si>
    <t>Introduction to Planning</t>
  </si>
  <si>
    <t>URP530</t>
  </si>
  <si>
    <t>Planning Theory and Context</t>
  </si>
  <si>
    <t>URP500</t>
  </si>
  <si>
    <t>Planning Law</t>
  </si>
  <si>
    <t>URP510</t>
  </si>
  <si>
    <t>Planning for Regions</t>
  </si>
  <si>
    <t>URP570</t>
  </si>
  <si>
    <t>Planning Dissertation Preparation</t>
  </si>
  <si>
    <t>URP505</t>
  </si>
  <si>
    <t>Governance for Planning</t>
  </si>
  <si>
    <t>URP515</t>
  </si>
  <si>
    <t>Development Outcomes</t>
  </si>
  <si>
    <t>URP620</t>
  </si>
  <si>
    <t>Planning for Housing</t>
  </si>
  <si>
    <t>URP600</t>
  </si>
  <si>
    <t>Urban Transport Systems</t>
  </si>
  <si>
    <t>URP640</t>
  </si>
  <si>
    <t>Participatory Planning</t>
  </si>
  <si>
    <t>URP650</t>
  </si>
  <si>
    <t>Planning Masters Dissertation</t>
  </si>
  <si>
    <t>DBE600</t>
  </si>
  <si>
    <t>Design and Built Environment Research Methods</t>
  </si>
  <si>
    <t>Effective:</t>
  </si>
  <si>
    <t>Downloaded:</t>
  </si>
  <si>
    <t>Version</t>
  </si>
  <si>
    <t>CPs</t>
  </si>
  <si>
    <t>Column4</t>
  </si>
  <si>
    <t>Component Type</t>
  </si>
  <si>
    <t>Year Level</t>
  </si>
  <si>
    <t>Study Package Code</t>
  </si>
  <si>
    <t>Structure Line</t>
  </si>
  <si>
    <t>Effective</t>
  </si>
  <si>
    <t>Discont.</t>
  </si>
  <si>
    <t>SPK</t>
  </si>
  <si>
    <t>Core</t>
  </si>
  <si>
    <t>NA</t>
  </si>
  <si>
    <t>URP540 Introduction to Planning</t>
  </si>
  <si>
    <t>URP505 Governance for Planning</t>
  </si>
  <si>
    <t>GPH510 Human Geography</t>
  </si>
  <si>
    <t>URP515 Development Outcomes</t>
  </si>
  <si>
    <t>GPH512  Physical Geography</t>
  </si>
  <si>
    <t>GPH514 Geographies of Food Security</t>
  </si>
  <si>
    <t>GPH513 Urban Geographies</t>
  </si>
  <si>
    <t>Choose an Option</t>
  </si>
  <si>
    <t>URP310 Professional Practice in Urban and Regional Planning 1</t>
  </si>
  <si>
    <t>URP500 Planning Law</t>
  </si>
  <si>
    <t>URP510 Planning for Regions</t>
  </si>
  <si>
    <t>URP530 Planning Theory and Context</t>
  </si>
  <si>
    <t>URP620 Planning for Housing</t>
  </si>
  <si>
    <t>URP640 Participatory Planning</t>
  </si>
  <si>
    <t>DBE600 Design and Built Environment Research Methods</t>
  </si>
  <si>
    <t>URP570 Planning Dissertation Preparation</t>
  </si>
  <si>
    <t>URP600 Urban Transport Systems</t>
  </si>
  <si>
    <t>URP650 Planning Masters Dissertation</t>
  </si>
  <si>
    <t>PRM500 Project Management Overview</t>
  </si>
  <si>
    <t>PRM540 Project Procurement Management</t>
  </si>
  <si>
    <t>PRM550 Project Risk Management</t>
  </si>
  <si>
    <t>PRM530 Project Planning and Schedule Management</t>
  </si>
  <si>
    <t>SCP543 Future Cities</t>
  </si>
  <si>
    <t>SCP547 Climate Policy</t>
  </si>
  <si>
    <t>SCP548 People and Planet</t>
  </si>
  <si>
    <t>SCP549 Sustainability, Climate Change and Economics</t>
  </si>
  <si>
    <t>SCP530 Sustainable Waste Management</t>
  </si>
  <si>
    <t>SUST5011</t>
  </si>
  <si>
    <t>Row Labels</t>
  </si>
  <si>
    <t>OpenUnis SP 1</t>
  </si>
  <si>
    <t>OpenUnis SP 2</t>
  </si>
  <si>
    <t>OpenUnis SP 3</t>
  </si>
  <si>
    <t>OpenUnis SP 4</t>
  </si>
  <si>
    <t>PRJM6000</t>
  </si>
  <si>
    <t>PRJM6004</t>
  </si>
  <si>
    <t>PRJM6002</t>
  </si>
  <si>
    <t>PRJM6003</t>
  </si>
  <si>
    <t>Curtin Code</t>
  </si>
  <si>
    <t>Pre-reqs (10/10/2024)</t>
  </si>
  <si>
    <t>DBE600 + URP530*</t>
  </si>
  <si>
    <t>OUA One Code Unit</t>
  </si>
  <si>
    <t>2025 new Pre Req; OUA One Code Unit</t>
  </si>
  <si>
    <t>OUA One Code</t>
  </si>
  <si>
    <t>OC-GEOG1 Graduate Certificate in Geography (OpenUnis) not available for full-time study due to reduction in availabilities in 2025 (GEOG5003 &amp; GEOG5004)</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</si>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</sst>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0" x14ac:knownFonts="1">
    <font>
      <sz val="12"/>
      <color theme="1"/>
      <name val="Calibri"/>
      <family val="2"/>
      <scheme val="minor"/>
    </font>
    <font>
      <sz val="11"/>
      <color theme="1"/>
      <name val="Calibri"/>
      <family val="2"/>
      <scheme val="minor"/>
    </font>
    <font>
      <b/>
      <sz val="8"/>
      <color rgb="FF000000"/>
      <name val="Arial"/>
      <family val="2"/>
    </font>
    <font>
      <sz val="8"/>
      <name val="Arial"/>
      <family val="2"/>
    </font>
    <font>
      <sz val="8"/>
      <color rgb="FF000000"/>
      <name val="Arial"/>
      <family val="2"/>
    </font>
    <font>
      <b/>
      <sz val="10"/>
      <color rgb="FF000000"/>
      <name val="Arial"/>
      <family val="2"/>
    </font>
    <font>
      <sz val="10"/>
      <color rgb="FF000000"/>
      <name val="Arial"/>
      <family val="2"/>
    </font>
    <font>
      <sz val="10"/>
      <color rgb="FFFF0000"/>
      <name val="Arial"/>
      <family val="2"/>
    </font>
    <font>
      <sz val="10"/>
      <name val="Arial"/>
      <family val="2"/>
    </font>
    <font>
      <sz val="8"/>
      <color rgb="FFFF0000"/>
      <name val="Arial"/>
      <family val="2"/>
    </font>
    <font>
      <sz val="10"/>
      <color theme="1"/>
      <name val="Arial"/>
      <family val="2"/>
    </font>
    <font>
      <sz val="8"/>
      <color theme="1"/>
      <name val="Arial"/>
      <family val="2"/>
    </font>
    <font>
      <sz val="11"/>
      <color theme="1"/>
      <name val="Arial"/>
      <family val="2"/>
    </font>
    <font>
      <b/>
      <sz val="10"/>
      <color theme="1"/>
      <name val="Arial"/>
      <family val="2"/>
    </font>
    <font>
      <b/>
      <sz val="12"/>
      <color theme="1"/>
      <name val="Arial"/>
      <family val="2"/>
    </font>
    <font>
      <sz val="10"/>
      <color theme="0"/>
      <name val="Arial"/>
      <family val="2"/>
    </font>
    <font>
      <b/>
      <i/>
      <sz val="12"/>
      <color theme="1"/>
      <name val="Calibri"/>
      <family val="2"/>
      <scheme val="minor"/>
    </font>
    <font>
      <b/>
      <sz val="12"/>
      <color theme="1"/>
      <name val="Calibri"/>
      <family val="2"/>
      <scheme val="minor"/>
    </font>
    <font>
      <sz val="8"/>
      <color theme="0" tint="-0.499984740745262"/>
      <name val="Arial"/>
      <family val="2"/>
    </font>
    <font>
      <b/>
      <sz val="11"/>
      <color theme="1"/>
      <name val="Segoe UI"/>
      <family val="2"/>
    </font>
    <font>
      <b/>
      <sz val="9"/>
      <color theme="1"/>
      <name val="Segoe UI"/>
      <family val="2"/>
    </font>
    <font>
      <sz val="9"/>
      <color theme="0"/>
      <name val="Segoe UI"/>
      <family val="2"/>
    </font>
    <font>
      <sz val="9"/>
      <color theme="1"/>
      <name val="Segoe UI"/>
      <family val="2"/>
    </font>
    <font>
      <b/>
      <sz val="8"/>
      <color theme="0"/>
      <name val="Segoe UI"/>
      <family val="2"/>
    </font>
    <font>
      <sz val="8"/>
      <name val="Segoe UI"/>
      <family val="2"/>
    </font>
    <font>
      <sz val="8"/>
      <color theme="1"/>
      <name val="Segoe UI"/>
      <family val="2"/>
    </font>
    <font>
      <sz val="8"/>
      <color rgb="FFFF0000"/>
      <name val="Segoe UI"/>
      <family val="2"/>
    </font>
    <font>
      <sz val="7"/>
      <color theme="1"/>
      <name val="Segoe UI"/>
      <family val="2"/>
    </font>
    <font>
      <u/>
      <sz val="11"/>
      <color theme="10"/>
      <name val="Calibri"/>
      <family val="2"/>
      <scheme val="minor"/>
    </font>
    <font>
      <b/>
      <u/>
      <sz val="12"/>
      <color theme="10"/>
      <name val="Segoe UI"/>
      <family val="2"/>
    </font>
    <font>
      <b/>
      <sz val="12"/>
      <name val="Segoe UI"/>
      <family val="2"/>
    </font>
    <font>
      <sz val="11"/>
      <name val="Segoe UI"/>
      <family val="2"/>
    </font>
    <font>
      <sz val="11"/>
      <color theme="1"/>
      <name val="Segoe UI"/>
      <family val="2"/>
    </font>
    <font>
      <sz val="6"/>
      <color theme="1"/>
      <name val="Segoe UI"/>
      <family val="2"/>
    </font>
    <font>
      <b/>
      <sz val="6"/>
      <color theme="1"/>
      <name val="Arial"/>
      <family val="2"/>
    </font>
    <font>
      <sz val="6"/>
      <color theme="1"/>
      <name val="Arial"/>
      <family val="2"/>
    </font>
    <font>
      <sz val="11"/>
      <name val="Arial"/>
      <family val="2"/>
    </font>
    <font>
      <b/>
      <sz val="9"/>
      <color theme="0"/>
      <name val="Segoe UI"/>
      <family val="2"/>
    </font>
    <font>
      <i/>
      <sz val="8"/>
      <color rgb="FF000000"/>
      <name val="Arial"/>
      <family val="2"/>
    </font>
    <font>
      <b/>
      <sz val="11"/>
      <color theme="0"/>
      <name val="Arial"/>
      <family val="2"/>
    </font>
    <font>
      <sz val="11"/>
      <color theme="0"/>
      <name val="Arial"/>
      <family val="2"/>
    </font>
    <font>
      <b/>
      <sz val="11"/>
      <color theme="0"/>
      <name val="Segoe UI"/>
      <family val="2"/>
    </font>
    <font>
      <b/>
      <sz val="11"/>
      <color rgb="FFFF0000"/>
      <name val="Segoe UI"/>
      <family val="2"/>
    </font>
    <font>
      <sz val="9"/>
      <color rgb="FFFF0000"/>
      <name val="Segoe UI"/>
      <family val="2"/>
    </font>
    <font>
      <b/>
      <i/>
      <sz val="12"/>
      <color rgb="FFC00000"/>
      <name val="Calibri"/>
      <family val="2"/>
      <scheme val="minor"/>
    </font>
    <font>
      <sz val="9"/>
      <name val="Segoe UI"/>
      <family val="2"/>
    </font>
    <font>
      <b/>
      <i/>
      <sz val="12"/>
      <color theme="0" tint="-0.499984740745262"/>
      <name val="Calibri"/>
      <family val="2"/>
      <scheme val="minor"/>
    </font>
    <font>
      <b/>
      <sz val="10"/>
      <name val="Segoe UI"/>
      <family val="2"/>
    </font>
    <font>
      <b/>
      <sz val="10"/>
      <color theme="1"/>
      <name val="Segoe UI"/>
      <family val="2"/>
    </font>
    <font>
      <b/>
      <sz val="18"/>
      <color theme="1"/>
      <name val="Segoe UI"/>
      <family val="2"/>
    </font>
    <font>
      <b/>
      <sz val="11"/>
      <color theme="8" tint="-0.249977111117893"/>
      <name val="Segoe UI"/>
      <family val="2"/>
    </font>
    <font>
      <sz val="8"/>
      <color rgb="FF00B050"/>
      <name val="Arial"/>
      <family val="2"/>
    </font>
    <font>
      <sz val="12"/>
      <name val="Calibri"/>
      <family val="2"/>
      <scheme val="minor"/>
    </font>
    <font>
      <i/>
      <sz val="8"/>
      <color theme="0" tint="-0.499984740745262"/>
      <name val="Arial"/>
      <family val="2"/>
    </font>
    <font>
      <b/>
      <sz val="12"/>
      <color theme="0"/>
      <name val="Segoe UI"/>
      <family val="2"/>
    </font>
    <font>
      <sz val="11"/>
      <color rgb="FF006100"/>
      <name val="Calibri"/>
      <family val="2"/>
      <scheme val="minor"/>
    </font>
    <font>
      <sz val="10"/>
      <color rgb="FF00B050"/>
      <name val="Arial"/>
      <family val="2"/>
    </font>
    <font>
      <b/>
      <i/>
      <sz val="12"/>
      <color rgb="FF00B050"/>
      <name val="Calibri"/>
      <family val="2"/>
      <scheme val="minor"/>
    </font>
    <font>
      <sz val="8"/>
      <color theme="5"/>
      <name val="Arial"/>
      <family val="2"/>
    </font>
    <font>
      <sz val="12"/>
      <color theme="5"/>
      <name val="Calibri"/>
      <family val="2"/>
      <scheme val="minor"/>
    </font>
  </fonts>
  <fills count="17">
    <fill>
      <patternFill patternType="none"/>
    </fill>
    <fill>
      <patternFill patternType="gray125"/>
    </fill>
    <fill>
      <patternFill patternType="solid">
        <fgColor theme="0"/>
        <bgColor indexed="64"/>
      </patternFill>
    </fill>
    <fill>
      <patternFill patternType="solid">
        <fgColor rgb="FFF2F2F2"/>
        <bgColor rgb="FF000000"/>
      </patternFill>
    </fill>
    <fill>
      <patternFill patternType="solid">
        <fgColor theme="0" tint="-4.9989318521683403E-2"/>
        <bgColor rgb="FF000000"/>
      </patternFill>
    </fill>
    <fill>
      <patternFill patternType="solid">
        <fgColor theme="4" tint="0.79998168889431442"/>
        <bgColor indexed="64"/>
      </patternFill>
    </fill>
    <fill>
      <patternFill patternType="solid">
        <fgColor theme="7"/>
        <bgColor indexed="64"/>
      </patternFill>
    </fill>
    <fill>
      <patternFill patternType="solid">
        <fgColor rgb="FFFFC000"/>
        <bgColor indexed="64"/>
      </patternFill>
    </fill>
    <fill>
      <patternFill patternType="solid">
        <fgColor theme="7" tint="0.59999389629810485"/>
        <bgColor indexed="64"/>
      </patternFill>
    </fill>
    <fill>
      <patternFill patternType="solid">
        <fgColor theme="5" tint="0.79998168889431442"/>
        <bgColor indexed="64"/>
      </patternFill>
    </fill>
    <fill>
      <patternFill patternType="solid">
        <fgColor rgb="FFFFFF00"/>
        <bgColor indexed="64"/>
      </patternFill>
    </fill>
    <fill>
      <patternFill patternType="solid">
        <fgColor theme="8" tint="-0.249977111117893"/>
        <bgColor indexed="64"/>
      </patternFill>
    </fill>
    <fill>
      <patternFill patternType="solid">
        <fgColor theme="0" tint="-0.34998626667073579"/>
        <bgColor indexed="64"/>
      </patternFill>
    </fill>
    <fill>
      <patternFill patternType="solid">
        <fgColor rgb="FF92D050"/>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rgb="FFC6EFCE"/>
      </patternFill>
    </fill>
  </fills>
  <borders count="4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theme="0" tint="-0.14996795556505021"/>
      </right>
      <top/>
      <bottom/>
      <diagonal/>
    </border>
    <border>
      <left style="thin">
        <color theme="0" tint="-0.14996795556505021"/>
      </left>
      <right style="thin">
        <color theme="0" tint="-0.14996795556505021"/>
      </right>
      <top/>
      <bottom/>
      <diagonal/>
    </border>
    <border>
      <left style="thin">
        <color theme="0" tint="-0.14996795556505021"/>
      </left>
      <right/>
      <top/>
      <bottom/>
      <diagonal/>
    </border>
    <border>
      <left/>
      <right/>
      <top/>
      <bottom style="thin">
        <color rgb="FF999999"/>
      </bottom>
      <diagonal/>
    </border>
    <border>
      <left style="thin">
        <color rgb="FF999999"/>
      </left>
      <right/>
      <top style="thin">
        <color rgb="FF999999"/>
      </top>
      <bottom style="thin">
        <color rgb="FF999999"/>
      </bottom>
      <diagonal/>
    </border>
    <border>
      <left/>
      <right/>
      <top style="thin">
        <color rgb="FF999999"/>
      </top>
      <bottom style="thin">
        <color rgb="FF999999"/>
      </bottom>
      <diagonal/>
    </border>
    <border>
      <left/>
      <right style="thin">
        <color theme="0" tint="-0.14990691854609822"/>
      </right>
      <top/>
      <bottom/>
      <diagonal/>
    </border>
    <border>
      <left style="thin">
        <color theme="0" tint="-0.14996795556505021"/>
      </left>
      <right/>
      <top style="thin">
        <color theme="0" tint="-0.14993743705557422"/>
      </top>
      <bottom style="thin">
        <color theme="0" tint="-0.14993743705557422"/>
      </bottom>
      <diagonal/>
    </border>
    <border>
      <left/>
      <right/>
      <top style="thin">
        <color theme="0" tint="-0.14993743705557422"/>
      </top>
      <bottom style="thin">
        <color theme="0" tint="-0.14993743705557422"/>
      </bottom>
      <diagonal/>
    </border>
    <border>
      <left/>
      <right style="thin">
        <color theme="0" tint="-0.14993743705557422"/>
      </right>
      <top style="thin">
        <color theme="0" tint="-0.14993743705557422"/>
      </top>
      <bottom style="thin">
        <color theme="0" tint="-0.14993743705557422"/>
      </bottom>
      <diagonal/>
    </border>
    <border>
      <left style="thin">
        <color theme="0" tint="-0.14990691854609822"/>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theme="0" tint="-0.14996795556505021"/>
      </left>
      <right/>
      <top style="thin">
        <color theme="0" tint="-0.14996795556505021"/>
      </top>
      <bottom style="thin">
        <color theme="0" tint="-0.14993743705557422"/>
      </bottom>
      <diagonal/>
    </border>
    <border>
      <left/>
      <right/>
      <top style="thin">
        <color theme="0" tint="-0.14996795556505021"/>
      </top>
      <bottom style="thin">
        <color theme="0" tint="-0.14993743705557422"/>
      </bottom>
      <diagonal/>
    </border>
    <border>
      <left/>
      <right style="thin">
        <color theme="0" tint="-0.14996795556505021"/>
      </right>
      <top style="thin">
        <color theme="0" tint="-0.14996795556505021"/>
      </top>
      <bottom style="thin">
        <color theme="0" tint="-0.14993743705557422"/>
      </bottom>
      <diagonal/>
    </border>
    <border>
      <left style="thin">
        <color theme="0" tint="-0.14996795556505021"/>
      </left>
      <right/>
      <top style="thin">
        <color theme="0" tint="-0.14993743705557422"/>
      </top>
      <bottom style="thin">
        <color theme="0" tint="-0.14996795556505021"/>
      </bottom>
      <diagonal/>
    </border>
    <border>
      <left/>
      <right/>
      <top style="thin">
        <color theme="0" tint="-0.14993743705557422"/>
      </top>
      <bottom style="thin">
        <color theme="0" tint="-0.14996795556505021"/>
      </bottom>
      <diagonal/>
    </border>
    <border>
      <left/>
      <right style="thin">
        <color theme="0" tint="-0.14996795556505021"/>
      </right>
      <top style="thin">
        <color theme="0" tint="-0.14993743705557422"/>
      </top>
      <bottom style="thin">
        <color theme="0" tint="-0.14996795556505021"/>
      </bottom>
      <diagonal/>
    </border>
    <border>
      <left style="thin">
        <color rgb="FF000000"/>
      </left>
      <right/>
      <top style="thin">
        <color indexed="64"/>
      </top>
      <bottom/>
      <diagonal/>
    </border>
    <border>
      <left style="thin">
        <color rgb="FF000000"/>
      </left>
      <right/>
      <top/>
      <bottom style="thin">
        <color indexed="64"/>
      </bottom>
      <diagonal/>
    </border>
    <border>
      <left style="thin">
        <color theme="0" tint="-0.14990691854609822"/>
      </left>
      <right style="thin">
        <color theme="0" tint="-0.1498764000366222"/>
      </right>
      <top/>
      <bottom/>
      <diagonal/>
    </border>
    <border>
      <left style="thin">
        <color theme="0" tint="-0.1498764000366222"/>
      </left>
      <right style="thin">
        <color theme="0" tint="-0.1498764000366222"/>
      </right>
      <top/>
      <bottom/>
      <diagonal/>
    </border>
    <border>
      <left style="thin">
        <color theme="0" tint="-0.1498764000366222"/>
      </left>
      <right style="thin">
        <color theme="0" tint="-0.14990691854609822"/>
      </right>
      <top/>
      <bottom/>
      <diagonal/>
    </border>
    <border>
      <left style="thin">
        <color theme="0" tint="-0.14990691854609822"/>
      </left>
      <right style="thin">
        <color theme="0" tint="-0.1498764000366222"/>
      </right>
      <top style="thin">
        <color theme="0" tint="-0.14996795556505021"/>
      </top>
      <bottom style="thin">
        <color theme="0" tint="-0.14993743705557422"/>
      </bottom>
      <diagonal/>
    </border>
    <border>
      <left style="thin">
        <color theme="0" tint="-0.1498764000366222"/>
      </left>
      <right style="thin">
        <color theme="0" tint="-0.1498764000366222"/>
      </right>
      <top style="thin">
        <color theme="0" tint="-0.14996795556505021"/>
      </top>
      <bottom style="thin">
        <color theme="0" tint="-0.14993743705557422"/>
      </bottom>
      <diagonal/>
    </border>
    <border>
      <left style="thin">
        <color theme="0" tint="-0.1498764000366222"/>
      </left>
      <right style="thin">
        <color theme="0" tint="-0.14990691854609822"/>
      </right>
      <top style="thin">
        <color theme="0" tint="-0.14996795556505021"/>
      </top>
      <bottom style="thin">
        <color theme="0" tint="-0.14993743705557422"/>
      </bottom>
      <diagonal/>
    </border>
    <border>
      <left style="thin">
        <color theme="0" tint="-0.14990691854609822"/>
      </left>
      <right style="thin">
        <color theme="0" tint="-0.1498764000366222"/>
      </right>
      <top style="thin">
        <color theme="0" tint="-0.14993743705557422"/>
      </top>
      <bottom style="thin">
        <color theme="0" tint="-0.14996795556505021"/>
      </bottom>
      <diagonal/>
    </border>
    <border>
      <left style="thin">
        <color theme="0" tint="-0.1498764000366222"/>
      </left>
      <right style="thin">
        <color theme="0" tint="-0.1498764000366222"/>
      </right>
      <top style="thin">
        <color theme="0" tint="-0.14993743705557422"/>
      </top>
      <bottom style="thin">
        <color theme="0" tint="-0.14996795556505021"/>
      </bottom>
      <diagonal/>
    </border>
    <border>
      <left style="thin">
        <color theme="0" tint="-0.1498764000366222"/>
      </left>
      <right style="thin">
        <color theme="0" tint="-0.14990691854609822"/>
      </right>
      <top style="thin">
        <color theme="0" tint="-0.14993743705557422"/>
      </top>
      <bottom style="thin">
        <color theme="0" tint="-0.14996795556505021"/>
      </bottom>
      <diagonal/>
    </border>
    <border>
      <left style="thin">
        <color theme="0" tint="-0.14990691854609822"/>
      </left>
      <right style="thin">
        <color theme="0" tint="-0.1498764000366222"/>
      </right>
      <top style="thin">
        <color theme="0" tint="-0.14993743705557422"/>
      </top>
      <bottom style="thin">
        <color theme="0" tint="-0.14993743705557422"/>
      </bottom>
      <diagonal/>
    </border>
    <border>
      <left style="thin">
        <color theme="0" tint="-0.1498764000366222"/>
      </left>
      <right style="thin">
        <color theme="0" tint="-0.1498764000366222"/>
      </right>
      <top style="thin">
        <color theme="0" tint="-0.14993743705557422"/>
      </top>
      <bottom style="thin">
        <color theme="0" tint="-0.14993743705557422"/>
      </bottom>
      <diagonal/>
    </border>
    <border>
      <left style="thin">
        <color theme="0" tint="-0.1498764000366222"/>
      </left>
      <right style="thin">
        <color theme="0" tint="-0.14990691854609822"/>
      </right>
      <top style="thin">
        <color theme="0" tint="-0.14993743705557422"/>
      </top>
      <bottom style="thin">
        <color theme="0" tint="-0.14993743705557422"/>
      </bottom>
      <diagonal/>
    </border>
  </borders>
  <cellStyleXfs count="4">
    <xf numFmtId="0" fontId="0" fillId="0" borderId="0"/>
    <xf numFmtId="0" fontId="1" fillId="0" borderId="0"/>
    <xf numFmtId="0" fontId="28" fillId="0" borderId="0" applyNumberFormat="0" applyFill="0" applyBorder="0" applyAlignment="0" applyProtection="0"/>
    <xf numFmtId="0" fontId="55" fillId="16" borderId="0" applyNumberFormat="0" applyBorder="0" applyAlignment="0" applyProtection="0"/>
  </cellStyleXfs>
  <cellXfs count="304">
    <xf numFmtId="0" fontId="0" fillId="0" borderId="0" xfId="0"/>
    <xf numFmtId="0" fontId="3" fillId="0" borderId="0" xfId="0" applyFont="1" applyAlignment="1">
      <alignment horizontal="center" vertical="center"/>
    </xf>
    <xf numFmtId="0" fontId="4" fillId="0" borderId="0" xfId="0" applyFont="1" applyAlignment="1">
      <alignment horizontal="center" vertical="center"/>
    </xf>
    <xf numFmtId="0" fontId="0" fillId="0" borderId="0" xfId="0" applyAlignment="1">
      <alignment horizontal="center"/>
    </xf>
    <xf numFmtId="0" fontId="5" fillId="0" borderId="0" xfId="0" applyFont="1"/>
    <xf numFmtId="0" fontId="6" fillId="0" borderId="0" xfId="0" applyFont="1"/>
    <xf numFmtId="0" fontId="6" fillId="0" borderId="0" xfId="0" applyFont="1" applyAlignment="1">
      <alignment horizontal="center"/>
    </xf>
    <xf numFmtId="0" fontId="8" fillId="0" borderId="0" xfId="0" applyFont="1"/>
    <xf numFmtId="0" fontId="7" fillId="0" borderId="0" xfId="0" applyFont="1"/>
    <xf numFmtId="0" fontId="10" fillId="0" borderId="0" xfId="0" applyFont="1"/>
    <xf numFmtId="0" fontId="10" fillId="0" borderId="0" xfId="0" applyFont="1" applyAlignment="1">
      <alignment horizontal="center"/>
    </xf>
    <xf numFmtId="0" fontId="5" fillId="0" borderId="0" xfId="0" applyFont="1" applyAlignment="1">
      <alignment horizontal="right"/>
    </xf>
    <xf numFmtId="0" fontId="6" fillId="0" borderId="0" xfId="0" applyFont="1" applyAlignment="1">
      <alignment horizontal="right"/>
    </xf>
    <xf numFmtId="0" fontId="10" fillId="0" borderId="0" xfId="0" applyFont="1" applyAlignment="1">
      <alignment horizontal="left"/>
    </xf>
    <xf numFmtId="0" fontId="13" fillId="0" borderId="0" xfId="0" applyFont="1" applyAlignment="1">
      <alignment horizontal="left"/>
    </xf>
    <xf numFmtId="0" fontId="14" fillId="0" borderId="0" xfId="0" applyFont="1" applyAlignment="1">
      <alignment horizontal="left"/>
    </xf>
    <xf numFmtId="0" fontId="12" fillId="0" borderId="0" xfId="0" applyFont="1"/>
    <xf numFmtId="0" fontId="15" fillId="0" borderId="0" xfId="0" applyFont="1"/>
    <xf numFmtId="0" fontId="13" fillId="0" borderId="0" xfId="0" applyFont="1"/>
    <xf numFmtId="0" fontId="11" fillId="0" borderId="0" xfId="0" applyFont="1" applyAlignment="1">
      <alignment horizontal="center" vertical="center"/>
    </xf>
    <xf numFmtId="0" fontId="7" fillId="0" borderId="0" xfId="0" applyFont="1" applyAlignment="1">
      <alignment horizontal="center"/>
    </xf>
    <xf numFmtId="0" fontId="16" fillId="0" borderId="0" xfId="0" applyFont="1"/>
    <xf numFmtId="0" fontId="18" fillId="0" borderId="0" xfId="0" applyFont="1" applyAlignment="1">
      <alignment horizontal="center"/>
    </xf>
    <xf numFmtId="0" fontId="17" fillId="0" borderId="0" xfId="0" applyFont="1"/>
    <xf numFmtId="0" fontId="2" fillId="0" borderId="0" xfId="0" applyFont="1"/>
    <xf numFmtId="0" fontId="9" fillId="0" borderId="0" xfId="0" applyFont="1" applyAlignment="1">
      <alignment horizontal="left" vertical="center"/>
    </xf>
    <xf numFmtId="0" fontId="38" fillId="0" borderId="0" xfId="0" applyFont="1" applyAlignment="1">
      <alignment horizontal="left" vertical="center"/>
    </xf>
    <xf numFmtId="0" fontId="2" fillId="3" borderId="1" xfId="0" applyFont="1" applyFill="1" applyBorder="1" applyAlignment="1">
      <alignment horizontal="center" vertical="center"/>
    </xf>
    <xf numFmtId="0" fontId="2" fillId="4" borderId="3" xfId="0" applyFont="1" applyFill="1" applyBorder="1" applyAlignment="1">
      <alignment horizontal="right" vertical="center"/>
    </xf>
    <xf numFmtId="0" fontId="3" fillId="6" borderId="0" xfId="0" applyFont="1" applyFill="1" applyAlignment="1">
      <alignment horizontal="center" vertical="center"/>
    </xf>
    <xf numFmtId="0" fontId="4" fillId="0" borderId="1" xfId="0" applyFont="1" applyBorder="1" applyAlignment="1">
      <alignment horizontal="center" vertical="center"/>
    </xf>
    <xf numFmtId="0" fontId="0" fillId="0" borderId="16" xfId="0" applyBorder="1" applyAlignment="1">
      <alignment vertical="center"/>
    </xf>
    <xf numFmtId="0" fontId="0" fillId="0" borderId="17" xfId="0" applyBorder="1" applyAlignment="1">
      <alignment vertical="center"/>
    </xf>
    <xf numFmtId="0" fontId="0" fillId="0" borderId="18" xfId="0" applyBorder="1" applyAlignment="1">
      <alignment vertical="center"/>
    </xf>
    <xf numFmtId="0" fontId="0" fillId="0" borderId="0" xfId="0" applyAlignment="1">
      <alignment vertical="center"/>
    </xf>
    <xf numFmtId="0" fontId="0" fillId="0" borderId="19" xfId="0" applyBorder="1" applyAlignment="1">
      <alignment vertical="center"/>
    </xf>
    <xf numFmtId="0" fontId="0" fillId="0" borderId="20" xfId="0" applyBorder="1" applyAlignment="1">
      <alignment horizontal="center" vertical="center"/>
    </xf>
    <xf numFmtId="0" fontId="0" fillId="0" borderId="21" xfId="0" applyBorder="1" applyAlignment="1">
      <alignment vertical="center"/>
    </xf>
    <xf numFmtId="0" fontId="0" fillId="0" borderId="22" xfId="0" applyBorder="1" applyAlignment="1">
      <alignment horizontal="center" vertical="center"/>
    </xf>
    <xf numFmtId="0" fontId="0" fillId="0" borderId="22" xfId="0" applyBorder="1" applyAlignment="1">
      <alignment vertical="center"/>
    </xf>
    <xf numFmtId="0" fontId="0" fillId="0" borderId="23" xfId="0" applyBorder="1" applyAlignment="1">
      <alignment horizontal="center" vertical="center"/>
    </xf>
    <xf numFmtId="0" fontId="0" fillId="0" borderId="0" xfId="0" applyAlignment="1">
      <alignment horizontal="center" vertical="center"/>
    </xf>
    <xf numFmtId="0" fontId="4" fillId="0" borderId="2" xfId="0" applyFont="1" applyBorder="1" applyAlignment="1">
      <alignment horizontal="center" vertical="center"/>
    </xf>
    <xf numFmtId="0" fontId="44" fillId="0" borderId="0" xfId="0" applyFont="1"/>
    <xf numFmtId="0" fontId="4" fillId="0" borderId="24" xfId="0" applyFont="1" applyBorder="1" applyAlignment="1">
      <alignment horizontal="center" vertical="center"/>
    </xf>
    <xf numFmtId="0" fontId="4" fillId="0" borderId="25" xfId="0" applyFont="1" applyBorder="1" applyAlignment="1">
      <alignment horizontal="center" vertical="center"/>
    </xf>
    <xf numFmtId="0" fontId="3" fillId="0" borderId="3" xfId="0" applyFont="1" applyBorder="1" applyAlignment="1">
      <alignment horizontal="center" vertical="center"/>
    </xf>
    <xf numFmtId="0" fontId="44" fillId="0" borderId="0" xfId="0" applyFont="1" applyAlignment="1">
      <alignment horizontal="right"/>
    </xf>
    <xf numFmtId="14" fontId="44" fillId="0" borderId="0" xfId="0" applyNumberFormat="1" applyFont="1"/>
    <xf numFmtId="0" fontId="10" fillId="9" borderId="0" xfId="0" applyFont="1" applyFill="1"/>
    <xf numFmtId="0" fontId="10" fillId="5" borderId="0" xfId="0" applyFont="1" applyFill="1" applyAlignment="1">
      <alignment horizontal="center"/>
    </xf>
    <xf numFmtId="0" fontId="46" fillId="0" borderId="0" xfId="0" applyFont="1" applyAlignment="1">
      <alignment horizontal="right"/>
    </xf>
    <xf numFmtId="0" fontId="9" fillId="0" borderId="0" xfId="0" applyFont="1" applyAlignment="1">
      <alignment horizontal="center" vertical="center"/>
    </xf>
    <xf numFmtId="0" fontId="22" fillId="12" borderId="11" xfId="1" applyFont="1" applyFill="1" applyBorder="1" applyAlignment="1" applyProtection="1">
      <alignment horizontal="center" vertical="center" wrapText="1"/>
      <protection locked="0"/>
    </xf>
    <xf numFmtId="0" fontId="29" fillId="12" borderId="0" xfId="2" applyFont="1" applyFill="1" applyAlignment="1" applyProtection="1">
      <alignment vertical="center"/>
    </xf>
    <xf numFmtId="0" fontId="28" fillId="12" borderId="0" xfId="2" applyFill="1" applyAlignment="1" applyProtection="1">
      <alignment vertical="center"/>
    </xf>
    <xf numFmtId="0" fontId="22" fillId="2" borderId="28" xfId="1" applyFont="1" applyFill="1" applyBorder="1" applyAlignment="1" applyProtection="1">
      <alignment horizontal="center" vertical="center" wrapText="1"/>
      <protection locked="0"/>
    </xf>
    <xf numFmtId="0" fontId="22" fillId="2" borderId="31" xfId="1" applyFont="1" applyFill="1" applyBorder="1" applyAlignment="1" applyProtection="1">
      <alignment horizontal="center" vertical="center" wrapText="1"/>
      <protection locked="0"/>
    </xf>
    <xf numFmtId="0" fontId="22" fillId="0" borderId="28" xfId="1" applyFont="1" applyBorder="1" applyAlignment="1" applyProtection="1">
      <alignment horizontal="center" vertical="center" wrapText="1"/>
      <protection locked="0"/>
    </xf>
    <xf numFmtId="0" fontId="22" fillId="0" borderId="31" xfId="1" applyFont="1" applyBorder="1" applyAlignment="1" applyProtection="1">
      <alignment horizontal="center" vertical="center" wrapText="1"/>
      <protection locked="0"/>
    </xf>
    <xf numFmtId="0" fontId="22" fillId="2" borderId="28" xfId="1" applyFont="1" applyFill="1" applyBorder="1" applyAlignment="1" applyProtection="1">
      <alignment horizontal="left" vertical="center" wrapText="1"/>
      <protection locked="0"/>
    </xf>
    <xf numFmtId="0" fontId="22" fillId="2" borderId="31" xfId="1" applyFont="1" applyFill="1" applyBorder="1" applyAlignment="1" applyProtection="1">
      <alignment horizontal="left" vertical="center" wrapText="1"/>
      <protection locked="0"/>
    </xf>
    <xf numFmtId="0" fontId="51" fillId="0" borderId="0" xfId="0" applyFont="1" applyAlignment="1">
      <alignment horizontal="center" vertical="center"/>
    </xf>
    <xf numFmtId="0" fontId="47" fillId="2" borderId="0" xfId="1" applyFont="1" applyFill="1" applyAlignment="1" applyProtection="1">
      <alignment vertical="center"/>
      <protection locked="0"/>
    </xf>
    <xf numFmtId="0" fontId="48" fillId="2" borderId="0" xfId="1" applyFont="1" applyFill="1" applyAlignment="1" applyProtection="1">
      <alignment vertical="center"/>
      <protection locked="0"/>
    </xf>
    <xf numFmtId="0" fontId="45" fillId="0" borderId="14" xfId="1" applyFont="1" applyBorder="1" applyAlignment="1" applyProtection="1">
      <alignment horizontal="center" vertical="center" wrapText="1"/>
      <protection locked="0"/>
    </xf>
    <xf numFmtId="0" fontId="0" fillId="0" borderId="0" xfId="0" applyAlignment="1">
      <alignment horizontal="left"/>
    </xf>
    <xf numFmtId="0" fontId="0" fillId="0" borderId="0" xfId="0" applyAlignment="1">
      <alignment horizontal="left" textRotation="90"/>
    </xf>
    <xf numFmtId="14" fontId="0" fillId="0" borderId="0" xfId="0" applyNumberFormat="1"/>
    <xf numFmtId="0" fontId="52" fillId="0" borderId="0" xfId="0" applyFont="1" applyAlignment="1">
      <alignment horizontal="right"/>
    </xf>
    <xf numFmtId="14" fontId="0" fillId="0" borderId="0" xfId="0" applyNumberFormat="1" applyAlignment="1">
      <alignment vertical="center"/>
    </xf>
    <xf numFmtId="0" fontId="0" fillId="10" borderId="0" xfId="0" applyFill="1"/>
    <xf numFmtId="0" fontId="53" fillId="0" borderId="3" xfId="0" applyFont="1" applyBorder="1" applyAlignment="1">
      <alignment horizontal="center" vertical="center"/>
    </xf>
    <xf numFmtId="0" fontId="18" fillId="0" borderId="5" xfId="1" applyFont="1" applyBorder="1" applyAlignment="1">
      <alignment horizontal="center"/>
    </xf>
    <xf numFmtId="0" fontId="18" fillId="0" borderId="6" xfId="1" applyFont="1" applyBorder="1" applyAlignment="1">
      <alignment horizontal="center"/>
    </xf>
    <xf numFmtId="0" fontId="18" fillId="0" borderId="6" xfId="1" applyFont="1" applyBorder="1"/>
    <xf numFmtId="0" fontId="18" fillId="0" borderId="7" xfId="1" applyFont="1" applyBorder="1"/>
    <xf numFmtId="0" fontId="1" fillId="0" borderId="0" xfId="1"/>
    <xf numFmtId="0" fontId="39" fillId="11" borderId="0" xfId="1" applyFont="1" applyFill="1" applyAlignment="1">
      <alignment vertical="center" wrapText="1"/>
    </xf>
    <xf numFmtId="0" fontId="1" fillId="0" borderId="0" xfId="1" applyAlignment="1">
      <alignment horizontal="center"/>
    </xf>
    <xf numFmtId="0" fontId="20" fillId="2" borderId="0" xfId="1" applyFont="1" applyFill="1" applyAlignment="1">
      <alignment horizontal="right" vertical="center" indent="1"/>
    </xf>
    <xf numFmtId="0" fontId="22" fillId="2" borderId="0" xfId="1" applyFont="1" applyFill="1" applyAlignment="1">
      <alignment horizontal="right" vertical="center" indent="1"/>
    </xf>
    <xf numFmtId="0" fontId="47" fillId="2" borderId="0" xfId="1" applyFont="1" applyFill="1" applyAlignment="1">
      <alignment vertical="center"/>
    </xf>
    <xf numFmtId="0" fontId="20" fillId="2" borderId="0" xfId="1" applyFont="1" applyFill="1" applyAlignment="1">
      <alignment vertical="center"/>
    </xf>
    <xf numFmtId="0" fontId="20" fillId="2" borderId="0" xfId="1" applyFont="1" applyFill="1" applyAlignment="1">
      <alignment horizontal="left" vertical="center"/>
    </xf>
    <xf numFmtId="0" fontId="20" fillId="2" borderId="0" xfId="1" applyFont="1" applyFill="1" applyAlignment="1">
      <alignment horizontal="left" vertical="center" indent="1"/>
    </xf>
    <xf numFmtId="0" fontId="22" fillId="2" borderId="0" xfId="1" applyFont="1" applyFill="1" applyAlignment="1">
      <alignment horizontal="left" vertical="center" wrapText="1"/>
    </xf>
    <xf numFmtId="0" fontId="22" fillId="0" borderId="0" xfId="1" applyFont="1" applyAlignment="1">
      <alignment vertical="top" wrapText="1"/>
    </xf>
    <xf numFmtId="0" fontId="23" fillId="11" borderId="0" xfId="1" applyFont="1" applyFill="1" applyAlignment="1">
      <alignment horizontal="center" vertical="center"/>
    </xf>
    <xf numFmtId="0" fontId="23" fillId="11" borderId="0" xfId="1" applyFont="1" applyFill="1" applyAlignment="1">
      <alignment horizontal="left" vertical="center" indent="1"/>
    </xf>
    <xf numFmtId="0" fontId="23" fillId="11" borderId="0" xfId="1" applyFont="1" applyFill="1" applyAlignment="1">
      <alignment vertical="center"/>
    </xf>
    <xf numFmtId="0" fontId="23" fillId="11" borderId="15" xfId="1" applyFont="1" applyFill="1" applyBorder="1" applyAlignment="1">
      <alignment horizontal="left" vertical="center"/>
    </xf>
    <xf numFmtId="0" fontId="23" fillId="11" borderId="0" xfId="1" applyFont="1" applyFill="1" applyAlignment="1">
      <alignment horizontal="left" vertical="center"/>
    </xf>
    <xf numFmtId="0" fontId="23" fillId="11" borderId="11" xfId="1" applyFont="1" applyFill="1" applyBorder="1" applyAlignment="1">
      <alignment horizontal="left" vertical="center"/>
    </xf>
    <xf numFmtId="0" fontId="24" fillId="2" borderId="0" xfId="1" applyFont="1" applyFill="1" applyAlignment="1">
      <alignment vertical="center"/>
    </xf>
    <xf numFmtId="0" fontId="25" fillId="2" borderId="0" xfId="1" applyFont="1" applyFill="1" applyAlignment="1">
      <alignment vertical="center"/>
    </xf>
    <xf numFmtId="0" fontId="23" fillId="11" borderId="0" xfId="1" applyFont="1" applyFill="1" applyAlignment="1">
      <alignment horizontal="center" vertical="center" wrapText="1"/>
    </xf>
    <xf numFmtId="0" fontId="22" fillId="2" borderId="26" xfId="1" applyFont="1" applyFill="1" applyBorder="1" applyAlignment="1">
      <alignment horizontal="center" vertical="center" wrapText="1"/>
    </xf>
    <xf numFmtId="0" fontId="22" fillId="2" borderId="27" xfId="1" applyFont="1" applyFill="1" applyBorder="1" applyAlignment="1">
      <alignment horizontal="center" vertical="center" wrapText="1"/>
    </xf>
    <xf numFmtId="0" fontId="22" fillId="2" borderId="27" xfId="1" applyFont="1" applyFill="1" applyBorder="1" applyAlignment="1">
      <alignment vertical="center" wrapText="1"/>
    </xf>
    <xf numFmtId="0" fontId="25" fillId="2" borderId="27" xfId="1" applyFont="1" applyFill="1" applyBorder="1" applyAlignment="1">
      <alignment horizontal="center" vertical="center" wrapText="1"/>
    </xf>
    <xf numFmtId="0" fontId="26" fillId="0" borderId="0" xfId="1" applyFont="1" applyAlignment="1">
      <alignment horizontal="left" vertical="top" wrapText="1"/>
    </xf>
    <xf numFmtId="0" fontId="24" fillId="2" borderId="0" xfId="1" applyFont="1" applyFill="1" applyAlignment="1">
      <alignment wrapText="1"/>
    </xf>
    <xf numFmtId="0" fontId="25" fillId="2" borderId="0" xfId="1" applyFont="1" applyFill="1" applyAlignment="1">
      <alignment wrapText="1"/>
    </xf>
    <xf numFmtId="0" fontId="22" fillId="2" borderId="29" xfId="1" applyFont="1" applyFill="1" applyBorder="1" applyAlignment="1">
      <alignment horizontal="center" vertical="center" wrapText="1"/>
    </xf>
    <xf numFmtId="0" fontId="22" fillId="2" borderId="30" xfId="1" applyFont="1" applyFill="1" applyBorder="1" applyAlignment="1">
      <alignment horizontal="center" vertical="center" wrapText="1"/>
    </xf>
    <xf numFmtId="0" fontId="22" fillId="2" borderId="30" xfId="1" applyFont="1" applyFill="1" applyBorder="1" applyAlignment="1">
      <alignment vertical="center" wrapText="1"/>
    </xf>
    <xf numFmtId="0" fontId="25" fillId="2" borderId="30" xfId="1" applyFont="1" applyFill="1" applyBorder="1" applyAlignment="1">
      <alignment horizontal="center" vertical="center" wrapText="1"/>
    </xf>
    <xf numFmtId="0" fontId="22" fillId="12" borderId="7" xfId="1" applyFont="1" applyFill="1" applyBorder="1" applyAlignment="1">
      <alignment horizontal="center" vertical="center" wrapText="1"/>
    </xf>
    <xf numFmtId="0" fontId="22" fillId="12" borderId="0" xfId="1" applyFont="1" applyFill="1" applyAlignment="1">
      <alignment horizontal="center" vertical="center" wrapText="1"/>
    </xf>
    <xf numFmtId="0" fontId="22" fillId="12" borderId="0" xfId="1" applyFont="1" applyFill="1" applyAlignment="1">
      <alignment vertical="center" wrapText="1"/>
    </xf>
    <xf numFmtId="0" fontId="25" fillId="12" borderId="0" xfId="1" applyFont="1" applyFill="1" applyAlignment="1">
      <alignment horizontal="left" vertical="center" wrapText="1"/>
    </xf>
    <xf numFmtId="0" fontId="26" fillId="0" borderId="0" xfId="1" applyFont="1" applyAlignment="1">
      <alignment vertical="center" wrapText="1"/>
    </xf>
    <xf numFmtId="0" fontId="22" fillId="0" borderId="27" xfId="1" applyFont="1" applyBorder="1" applyAlignment="1">
      <alignment horizontal="center" vertical="center" wrapText="1"/>
    </xf>
    <xf numFmtId="0" fontId="22" fillId="0" borderId="30" xfId="1" applyFont="1" applyBorder="1" applyAlignment="1">
      <alignment horizontal="center" vertical="center" wrapText="1"/>
    </xf>
    <xf numFmtId="0" fontId="24" fillId="2" borderId="0" xfId="1" applyFont="1" applyFill="1"/>
    <xf numFmtId="0" fontId="25" fillId="2" borderId="0" xfId="1" applyFont="1" applyFill="1"/>
    <xf numFmtId="0" fontId="22" fillId="0" borderId="30" xfId="1" applyFont="1" applyBorder="1" applyAlignment="1">
      <alignment horizontal="left" vertical="center"/>
    </xf>
    <xf numFmtId="0" fontId="22" fillId="0" borderId="27" xfId="1" applyFont="1" applyBorder="1" applyAlignment="1">
      <alignment vertical="center" wrapText="1"/>
    </xf>
    <xf numFmtId="0" fontId="22" fillId="0" borderId="27" xfId="1" applyFont="1" applyBorder="1" applyAlignment="1">
      <alignment horizontal="left" vertical="center"/>
    </xf>
    <xf numFmtId="0" fontId="33" fillId="2" borderId="0" xfId="1" applyFont="1" applyFill="1" applyAlignment="1">
      <alignment horizontal="left" vertical="center" wrapText="1"/>
    </xf>
    <xf numFmtId="0" fontId="34" fillId="2" borderId="0" xfId="1" applyFont="1" applyFill="1" applyAlignment="1">
      <alignment horizontal="left" vertical="center" wrapText="1"/>
    </xf>
    <xf numFmtId="0" fontId="35" fillId="2" borderId="0" xfId="1" applyFont="1" applyFill="1" applyAlignment="1">
      <alignment vertical="center"/>
    </xf>
    <xf numFmtId="0" fontId="36" fillId="2" borderId="0" xfId="1" applyFont="1" applyFill="1"/>
    <xf numFmtId="0" fontId="12" fillId="2" borderId="0" xfId="1" applyFont="1" applyFill="1"/>
    <xf numFmtId="0" fontId="37" fillId="11" borderId="0" xfId="1" applyFont="1" applyFill="1" applyAlignment="1">
      <alignment horizontal="left" vertical="center" readingOrder="1"/>
    </xf>
    <xf numFmtId="0" fontId="21" fillId="11" borderId="0" xfId="1" applyFont="1" applyFill="1" applyAlignment="1">
      <alignment horizontal="left" vertical="center" readingOrder="1"/>
    </xf>
    <xf numFmtId="0" fontId="41" fillId="11" borderId="0" xfId="1" applyFont="1" applyFill="1" applyAlignment="1">
      <alignment horizontal="center" vertical="center" readingOrder="1"/>
    </xf>
    <xf numFmtId="0" fontId="23" fillId="11" borderId="15" xfId="1" applyFont="1" applyFill="1" applyBorder="1" applyAlignment="1">
      <alignment vertical="center" readingOrder="1"/>
    </xf>
    <xf numFmtId="0" fontId="23" fillId="11" borderId="0" xfId="1" applyFont="1" applyFill="1" applyAlignment="1">
      <alignment vertical="center" readingOrder="1"/>
    </xf>
    <xf numFmtId="0" fontId="41" fillId="11" borderId="0" xfId="1" applyFont="1" applyFill="1" applyAlignment="1">
      <alignment vertical="center" readingOrder="1"/>
    </xf>
    <xf numFmtId="0" fontId="41" fillId="11" borderId="11" xfId="1" applyFont="1" applyFill="1" applyBorder="1" applyAlignment="1">
      <alignment vertical="center" readingOrder="1"/>
    </xf>
    <xf numFmtId="0" fontId="50" fillId="11" borderId="0" xfId="1" applyFont="1" applyFill="1" applyAlignment="1">
      <alignment horizontal="right" vertical="center" readingOrder="1"/>
    </xf>
    <xf numFmtId="0" fontId="37" fillId="11" borderId="0" xfId="1" applyFont="1" applyFill="1" applyAlignment="1">
      <alignment horizontal="center" vertical="center"/>
    </xf>
    <xf numFmtId="0" fontId="1" fillId="0" borderId="0" xfId="1" applyAlignment="1">
      <alignment horizontal="center" vertical="top"/>
    </xf>
    <xf numFmtId="0" fontId="45" fillId="0" borderId="12" xfId="1" applyFont="1" applyBorder="1" applyAlignment="1">
      <alignment horizontal="center" vertical="center"/>
    </xf>
    <xf numFmtId="0" fontId="45" fillId="0" borderId="13" xfId="1" applyFont="1" applyBorder="1" applyAlignment="1">
      <alignment horizontal="center" vertical="center"/>
    </xf>
    <xf numFmtId="0" fontId="45" fillId="0" borderId="13" xfId="1" applyFont="1" applyBorder="1" applyAlignment="1">
      <alignment vertical="center"/>
    </xf>
    <xf numFmtId="0" fontId="45" fillId="0" borderId="13" xfId="1" applyFont="1" applyBorder="1" applyAlignment="1">
      <alignment horizontal="center" vertical="center" wrapText="1"/>
    </xf>
    <xf numFmtId="0" fontId="31" fillId="2" borderId="0" xfId="1" applyFont="1" applyFill="1"/>
    <xf numFmtId="0" fontId="32" fillId="2" borderId="0" xfId="1" applyFont="1" applyFill="1"/>
    <xf numFmtId="0" fontId="33" fillId="2" borderId="0" xfId="1" applyFont="1" applyFill="1" applyAlignment="1">
      <alignment vertical="center"/>
    </xf>
    <xf numFmtId="0" fontId="12" fillId="2" borderId="0" xfId="1" applyFont="1" applyFill="1" applyAlignment="1">
      <alignment vertical="center"/>
    </xf>
    <xf numFmtId="0" fontId="35" fillId="2" borderId="0" xfId="1" applyFont="1" applyFill="1" applyAlignment="1">
      <alignment horizontal="right" vertical="center"/>
    </xf>
    <xf numFmtId="0" fontId="19" fillId="14" borderId="9" xfId="1" applyFont="1" applyFill="1" applyBorder="1" applyAlignment="1">
      <alignment vertical="center"/>
    </xf>
    <xf numFmtId="0" fontId="19" fillId="14" borderId="10" xfId="1" applyFont="1" applyFill="1" applyBorder="1" applyAlignment="1">
      <alignment vertical="center"/>
    </xf>
    <xf numFmtId="0" fontId="19" fillId="14" borderId="10" xfId="1" applyFont="1" applyFill="1" applyBorder="1" applyAlignment="1">
      <alignment horizontal="right" vertical="center"/>
    </xf>
    <xf numFmtId="0" fontId="49" fillId="14" borderId="10" xfId="1" applyFont="1" applyFill="1" applyBorder="1" applyAlignment="1">
      <alignment horizontal="center" vertical="center"/>
    </xf>
    <xf numFmtId="0" fontId="42" fillId="14" borderId="10" xfId="1" applyFont="1" applyFill="1" applyBorder="1" applyAlignment="1">
      <alignment vertical="center"/>
    </xf>
    <xf numFmtId="0" fontId="23" fillId="11" borderId="0" xfId="1" applyFont="1" applyFill="1" applyAlignment="1">
      <alignment horizontal="center" vertical="center" readingOrder="1"/>
    </xf>
    <xf numFmtId="0" fontId="54" fillId="11" borderId="0" xfId="1" applyFont="1" applyFill="1" applyAlignment="1">
      <alignment horizontal="left" vertical="center" readingOrder="1"/>
    </xf>
    <xf numFmtId="0" fontId="37" fillId="0" borderId="0" xfId="1" applyFont="1" applyAlignment="1">
      <alignment horizontal="right" vertical="center" wrapText="1"/>
    </xf>
    <xf numFmtId="0" fontId="21" fillId="0" borderId="0" xfId="1" applyFont="1" applyAlignment="1">
      <alignment vertical="top" wrapText="1"/>
    </xf>
    <xf numFmtId="0" fontId="2" fillId="3" borderId="1" xfId="0" applyFont="1" applyFill="1" applyBorder="1"/>
    <xf numFmtId="0" fontId="2" fillId="3" borderId="3" xfId="0" applyFont="1" applyFill="1" applyBorder="1" applyAlignment="1">
      <alignment horizontal="right" vertical="center"/>
    </xf>
    <xf numFmtId="0" fontId="2" fillId="3" borderId="2" xfId="0" applyFont="1" applyFill="1" applyBorder="1" applyAlignment="1">
      <alignment horizontal="right" vertical="center"/>
    </xf>
    <xf numFmtId="0" fontId="4" fillId="0" borderId="32" xfId="0" applyFont="1" applyBorder="1" applyAlignment="1">
      <alignment horizontal="center" vertical="center"/>
    </xf>
    <xf numFmtId="0" fontId="4" fillId="0" borderId="3" xfId="0" applyFont="1" applyBorder="1" applyAlignment="1">
      <alignment horizontal="center" vertical="center"/>
    </xf>
    <xf numFmtId="0" fontId="4" fillId="8" borderId="4" xfId="0" applyFont="1" applyFill="1" applyBorder="1" applyAlignment="1">
      <alignment horizontal="center" vertical="center"/>
    </xf>
    <xf numFmtId="0" fontId="4" fillId="7" borderId="4" xfId="0" applyFont="1" applyFill="1" applyBorder="1" applyAlignment="1">
      <alignment horizontal="center" vertical="center"/>
    </xf>
    <xf numFmtId="0" fontId="4" fillId="0" borderId="33" xfId="0" applyFont="1" applyBorder="1" applyAlignment="1">
      <alignment horizontal="center" vertical="center"/>
    </xf>
    <xf numFmtId="0" fontId="4" fillId="7" borderId="25" xfId="0" applyFont="1" applyFill="1" applyBorder="1" applyAlignment="1">
      <alignment horizontal="center" vertical="center"/>
    </xf>
    <xf numFmtId="0" fontId="3" fillId="0" borderId="25" xfId="0" applyFont="1" applyBorder="1" applyAlignment="1">
      <alignment horizontal="center" vertical="center"/>
    </xf>
    <xf numFmtId="0" fontId="53" fillId="0" borderId="25" xfId="0" applyFont="1" applyBorder="1" applyAlignment="1">
      <alignment horizontal="center" vertical="center"/>
    </xf>
    <xf numFmtId="0" fontId="4" fillId="0" borderId="4" xfId="0" applyFont="1" applyBorder="1" applyAlignment="1">
      <alignment horizontal="center" vertical="center"/>
    </xf>
    <xf numFmtId="0" fontId="4" fillId="6" borderId="2" xfId="0" applyFont="1" applyFill="1" applyBorder="1" applyAlignment="1">
      <alignment horizontal="center" vertical="center"/>
    </xf>
    <xf numFmtId="0" fontId="4" fillId="6" borderId="4" xfId="0" applyFont="1" applyFill="1" applyBorder="1" applyAlignment="1">
      <alignment horizontal="center" vertical="center"/>
    </xf>
    <xf numFmtId="0" fontId="4" fillId="8" borderId="25" xfId="0" applyFont="1" applyFill="1" applyBorder="1" applyAlignment="1">
      <alignment horizontal="center" vertical="center"/>
    </xf>
    <xf numFmtId="0" fontId="4" fillId="7" borderId="2" xfId="0" applyFont="1" applyFill="1" applyBorder="1" applyAlignment="1">
      <alignment horizontal="center" vertical="center"/>
    </xf>
    <xf numFmtId="0" fontId="4" fillId="7" borderId="3" xfId="0" applyFont="1" applyFill="1" applyBorder="1" applyAlignment="1">
      <alignment horizontal="center" vertical="center"/>
    </xf>
    <xf numFmtId="0" fontId="10" fillId="0" borderId="16" xfId="0" applyFont="1" applyBorder="1" applyAlignment="1">
      <alignment horizontal="center"/>
    </xf>
    <xf numFmtId="0" fontId="10" fillId="0" borderId="17" xfId="0" applyFont="1" applyBorder="1" applyAlignment="1">
      <alignment horizontal="center"/>
    </xf>
    <xf numFmtId="0" fontId="10" fillId="0" borderId="18" xfId="0" applyFont="1" applyBorder="1" applyAlignment="1">
      <alignment horizontal="center"/>
    </xf>
    <xf numFmtId="0" fontId="10" fillId="0" borderId="19" xfId="0" quotePrefix="1" applyFont="1" applyBorder="1" applyAlignment="1">
      <alignment horizontal="center"/>
    </xf>
    <xf numFmtId="0" fontId="10" fillId="0" borderId="0" xfId="0" quotePrefix="1" applyFont="1" applyAlignment="1">
      <alignment horizontal="center"/>
    </xf>
    <xf numFmtId="0" fontId="10" fillId="0" borderId="20" xfId="0" applyFont="1" applyBorder="1" applyAlignment="1">
      <alignment horizontal="center"/>
    </xf>
    <xf numFmtId="0" fontId="10" fillId="0" borderId="19" xfId="0" applyFont="1" applyBorder="1" applyAlignment="1">
      <alignment horizontal="center"/>
    </xf>
    <xf numFmtId="0" fontId="10" fillId="0" borderId="21" xfId="0" applyFont="1" applyBorder="1" applyAlignment="1">
      <alignment horizontal="center"/>
    </xf>
    <xf numFmtId="0" fontId="10" fillId="0" borderId="22" xfId="0" applyFont="1" applyBorder="1" applyAlignment="1">
      <alignment horizontal="center"/>
    </xf>
    <xf numFmtId="0" fontId="10" fillId="0" borderId="23" xfId="0" applyFont="1" applyBorder="1" applyAlignment="1">
      <alignment horizontal="center"/>
    </xf>
    <xf numFmtId="0" fontId="10" fillId="0" borderId="0" xfId="0" applyFont="1" applyAlignment="1">
      <alignment horizontal="left" textRotation="90"/>
    </xf>
    <xf numFmtId="0" fontId="10" fillId="0" borderId="0" xfId="0" applyFont="1" applyAlignment="1">
      <alignment wrapText="1"/>
    </xf>
    <xf numFmtId="0" fontId="10" fillId="15" borderId="0" xfId="0" applyFont="1" applyFill="1" applyAlignment="1">
      <alignment horizontal="center"/>
    </xf>
    <xf numFmtId="0" fontId="23" fillId="11" borderId="34" xfId="1" applyFont="1" applyFill="1" applyBorder="1" applyAlignment="1">
      <alignment horizontal="center" vertical="center" wrapText="1"/>
    </xf>
    <xf numFmtId="0" fontId="23" fillId="11" borderId="35" xfId="1" applyFont="1" applyFill="1" applyBorder="1" applyAlignment="1">
      <alignment horizontal="center" vertical="center" wrapText="1"/>
    </xf>
    <xf numFmtId="0" fontId="23" fillId="11" borderId="36" xfId="1" applyFont="1" applyFill="1" applyBorder="1" applyAlignment="1">
      <alignment horizontal="center" vertical="center" wrapText="1"/>
    </xf>
    <xf numFmtId="0" fontId="22" fillId="2" borderId="37" xfId="1" applyFont="1" applyFill="1" applyBorder="1" applyAlignment="1">
      <alignment horizontal="center" vertical="center" wrapText="1"/>
    </xf>
    <xf numFmtId="0" fontId="22" fillId="2" borderId="38" xfId="1" applyFont="1" applyFill="1" applyBorder="1" applyAlignment="1">
      <alignment horizontal="center" vertical="center" wrapText="1"/>
    </xf>
    <xf numFmtId="0" fontId="22" fillId="2" borderId="39" xfId="1" applyFont="1" applyFill="1" applyBorder="1" applyAlignment="1">
      <alignment horizontal="center" vertical="center" wrapText="1"/>
    </xf>
    <xf numFmtId="0" fontId="22" fillId="2" borderId="40" xfId="1" applyFont="1" applyFill="1" applyBorder="1" applyAlignment="1">
      <alignment horizontal="center" vertical="center" wrapText="1"/>
    </xf>
    <xf numFmtId="0" fontId="22" fillId="2" borderId="41" xfId="1" applyFont="1" applyFill="1" applyBorder="1" applyAlignment="1">
      <alignment horizontal="center" vertical="center" wrapText="1"/>
    </xf>
    <xf numFmtId="0" fontId="22" fillId="2" borderId="42" xfId="1" applyFont="1" applyFill="1" applyBorder="1" applyAlignment="1">
      <alignment horizontal="center" vertical="center" wrapText="1"/>
    </xf>
    <xf numFmtId="0" fontId="43" fillId="12" borderId="34" xfId="1" applyFont="1" applyFill="1" applyBorder="1" applyAlignment="1">
      <alignment horizontal="center" vertical="center" wrapText="1"/>
    </xf>
    <xf numFmtId="0" fontId="43" fillId="12" borderId="35" xfId="1" applyFont="1" applyFill="1" applyBorder="1" applyAlignment="1">
      <alignment horizontal="center" vertical="center" wrapText="1"/>
    </xf>
    <xf numFmtId="0" fontId="43" fillId="12" borderId="36" xfId="1" applyFont="1" applyFill="1" applyBorder="1" applyAlignment="1">
      <alignment horizontal="center" vertical="center" wrapText="1"/>
    </xf>
    <xf numFmtId="0" fontId="22" fillId="0" borderId="37" xfId="1" applyFont="1" applyBorder="1" applyAlignment="1">
      <alignment horizontal="center" vertical="center" wrapText="1"/>
    </xf>
    <xf numFmtId="0" fontId="22" fillId="0" borderId="38" xfId="1" applyFont="1" applyBorder="1" applyAlignment="1">
      <alignment horizontal="center" vertical="center" wrapText="1"/>
    </xf>
    <xf numFmtId="0" fontId="22" fillId="0" borderId="39" xfId="1" applyFont="1" applyBorder="1" applyAlignment="1">
      <alignment horizontal="center" vertical="center" wrapText="1"/>
    </xf>
    <xf numFmtId="0" fontId="22" fillId="0" borderId="40" xfId="1" applyFont="1" applyBorder="1" applyAlignment="1">
      <alignment horizontal="center" vertical="center" wrapText="1"/>
    </xf>
    <xf numFmtId="0" fontId="22" fillId="0" borderId="41" xfId="1" applyFont="1" applyBorder="1" applyAlignment="1">
      <alignment horizontal="center" vertical="center" wrapText="1"/>
    </xf>
    <xf numFmtId="0" fontId="22" fillId="0" borderId="42" xfId="1" applyFont="1" applyBorder="1" applyAlignment="1">
      <alignment horizontal="center" vertical="center" wrapText="1"/>
    </xf>
    <xf numFmtId="0" fontId="23" fillId="11" borderId="34" xfId="1" applyFont="1" applyFill="1" applyBorder="1" applyAlignment="1">
      <alignment horizontal="center" vertical="center"/>
    </xf>
    <xf numFmtId="0" fontId="23" fillId="11" borderId="35" xfId="1" applyFont="1" applyFill="1" applyBorder="1" applyAlignment="1">
      <alignment horizontal="center" vertical="center"/>
    </xf>
    <xf numFmtId="0" fontId="23" fillId="11" borderId="36" xfId="1" applyFont="1" applyFill="1" applyBorder="1" applyAlignment="1">
      <alignment horizontal="center" vertical="center"/>
    </xf>
    <xf numFmtId="0" fontId="23" fillId="11" borderId="34" xfId="1" applyFont="1" applyFill="1" applyBorder="1" applyAlignment="1">
      <alignment horizontal="center" vertical="center" wrapText="1" readingOrder="1"/>
    </xf>
    <xf numFmtId="0" fontId="23" fillId="11" borderId="35" xfId="1" applyFont="1" applyFill="1" applyBorder="1" applyAlignment="1">
      <alignment horizontal="center" vertical="center" wrapText="1" readingOrder="1"/>
    </xf>
    <xf numFmtId="0" fontId="23" fillId="11" borderId="36" xfId="1" applyFont="1" applyFill="1" applyBorder="1" applyAlignment="1">
      <alignment horizontal="center" vertical="center" wrapText="1" readingOrder="1"/>
    </xf>
    <xf numFmtId="0" fontId="45" fillId="0" borderId="43" xfId="1" applyFont="1" applyBorder="1" applyAlignment="1">
      <alignment horizontal="center" vertical="center" wrapText="1"/>
    </xf>
    <xf numFmtId="0" fontId="45" fillId="0" borderId="44" xfId="1" applyFont="1" applyBorder="1" applyAlignment="1">
      <alignment horizontal="center" vertical="center" wrapText="1"/>
    </xf>
    <xf numFmtId="0" fontId="45" fillId="0" borderId="45" xfId="1" applyFont="1" applyBorder="1" applyAlignment="1">
      <alignment horizontal="center" vertical="center" wrapText="1"/>
    </xf>
    <xf numFmtId="0" fontId="45" fillId="0" borderId="40" xfId="1" applyFont="1" applyBorder="1" applyAlignment="1">
      <alignment horizontal="center" vertical="center" wrapText="1"/>
    </xf>
    <xf numFmtId="0" fontId="45" fillId="0" borderId="41" xfId="1" applyFont="1" applyBorder="1" applyAlignment="1">
      <alignment horizontal="center" vertical="center" wrapText="1"/>
    </xf>
    <xf numFmtId="0" fontId="45" fillId="0" borderId="42" xfId="1" applyFont="1" applyBorder="1" applyAlignment="1">
      <alignment horizontal="center" vertical="center" wrapText="1"/>
    </xf>
    <xf numFmtId="0" fontId="56" fillId="0" borderId="0" xfId="0" applyFont="1" applyAlignment="1">
      <alignment horizontal="center"/>
    </xf>
    <xf numFmtId="14" fontId="56" fillId="0" borderId="0" xfId="0" applyNumberFormat="1" applyFont="1" applyAlignment="1">
      <alignment horizontal="center"/>
    </xf>
    <xf numFmtId="0" fontId="10" fillId="13" borderId="0" xfId="0" applyFont="1" applyFill="1" applyAlignment="1">
      <alignment horizontal="center"/>
    </xf>
    <xf numFmtId="14" fontId="10" fillId="13" borderId="0" xfId="0" applyNumberFormat="1" applyFont="1" applyFill="1" applyAlignment="1">
      <alignment horizontal="center"/>
    </xf>
    <xf numFmtId="14" fontId="55" fillId="16" borderId="0" xfId="3" applyNumberFormat="1" applyAlignment="1">
      <alignment horizontal="center"/>
    </xf>
    <xf numFmtId="14" fontId="57" fillId="0" borderId="0" xfId="0" applyNumberFormat="1" applyFont="1"/>
    <xf numFmtId="0" fontId="57" fillId="0" borderId="0" xfId="0" applyFont="1"/>
    <xf numFmtId="0" fontId="56" fillId="9" borderId="0" xfId="0" applyFont="1" applyFill="1"/>
    <xf numFmtId="0" fontId="23" fillId="11" borderId="0" xfId="1" applyFont="1" applyFill="1" applyAlignment="1">
      <alignment horizontal="center" vertical="center" shrinkToFit="1"/>
    </xf>
    <xf numFmtId="0" fontId="25" fillId="2" borderId="27" xfId="1" applyFont="1" applyFill="1" applyBorder="1" applyAlignment="1">
      <alignment horizontal="center" vertical="center" shrinkToFit="1"/>
    </xf>
    <xf numFmtId="0" fontId="25" fillId="2" borderId="30" xfId="1" applyFont="1" applyFill="1" applyBorder="1" applyAlignment="1">
      <alignment horizontal="center" vertical="center" shrinkToFit="1"/>
    </xf>
    <xf numFmtId="0" fontId="25" fillId="12" borderId="0" xfId="1" applyFont="1" applyFill="1" applyAlignment="1">
      <alignment horizontal="left" vertical="center" shrinkToFit="1"/>
    </xf>
    <xf numFmtId="0" fontId="10" fillId="0" borderId="0" xfId="0" applyFont="1" applyAlignment="1">
      <alignment horizontal="left" wrapText="1"/>
    </xf>
    <xf numFmtId="0" fontId="58" fillId="0" borderId="0" xfId="0" applyFont="1" applyAlignment="1">
      <alignment horizontal="center" vertical="center"/>
    </xf>
    <xf numFmtId="0" fontId="59" fillId="0" borderId="0" xfId="0" applyFont="1"/>
    <xf numFmtId="0" fontId="58" fillId="0" borderId="0" xfId="0" applyFont="1" applyAlignment="1">
      <alignment horizontal="center" vertical="center" wrapText="1"/>
    </xf>
    <xf numFmtId="0" fontId="10" fillId="10" borderId="20" xfId="0" applyFont="1" applyFill="1" applyBorder="1" applyAlignment="1">
      <alignment horizontal="center"/>
    </xf>
    <xf numFmtId="14" fontId="0" fillId="10" borderId="0" xfId="0" applyNumberFormat="1" applyFill="1"/>
    <xf numFmtId="0" fontId="7" fillId="10" borderId="0" xfId="0" applyFont="1" applyFill="1" applyAlignment="1">
      <alignment horizontal="left"/>
    </xf>
    <xf numFmtId="0" fontId="3" fillId="0" borderId="1" xfId="0" applyFont="1" applyBorder="1" applyAlignment="1">
      <alignment horizontal="center" vertical="center"/>
    </xf>
    <xf numFmtId="0" fontId="3" fillId="0" borderId="24" xfId="0" applyFont="1" applyBorder="1" applyAlignment="1">
      <alignment horizontal="center" vertical="center"/>
    </xf>
    <xf numFmtId="0" fontId="39" fillId="11" borderId="8" xfId="1" applyFont="1" applyFill="1" applyBorder="1" applyAlignment="1">
      <alignment horizontal="left" vertical="center" wrapText="1"/>
    </xf>
    <xf numFmtId="0" fontId="27" fillId="2" borderId="0" xfId="1" applyFont="1" applyFill="1" applyAlignment="1">
      <alignment horizontal="center" vertical="center" wrapText="1"/>
    </xf>
    <xf numFmtId="0" fontId="18" fillId="0" borderId="5" xfId="1" applyFont="1" applyBorder="1" applyAlignment="1" applyProtection="1">
      <alignment horizontal="center"/>
    </xf>
    <xf numFmtId="0" fontId="18" fillId="0" borderId="6" xfId="1" applyFont="1" applyBorder="1" applyAlignment="1" applyProtection="1">
      <alignment horizontal="center"/>
    </xf>
    <xf numFmtId="0" fontId="18" fillId="0" borderId="6" xfId="1" applyFont="1" applyBorder="1" applyProtection="1"/>
    <xf numFmtId="0" fontId="18" fillId="0" borderId="7" xfId="1" applyFont="1" applyBorder="1" applyProtection="1"/>
    <xf numFmtId="0" fontId="1" fillId="0" borderId="0" xfId="1" applyProtection="1"/>
    <xf numFmtId="0" fontId="39" fillId="11" borderId="8" xfId="1" applyFont="1" applyFill="1" applyBorder="1" applyAlignment="1" applyProtection="1">
      <alignment horizontal="left" vertical="center" wrapText="1"/>
    </xf>
    <xf numFmtId="0" fontId="39" fillId="11" borderId="0" xfId="1" applyFont="1" applyFill="1" applyAlignment="1" applyProtection="1">
      <alignment vertical="center" wrapText="1"/>
    </xf>
    <xf numFmtId="0" fontId="19" fillId="14" borderId="9" xfId="1" applyFont="1" applyFill="1" applyBorder="1" applyAlignment="1" applyProtection="1">
      <alignment vertical="center"/>
    </xf>
    <xf numFmtId="0" fontId="19" fillId="14" borderId="10" xfId="1" applyFont="1" applyFill="1" applyBorder="1" applyAlignment="1" applyProtection="1">
      <alignment vertical="center"/>
    </xf>
    <xf numFmtId="0" fontId="19" fillId="14" borderId="10" xfId="1" applyFont="1" applyFill="1" applyBorder="1" applyAlignment="1" applyProtection="1">
      <alignment horizontal="right" vertical="center"/>
    </xf>
    <xf numFmtId="0" fontId="49" fillId="14" borderId="10" xfId="1" applyFont="1" applyFill="1" applyBorder="1" applyAlignment="1" applyProtection="1">
      <alignment horizontal="center" vertical="center"/>
    </xf>
    <xf numFmtId="0" fontId="42" fillId="14" borderId="10" xfId="1" applyFont="1" applyFill="1" applyBorder="1" applyAlignment="1" applyProtection="1">
      <alignment vertical="center"/>
    </xf>
    <xf numFmtId="0" fontId="1" fillId="0" borderId="0" xfId="1" applyAlignment="1" applyProtection="1">
      <alignment horizontal="center"/>
    </xf>
    <xf numFmtId="0" fontId="20" fillId="2" borderId="0" xfId="1" applyFont="1" applyFill="1" applyAlignment="1" applyProtection="1">
      <alignment horizontal="right" vertical="center" indent="1"/>
    </xf>
    <xf numFmtId="0" fontId="22" fillId="2" borderId="0" xfId="1" applyFont="1" applyFill="1" applyAlignment="1" applyProtection="1">
      <alignment horizontal="right" vertical="center" indent="1"/>
    </xf>
    <xf numFmtId="0" fontId="47" fillId="2" borderId="0" xfId="1" applyFont="1" applyFill="1" applyAlignment="1" applyProtection="1">
      <alignment vertical="center"/>
    </xf>
    <xf numFmtId="0" fontId="20" fillId="2" borderId="0" xfId="1" applyFont="1" applyFill="1" applyAlignment="1" applyProtection="1">
      <alignment vertical="center"/>
    </xf>
    <xf numFmtId="0" fontId="37" fillId="0" borderId="0" xfId="1" applyFont="1" applyAlignment="1" applyProtection="1">
      <alignment horizontal="right" vertical="center" wrapText="1"/>
    </xf>
    <xf numFmtId="0" fontId="20" fillId="2" borderId="0" xfId="1" applyFont="1" applyFill="1" applyAlignment="1" applyProtection="1">
      <alignment horizontal="left" vertical="center"/>
    </xf>
    <xf numFmtId="0" fontId="20" fillId="2" borderId="0" xfId="1" applyFont="1" applyFill="1" applyAlignment="1" applyProtection="1">
      <alignment horizontal="left" vertical="center" indent="1"/>
    </xf>
    <xf numFmtId="0" fontId="22" fillId="2" borderId="0" xfId="1" applyFont="1" applyFill="1" applyAlignment="1" applyProtection="1">
      <alignment horizontal="left" vertical="center" wrapText="1"/>
    </xf>
    <xf numFmtId="0" fontId="22" fillId="0" borderId="0" xfId="1" applyFont="1" applyAlignment="1" applyProtection="1">
      <alignment vertical="top" wrapText="1"/>
    </xf>
    <xf numFmtId="0" fontId="21" fillId="0" borderId="0" xfId="1" applyFont="1" applyAlignment="1" applyProtection="1">
      <alignment vertical="top" wrapText="1"/>
    </xf>
    <xf numFmtId="0" fontId="23" fillId="11" borderId="0" xfId="1" applyFont="1" applyFill="1" applyAlignment="1" applyProtection="1">
      <alignment horizontal="center" vertical="center"/>
    </xf>
    <xf numFmtId="0" fontId="23" fillId="11" borderId="0" xfId="1" applyFont="1" applyFill="1" applyAlignment="1" applyProtection="1">
      <alignment horizontal="left" vertical="center" indent="1"/>
    </xf>
    <xf numFmtId="0" fontId="23" fillId="11" borderId="0" xfId="1" applyFont="1" applyFill="1" applyAlignment="1" applyProtection="1">
      <alignment vertical="center"/>
    </xf>
    <xf numFmtId="0" fontId="23" fillId="11" borderId="15" xfId="1" applyFont="1" applyFill="1" applyBorder="1" applyAlignment="1" applyProtection="1">
      <alignment horizontal="left" vertical="center"/>
    </xf>
    <xf numFmtId="0" fontId="23" fillId="11" borderId="0" xfId="1" applyFont="1" applyFill="1" applyAlignment="1" applyProtection="1">
      <alignment horizontal="left" vertical="center"/>
    </xf>
    <xf numFmtId="0" fontId="23" fillId="11" borderId="11" xfId="1" applyFont="1" applyFill="1" applyBorder="1" applyAlignment="1" applyProtection="1">
      <alignment horizontal="left" vertical="center"/>
    </xf>
    <xf numFmtId="0" fontId="24" fillId="2" borderId="0" xfId="1" applyFont="1" applyFill="1" applyAlignment="1" applyProtection="1">
      <alignment vertical="center"/>
    </xf>
    <xf numFmtId="0" fontId="25" fillId="2" borderId="0" xfId="1" applyFont="1" applyFill="1" applyAlignment="1" applyProtection="1">
      <alignment vertical="center"/>
    </xf>
    <xf numFmtId="0" fontId="23" fillId="11" borderId="0" xfId="1" applyFont="1" applyFill="1" applyAlignment="1" applyProtection="1">
      <alignment horizontal="center" vertical="center" wrapText="1"/>
    </xf>
    <xf numFmtId="0" fontId="23" fillId="11" borderId="34" xfId="1" applyFont="1" applyFill="1" applyBorder="1" applyAlignment="1" applyProtection="1">
      <alignment horizontal="center" vertical="center" wrapText="1"/>
    </xf>
    <xf numFmtId="0" fontId="23" fillId="11" borderId="35" xfId="1" applyFont="1" applyFill="1" applyBorder="1" applyAlignment="1" applyProtection="1">
      <alignment horizontal="center" vertical="center" wrapText="1"/>
    </xf>
    <xf numFmtId="0" fontId="23" fillId="11" borderId="36" xfId="1" applyFont="1" applyFill="1" applyBorder="1" applyAlignment="1" applyProtection="1">
      <alignment horizontal="center" vertical="center" wrapText="1"/>
    </xf>
    <xf numFmtId="0" fontId="22" fillId="2" borderId="26" xfId="1" applyFont="1" applyFill="1" applyBorder="1" applyAlignment="1" applyProtection="1">
      <alignment horizontal="center" vertical="center" wrapText="1"/>
    </xf>
    <xf numFmtId="0" fontId="22" fillId="2" borderId="27" xfId="1" applyFont="1" applyFill="1" applyBorder="1" applyAlignment="1" applyProtection="1">
      <alignment horizontal="center" vertical="center" wrapText="1"/>
    </xf>
    <xf numFmtId="0" fontId="22" fillId="2" borderId="27" xfId="1" applyFont="1" applyFill="1" applyBorder="1" applyAlignment="1" applyProtection="1">
      <alignment vertical="center" wrapText="1"/>
    </xf>
    <xf numFmtId="0" fontId="25" fillId="2" borderId="27" xfId="1" applyFont="1" applyFill="1" applyBorder="1" applyAlignment="1" applyProtection="1">
      <alignment horizontal="center" vertical="center" wrapText="1"/>
    </xf>
    <xf numFmtId="0" fontId="22" fillId="2" borderId="37" xfId="1" applyFont="1" applyFill="1" applyBorder="1" applyAlignment="1" applyProtection="1">
      <alignment horizontal="center" vertical="center" wrapText="1"/>
    </xf>
    <xf numFmtId="0" fontId="22" fillId="2" borderId="38" xfId="1" applyFont="1" applyFill="1" applyBorder="1" applyAlignment="1" applyProtection="1">
      <alignment horizontal="center" vertical="center" wrapText="1"/>
    </xf>
    <xf numFmtId="0" fontId="22" fillId="2" borderId="39" xfId="1" applyFont="1" applyFill="1" applyBorder="1" applyAlignment="1" applyProtection="1">
      <alignment horizontal="center" vertical="center" wrapText="1"/>
    </xf>
    <xf numFmtId="0" fontId="26" fillId="0" borderId="0" xfId="1" applyFont="1" applyAlignment="1" applyProtection="1">
      <alignment horizontal="left" vertical="top" wrapText="1"/>
    </xf>
    <xf numFmtId="0" fontId="24" fillId="2" borderId="0" xfId="1" applyFont="1" applyFill="1" applyAlignment="1" applyProtection="1">
      <alignment wrapText="1"/>
    </xf>
    <xf numFmtId="0" fontId="25" fillId="2" borderId="0" xfId="1" applyFont="1" applyFill="1" applyAlignment="1" applyProtection="1">
      <alignment wrapText="1"/>
    </xf>
    <xf numFmtId="0" fontId="22" fillId="2" borderId="29" xfId="1" applyFont="1" applyFill="1" applyBorder="1" applyAlignment="1" applyProtection="1">
      <alignment horizontal="center" vertical="center" wrapText="1"/>
    </xf>
    <xf numFmtId="0" fontId="22" fillId="2" borderId="30" xfId="1" applyFont="1" applyFill="1" applyBorder="1" applyAlignment="1" applyProtection="1">
      <alignment horizontal="center" vertical="center" wrapText="1"/>
    </xf>
    <xf numFmtId="0" fontId="22" fillId="2" borderId="30" xfId="1" applyFont="1" applyFill="1" applyBorder="1" applyAlignment="1" applyProtection="1">
      <alignment vertical="center" wrapText="1"/>
    </xf>
    <xf numFmtId="0" fontId="25" fillId="2" borderId="30" xfId="1" applyFont="1" applyFill="1" applyBorder="1" applyAlignment="1" applyProtection="1">
      <alignment horizontal="center" vertical="center" wrapText="1"/>
    </xf>
    <xf numFmtId="0" fontId="22" fillId="2" borderId="40" xfId="1" applyFont="1" applyFill="1" applyBorder="1" applyAlignment="1" applyProtection="1">
      <alignment horizontal="center" vertical="center" wrapText="1"/>
    </xf>
    <xf numFmtId="0" fontId="22" fillId="2" borderId="41" xfId="1" applyFont="1" applyFill="1" applyBorder="1" applyAlignment="1" applyProtection="1">
      <alignment horizontal="center" vertical="center" wrapText="1"/>
    </xf>
    <xf numFmtId="0" fontId="22" fillId="2" borderId="42" xfId="1" applyFont="1" applyFill="1" applyBorder="1" applyAlignment="1" applyProtection="1">
      <alignment horizontal="center" vertical="center" wrapText="1"/>
    </xf>
    <xf numFmtId="0" fontId="22" fillId="12" borderId="7" xfId="1" applyFont="1" applyFill="1" applyBorder="1" applyAlignment="1" applyProtection="1">
      <alignment horizontal="center" vertical="center" wrapText="1"/>
    </xf>
    <xf numFmtId="0" fontId="22" fillId="12" borderId="0" xfId="1" applyFont="1" applyFill="1" applyAlignment="1" applyProtection="1">
      <alignment horizontal="center" vertical="center" wrapText="1"/>
    </xf>
    <xf numFmtId="0" fontId="22" fillId="12" borderId="0" xfId="1" applyFont="1" applyFill="1" applyAlignment="1" applyProtection="1">
      <alignment vertical="center" wrapText="1"/>
    </xf>
    <xf numFmtId="0" fontId="25" fillId="12" borderId="0" xfId="1" applyFont="1" applyFill="1" applyAlignment="1" applyProtection="1">
      <alignment horizontal="left" vertical="center" wrapText="1"/>
    </xf>
    <xf numFmtId="0" fontId="43" fillId="12" borderId="34" xfId="1" applyFont="1" applyFill="1" applyBorder="1" applyAlignment="1" applyProtection="1">
      <alignment horizontal="center" vertical="center" wrapText="1"/>
    </xf>
    <xf numFmtId="0" fontId="43" fillId="12" borderId="35" xfId="1" applyFont="1" applyFill="1" applyBorder="1" applyAlignment="1" applyProtection="1">
      <alignment horizontal="center" vertical="center" wrapText="1"/>
    </xf>
    <xf numFmtId="0" fontId="43" fillId="12" borderId="36" xfId="1" applyFont="1" applyFill="1" applyBorder="1" applyAlignment="1" applyProtection="1">
      <alignment horizontal="center" vertical="center" wrapText="1"/>
    </xf>
    <xf numFmtId="0" fontId="26" fillId="0" borderId="0" xfId="1" applyFont="1" applyAlignment="1" applyProtection="1">
      <alignment vertical="center" wrapText="1"/>
    </xf>
    <xf numFmtId="0" fontId="0" fillId="0" borderId="0" xfId="0" applyProtection="1"/>
    <xf numFmtId="0" fontId="27" fillId="2" borderId="0" xfId="1" applyFont="1" applyFill="1" applyAlignment="1" applyProtection="1">
      <alignment horizontal="center" vertical="center" wrapText="1"/>
    </xf>
    <xf numFmtId="0" fontId="31" fillId="2" borderId="0" xfId="1" applyFont="1" applyFill="1" applyProtection="1"/>
    <xf numFmtId="0" fontId="32" fillId="2" borderId="0" xfId="1" applyFont="1" applyFill="1" applyProtection="1"/>
    <xf numFmtId="0" fontId="33" fillId="2" borderId="0" xfId="1" applyFont="1" applyFill="1" applyAlignment="1" applyProtection="1">
      <alignment vertical="center"/>
    </xf>
    <xf numFmtId="0" fontId="12" fillId="2" borderId="0" xfId="1" applyFont="1" applyFill="1" applyAlignment="1" applyProtection="1">
      <alignment vertical="center"/>
    </xf>
    <xf numFmtId="0" fontId="35" fillId="2" borderId="0" xfId="1" applyFont="1" applyFill="1" applyAlignment="1" applyProtection="1">
      <alignment vertical="center"/>
    </xf>
    <xf numFmtId="0" fontId="35" fillId="2" borderId="0" xfId="1" applyFont="1" applyFill="1" applyAlignment="1" applyProtection="1">
      <alignment horizontal="right" vertical="center"/>
    </xf>
  </cellXfs>
  <cellStyles count="4">
    <cellStyle name="Good" xfId="3" builtinId="26"/>
    <cellStyle name="Hyperlink" xfId="2" builtinId="8"/>
    <cellStyle name="Normal" xfId="0" builtinId="0"/>
    <cellStyle name="Normal 2" xfId="1" xr:uid="{00000000-0005-0000-0000-000003000000}"/>
  </cellStyles>
  <dxfs count="128">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font>
      <fill>
        <patternFill>
          <bgColor theme="0" tint="-0.14996795556505021"/>
        </patternFill>
      </fill>
    </dxf>
    <dxf>
      <font>
        <b/>
        <i/>
        <color rgb="FFFF0000"/>
      </font>
    </dxf>
    <dxf>
      <fill>
        <patternFill>
          <bgColor theme="0" tint="-0.14996795556505021"/>
        </patternFill>
      </fill>
    </dxf>
    <dxf>
      <font>
        <b/>
        <i val="0"/>
      </font>
      <fill>
        <patternFill>
          <bgColor theme="0" tint="-0.14996795556505021"/>
        </patternFill>
      </fill>
    </dxf>
    <dxf>
      <font>
        <b/>
        <i/>
        <color rgb="FFFF0000"/>
      </font>
    </dxf>
    <dxf>
      <fill>
        <patternFill>
          <bgColor theme="0" tint="-0.14996795556505021"/>
        </patternFill>
      </fill>
    </dxf>
    <dxf>
      <font>
        <b/>
        <i val="0"/>
      </font>
      <fill>
        <patternFill>
          <bgColor theme="0" tint="-0.14996795556505021"/>
        </patternFill>
      </fill>
    </dxf>
    <dxf>
      <font>
        <b/>
        <i/>
        <color rgb="FFFF0000"/>
      </font>
    </dxf>
    <dxf>
      <fill>
        <patternFill>
          <bgColor theme="0" tint="-0.14996795556505021"/>
        </patternFill>
      </fill>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numFmt numFmtId="19" formatCode="d/mm/yyyy"/>
      <alignment horizontal="general" vertical="center" textRotation="0" wrapText="0" indent="0" justifyLastLine="0" shrinkToFit="0" readingOrder="0"/>
    </dxf>
    <dxf>
      <numFmt numFmtId="19" formatCode="d/mm/yyyy"/>
      <alignment horizontal="general" vertical="center" textRotation="0" wrapText="0" indent="0" justifyLastLine="0" shrinkToFit="0" readingOrder="0"/>
    </dxf>
    <dxf>
      <numFmt numFmtId="0" formatCode="General"/>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numFmt numFmtId="0" formatCode="General"/>
      <alignment horizontal="center" vertical="center" textRotation="0" wrapText="0" indent="0" justifyLastLine="0" shrinkToFit="0" readingOrder="0"/>
      <border diagonalUp="0" diagonalDown="0">
        <left/>
        <right style="medium">
          <color indexed="64"/>
        </right>
        <top/>
        <bottom/>
        <vertical/>
        <horizontal/>
      </border>
    </dxf>
    <dxf>
      <numFmt numFmtId="0" formatCode="General"/>
      <alignment horizontal="general" vertical="center" textRotation="0" wrapText="0" indent="0" justifyLastLine="0" shrinkToFit="0" readingOrder="0"/>
    </dxf>
    <dxf>
      <numFmt numFmtId="0" formatCode="General"/>
      <alignment horizontal="center" vertical="center" textRotation="0" wrapText="0" indent="0" justifyLastLine="0" shrinkToFit="0" readingOrder="0"/>
    </dxf>
    <dxf>
      <numFmt numFmtId="0" formatCode="General"/>
      <alignment horizontal="center" vertical="center" textRotation="0" wrapText="0" indent="0" justifyLastLine="0" shrinkToFit="0" readingOrder="0"/>
    </dxf>
    <dxf>
      <numFmt numFmtId="0" formatCode="General"/>
      <alignment horizontal="general" vertical="center" textRotation="0" wrapText="0" indent="0" justifyLastLine="0" shrinkToFit="0" readingOrder="0"/>
      <border diagonalUp="0" diagonalDown="0">
        <left style="medium">
          <color indexed="64"/>
        </left>
        <right/>
        <top/>
        <bottom/>
        <vertical/>
        <horizontal/>
      </border>
    </dxf>
    <dxf>
      <border outline="0">
        <left style="medium">
          <color indexed="64"/>
        </left>
      </border>
    </dxf>
    <dxf>
      <alignment horizontal="general" vertical="center" textRotation="0" wrapText="0" indent="0" justifyLastLine="0" shrinkToFit="0" readingOrder="0"/>
    </dxf>
    <dxf>
      <alignment horizontal="general" vertical="center" textRotation="0" wrapText="0" indent="0" justifyLastLine="0" shrinkToFit="0" readingOrder="0"/>
    </dxf>
    <dxf>
      <numFmt numFmtId="19" formatCode="d/mm/yyyy"/>
      <alignment horizontal="general" vertical="center" textRotation="0" wrapText="0" indent="0" justifyLastLine="0" shrinkToFit="0" readingOrder="0"/>
    </dxf>
    <dxf>
      <numFmt numFmtId="19" formatCode="d/mm/yyyy"/>
      <alignment horizontal="general" vertical="center" textRotation="0" wrapText="0" indent="0" justifyLastLine="0" shrinkToFit="0" readingOrder="0"/>
    </dxf>
    <dxf>
      <numFmt numFmtId="0" formatCode="General"/>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numFmt numFmtId="0" formatCode="General"/>
      <alignment horizontal="center" vertical="center" textRotation="0" wrapText="0" indent="0" justifyLastLine="0" shrinkToFit="0" readingOrder="0"/>
      <border diagonalUp="0" diagonalDown="0">
        <left/>
        <right style="medium">
          <color indexed="64"/>
        </right>
        <top/>
        <bottom/>
        <vertical/>
        <horizontal/>
      </border>
    </dxf>
    <dxf>
      <numFmt numFmtId="0" formatCode="General"/>
      <alignment horizontal="general" vertical="center" textRotation="0" wrapText="0" indent="0" justifyLastLine="0" shrinkToFit="0" readingOrder="0"/>
    </dxf>
    <dxf>
      <numFmt numFmtId="0" formatCode="General"/>
      <alignment horizontal="center" vertical="center" textRotation="0" wrapText="0" indent="0" justifyLastLine="0" shrinkToFit="0" readingOrder="0"/>
    </dxf>
    <dxf>
      <numFmt numFmtId="0" formatCode="General"/>
      <alignment horizontal="center" vertical="center" textRotation="0" wrapText="0" indent="0" justifyLastLine="0" shrinkToFit="0" readingOrder="0"/>
    </dxf>
    <dxf>
      <numFmt numFmtId="0" formatCode="General"/>
      <alignment horizontal="general" vertical="center" textRotation="0" wrapText="0" indent="0" justifyLastLine="0" shrinkToFit="0" readingOrder="0"/>
      <border diagonalUp="0" diagonalDown="0">
        <left style="medium">
          <color indexed="64"/>
        </left>
        <right/>
        <top/>
        <bottom/>
        <vertical/>
        <horizontal/>
      </border>
    </dxf>
    <dxf>
      <border outline="0">
        <left style="medium">
          <color indexed="64"/>
        </left>
      </border>
    </dxf>
    <dxf>
      <alignment horizontal="general" vertical="center" textRotation="0" wrapText="0" indent="0" justifyLastLine="0" shrinkToFit="0" readingOrder="0"/>
    </dxf>
    <dxf>
      <alignment horizontal="general" vertical="center" textRotation="0" wrapText="0" indent="0" justifyLastLine="0" shrinkToFit="0" readingOrder="0"/>
    </dxf>
    <dxf>
      <numFmt numFmtId="19" formatCode="d/mm/yyyy"/>
      <alignment horizontal="general" vertical="center" textRotation="0" wrapText="0" indent="0" justifyLastLine="0" shrinkToFit="0" readingOrder="0"/>
    </dxf>
    <dxf>
      <numFmt numFmtId="19" formatCode="d/mm/yyyy"/>
      <alignment horizontal="general" vertical="center" textRotation="0" wrapText="0" indent="0" justifyLastLine="0" shrinkToFit="0" readingOrder="0"/>
    </dxf>
    <dxf>
      <numFmt numFmtId="0" formatCode="General"/>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numFmt numFmtId="0" formatCode="General"/>
      <alignment horizontal="center" vertical="center" textRotation="0" wrapText="0" indent="0" justifyLastLine="0" shrinkToFit="0" readingOrder="0"/>
      <border diagonalUp="0" diagonalDown="0">
        <left/>
        <right style="medium">
          <color indexed="64"/>
        </right>
        <top/>
        <bottom/>
        <vertical/>
        <horizontal/>
      </border>
    </dxf>
    <dxf>
      <numFmt numFmtId="0" formatCode="General"/>
      <alignment horizontal="general" vertical="center" textRotation="0" wrapText="0" indent="0" justifyLastLine="0" shrinkToFit="0" readingOrder="0"/>
    </dxf>
    <dxf>
      <numFmt numFmtId="0" formatCode="General"/>
      <alignment horizontal="center" vertical="center" textRotation="0" wrapText="0" indent="0" justifyLastLine="0" shrinkToFit="0" readingOrder="0"/>
    </dxf>
    <dxf>
      <numFmt numFmtId="0" formatCode="General"/>
      <alignment horizontal="center" vertical="center" textRotation="0" wrapText="0" indent="0" justifyLastLine="0" shrinkToFit="0" readingOrder="0"/>
    </dxf>
    <dxf>
      <numFmt numFmtId="0" formatCode="General"/>
      <alignment horizontal="general" vertical="center" textRotation="0" wrapText="0" indent="0" justifyLastLine="0" shrinkToFit="0" readingOrder="0"/>
      <border diagonalUp="0" diagonalDown="0">
        <left style="medium">
          <color indexed="64"/>
        </left>
        <right/>
        <top/>
        <bottom/>
        <vertical/>
        <horizontal/>
      </border>
    </dxf>
    <dxf>
      <border outline="0">
        <left style="medium">
          <color indexed="64"/>
        </left>
      </border>
    </dxf>
    <dxf>
      <alignment horizontal="general" vertical="center" textRotation="0" wrapText="0" indent="0" justifyLastLine="0" shrinkToFit="0" readingOrder="0"/>
    </dxf>
    <dxf>
      <alignment horizontal="general" vertical="center" textRotation="0" wrapText="0" indent="0" justifyLastLine="0" shrinkToFit="0" readingOrder="0"/>
    </dxf>
    <dxf>
      <numFmt numFmtId="19" formatCode="d/mm/yyyy"/>
      <alignment horizontal="general" vertical="center" textRotation="0" wrapText="0" indent="0" justifyLastLine="0" shrinkToFit="0" readingOrder="0"/>
    </dxf>
    <dxf>
      <numFmt numFmtId="19" formatCode="d/mm/yyyy"/>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border outline="0">
        <left style="medium">
          <color indexed="64"/>
        </left>
      </border>
    </dxf>
    <dxf>
      <numFmt numFmtId="0" formatCode="General"/>
      <alignment horizontal="center" vertical="center" textRotation="0" wrapText="0" indent="0" justifyLastLine="0" shrinkToFit="0" readingOrder="0"/>
      <border diagonalUp="0" diagonalDown="0">
        <left/>
        <right style="medium">
          <color indexed="64"/>
        </right>
        <top/>
        <bottom/>
        <vertical/>
        <horizontal/>
      </border>
    </dxf>
    <dxf>
      <numFmt numFmtId="0" formatCode="General"/>
      <alignment vertical="center" textRotation="0" wrapText="0" indent="0" justifyLastLine="0" shrinkToFit="0" readingOrder="0"/>
    </dxf>
    <dxf>
      <numFmt numFmtId="0" formatCode="General"/>
      <alignment horizontal="center" vertical="center" textRotation="0" wrapText="0" indent="0" justifyLastLine="0" shrinkToFit="0" readingOrder="0"/>
    </dxf>
    <dxf>
      <numFmt numFmtId="0" formatCode="General"/>
      <alignment horizontal="center" vertical="center" textRotation="0" wrapText="0" indent="0" justifyLastLine="0" shrinkToFit="0" readingOrder="0"/>
    </dxf>
    <dxf>
      <alignment vertical="center" textRotation="0" wrapText="0" indent="0" justifyLastLine="0" shrinkToFit="0" readingOrder="0"/>
      <border diagonalUp="0" diagonalDown="0">
        <left style="medium">
          <color indexed="64"/>
        </left>
        <right/>
        <top/>
        <bottom/>
        <vertical/>
        <horizontal/>
      </border>
    </dxf>
    <dxf>
      <alignment vertical="center" textRotation="0" wrapText="0" indent="0" justifyLastLine="0" shrinkToFit="0" readingOrder="0"/>
    </dxf>
    <dxf>
      <alignment vertical="center"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alignment horizontal="general" vertical="bottom" textRotation="0" wrapText="1" indent="0" justifyLastLine="0" shrinkToFit="0" readingOrder="0"/>
    </dxf>
    <dxf>
      <font>
        <strike val="0"/>
        <outline val="0"/>
        <shadow val="0"/>
        <u val="none"/>
        <vertAlign val="baseline"/>
        <sz val="10"/>
        <color theme="1"/>
        <name val="Arial"/>
        <scheme val="none"/>
      </font>
      <fill>
        <patternFill patternType="solid">
          <fgColor indexed="64"/>
          <bgColor theme="4"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4"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4"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4"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5" tint="0.79998168889431442"/>
        </patternFill>
      </fill>
    </dxf>
    <dxf>
      <font>
        <strike val="0"/>
        <outline val="0"/>
        <shadow val="0"/>
        <u val="none"/>
        <vertAlign val="baseline"/>
        <sz val="10"/>
        <color theme="1"/>
        <name val="Arial"/>
        <scheme val="none"/>
      </font>
      <alignment horizontal="center" vertical="bottom" textRotation="0" wrapText="0" indent="0" justifyLastLine="0" shrinkToFit="0" readingOrder="0"/>
    </dxf>
    <dxf>
      <font>
        <strike val="0"/>
        <outline val="0"/>
        <shadow val="0"/>
        <u val="none"/>
        <vertAlign val="baseline"/>
        <sz val="10"/>
        <color theme="1"/>
        <name val="Arial"/>
        <scheme val="none"/>
      </font>
    </dxf>
    <dxf>
      <font>
        <strike val="0"/>
        <outline val="0"/>
        <shadow val="0"/>
        <u val="none"/>
        <vertAlign val="baseline"/>
        <sz val="10"/>
        <color theme="1"/>
        <name val="Arial"/>
        <scheme val="none"/>
      </font>
      <alignment horizontal="center" vertical="bottom" textRotation="0" wrapText="0" indent="0" justifyLastLine="0" shrinkToFit="0" readingOrder="0"/>
    </dxf>
    <dxf>
      <font>
        <strike val="0"/>
        <outline val="0"/>
        <shadow val="0"/>
        <u val="none"/>
        <vertAlign val="baseline"/>
        <sz val="10"/>
        <color theme="1"/>
        <name val="Arial"/>
        <scheme val="none"/>
      </font>
      <alignment horizontal="center" vertical="bottom" textRotation="0" wrapText="0" indent="0" justifyLastLine="0" shrinkToFit="0" readingOrder="0"/>
    </dxf>
    <dxf>
      <font>
        <strike val="0"/>
        <outline val="0"/>
        <shadow val="0"/>
        <u val="none"/>
        <vertAlign val="baseline"/>
        <sz val="10"/>
        <color theme="1"/>
        <name val="Arial"/>
        <scheme val="none"/>
      </font>
    </dxf>
    <dxf>
      <font>
        <strike val="0"/>
        <outline val="0"/>
        <shadow val="0"/>
        <u val="none"/>
        <vertAlign val="baseline"/>
        <sz val="10"/>
        <color theme="1"/>
        <name val="Arial"/>
        <scheme val="none"/>
      </font>
    </dxf>
    <dxf>
      <font>
        <strike val="0"/>
        <outline val="0"/>
        <shadow val="0"/>
        <u val="none"/>
        <vertAlign val="baseline"/>
        <sz val="10"/>
        <color theme="1"/>
        <name val="Arial"/>
        <scheme val="none"/>
      </font>
      <alignment horizontal="left" vertical="bottom" textRotation="0" wrapText="0" indent="0" justifyLastLine="0" shrinkToFit="0" readingOrder="0"/>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numFmt numFmtId="0" formatCode="General"/>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dxf>
    <dxf>
      <font>
        <b val="0"/>
        <i val="0"/>
        <strike val="0"/>
        <condense val="0"/>
        <extend val="0"/>
        <outline val="0"/>
        <shadow val="0"/>
        <u val="none"/>
        <vertAlign val="baseline"/>
        <sz val="10"/>
        <color theme="1"/>
        <name val="Arial"/>
        <scheme val="none"/>
      </font>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numFmt numFmtId="0" formatCode="General"/>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numFmt numFmtId="19" formatCode="d/mm/yyyy"/>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dxf>
    <dxf>
      <font>
        <b val="0"/>
        <i val="0"/>
        <strike val="0"/>
        <condense val="0"/>
        <extend val="0"/>
        <outline val="0"/>
        <shadow val="0"/>
        <u val="none"/>
        <vertAlign val="baseline"/>
        <sz val="10"/>
        <color theme="1"/>
        <name val="Arial"/>
        <scheme val="none"/>
      </font>
    </dxf>
  </dxfs>
  <tableStyles count="0" defaultTableStyle="TableStyleMedium2" defaultPivotStyle="PivotStyleLight16"/>
  <colors>
    <mruColors>
      <color rgb="FFF49AC1"/>
      <color rgb="FFB4FFFF"/>
      <color rgb="FF0D4B6D"/>
      <color rgb="FF919296"/>
      <color rgb="FFF2F2F2"/>
      <color rgb="FFB4C6E7"/>
      <color rgb="FFFFE699"/>
      <color rgb="FF808080"/>
      <color rgb="FFD1D2D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hyperlink" Target="https://students.connect.curtin.edu.au/app/contact/session/L3RpbWUvMTYzODE2Mjc5Ni9zaWQvZlU4N1lreWpQTThxTG00eW9qZkczRmF1OU9SZUNydEhiUjFTSjJWX1J0RTduS0tON1hEY3RESDNxNSU3RWVCSTk5Rzg4dU1Fb05VMHFKek94RWRRVVNLUzdIdFJNMSU3RVZ6ZEx1MDNHNnlxUXpwcDRTelc3ZDRjUkpwUSUy" TargetMode="External"/><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hyperlink" Target="https://students.connect.curtin.edu.au/app/contact/session/L3RpbWUvMTYzODE2Mjc5Ni9zaWQvZlU4N1lreWpQTThxTG00eW9qZkczRmF1OU9SZUNydEhiUjFTSjJWX1J0RTduS0tON1hEY3RESDNxNSU3RWVCSTk5Rzg4dU1Fb05VMHFKek94RWRRVVNLUzdIdFJNMSU3RVZ6ZEx1MDNHNnlxUXpwcDRTelc3ZDRjUkpwUSUy" TargetMode="External"/><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hyperlink" Target="https://students.connect.curtin.edu.au/app/contact/session/L3RpbWUvMTYzODE2Mjc5Ni9zaWQvZlU4N1lreWpQTThxTG00eW9qZkczRmF1OU9SZUNydEhiUjFTSjJWX1J0RTduS0tON1hEY3RESDNxNSU3RWVCSTk5Rzg4dU1Fb05VMHFKek94RWRRVVNLUzdIdFJNMSU3RVZ6ZEx1MDNHNnlxUXpwcDRTelc3ZDRjUkpwUSUy" TargetMode="External"/><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8</xdr:col>
      <xdr:colOff>314325</xdr:colOff>
      <xdr:row>1</xdr:row>
      <xdr:rowOff>76199</xdr:rowOff>
    </xdr:from>
    <xdr:to>
      <xdr:col>11</xdr:col>
      <xdr:colOff>1115290</xdr:colOff>
      <xdr:row>1</xdr:row>
      <xdr:rowOff>409574</xdr:rowOff>
    </xdr:to>
    <xdr:pic>
      <xdr:nvPicPr>
        <xdr:cNvPr id="3" name="Picture 2" title="Curtin University logo">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7410450" y="266699"/>
          <a:ext cx="1858240"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13</xdr:col>
      <xdr:colOff>209551</xdr:colOff>
      <xdr:row>2</xdr:row>
      <xdr:rowOff>19050</xdr:rowOff>
    </xdr:from>
    <xdr:ext cx="5791199" cy="4518225"/>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11020426" y="523875"/>
          <a:ext cx="5791199" cy="4518225"/>
        </a:xfrm>
        <a:prstGeom prst="rect">
          <a:avLst/>
        </a:prstGeom>
        <a:solidFill>
          <a:schemeClr val="bg1">
            <a:lumMod val="8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algn="ctr"/>
          <a:r>
            <a:rPr lang="en-AU" sz="1100" b="1" u="sng">
              <a:latin typeface="+mn-lt"/>
              <a:ea typeface="Segoe UI" panose="020B0502040204020203" pitchFamily="34" charset="0"/>
              <a:cs typeface="Segoe UI" panose="020B0502040204020203" pitchFamily="34" charset="0"/>
            </a:rPr>
            <a:t>Enrolment Guidelines</a:t>
          </a:r>
        </a:p>
        <a:p>
          <a:pPr algn="ctr"/>
          <a:endParaRPr lang="en-AU" sz="1100" b="1">
            <a:latin typeface="+mn-lt"/>
            <a:ea typeface="Segoe UI" panose="020B0502040204020203" pitchFamily="34" charset="0"/>
            <a:cs typeface="Segoe UI" panose="020B0502040204020203" pitchFamily="34" charset="0"/>
          </a:endParaRPr>
        </a:p>
        <a:p>
          <a:pPr algn="ctr"/>
          <a:r>
            <a:rPr lang="en-AU" sz="1100" b="1">
              <a:solidFill>
                <a:schemeClr val="accent5"/>
              </a:solidFill>
              <a:latin typeface="+mn-lt"/>
              <a:ea typeface="Segoe UI" panose="020B0502040204020203" pitchFamily="34" charset="0"/>
              <a:cs typeface="Segoe UI" panose="020B0502040204020203" pitchFamily="34" charset="0"/>
            </a:rPr>
            <a:t>Master of Urban and Regional Planning (OpenUnis)</a:t>
          </a:r>
        </a:p>
        <a:p>
          <a:endParaRPr lang="en-AU" sz="1100">
            <a:solidFill>
              <a:schemeClr val="dk1"/>
            </a:solidFill>
            <a:effectLst/>
            <a:latin typeface="+mn-lt"/>
            <a:ea typeface="+mn-ea"/>
            <a:cs typeface="+mn-cs"/>
          </a:endParaRPr>
        </a:p>
        <a:p>
          <a:pPr algn="ctr"/>
          <a:r>
            <a:rPr lang="en-AU" sz="1100" i="1">
              <a:solidFill>
                <a:schemeClr val="dk1"/>
              </a:solidFill>
              <a:effectLst/>
              <a:latin typeface="+mn-lt"/>
              <a:ea typeface="+mn-ea"/>
              <a:cs typeface="+mn-cs"/>
            </a:rPr>
            <a:t>Use the drop-down list</a:t>
          </a:r>
          <a:r>
            <a:rPr lang="en-AU" sz="1100" i="1" baseline="0">
              <a:solidFill>
                <a:schemeClr val="dk1"/>
              </a:solidFill>
              <a:effectLst/>
              <a:latin typeface="+mn-lt"/>
              <a:ea typeface="+mn-ea"/>
              <a:cs typeface="+mn-cs"/>
            </a:rPr>
            <a:t> to select your </a:t>
          </a:r>
          <a:r>
            <a:rPr lang="en-AU" sz="1100" b="1" i="1" baseline="0">
              <a:solidFill>
                <a:schemeClr val="dk1"/>
              </a:solidFill>
              <a:effectLst/>
              <a:latin typeface="+mn-lt"/>
              <a:ea typeface="+mn-ea"/>
              <a:cs typeface="+mn-cs"/>
            </a:rPr>
            <a:t>Commencing Study Period</a:t>
          </a:r>
          <a:r>
            <a:rPr lang="en-AU" sz="1100" i="1" baseline="0">
              <a:solidFill>
                <a:schemeClr val="dk1"/>
              </a:solidFill>
              <a:effectLst/>
              <a:latin typeface="+mn-lt"/>
              <a:ea typeface="+mn-ea"/>
              <a:cs typeface="+mn-cs"/>
            </a:rPr>
            <a:t>.</a:t>
          </a:r>
        </a:p>
        <a:p>
          <a:endParaRPr lang="en-AU" sz="1100">
            <a:solidFill>
              <a:schemeClr val="dk1"/>
            </a:solidFill>
            <a:effectLst/>
            <a:latin typeface="+mn-lt"/>
            <a:ea typeface="+mn-ea"/>
            <a:cs typeface="+mn-cs"/>
          </a:endParaRPr>
        </a:p>
        <a:p>
          <a:r>
            <a:rPr lang="en-AU" sz="1100">
              <a:solidFill>
                <a:schemeClr val="dk1"/>
              </a:solidFill>
              <a:effectLst/>
              <a:latin typeface="+mn-lt"/>
              <a:ea typeface="+mn-ea"/>
              <a:cs typeface="+mn-cs"/>
            </a:rPr>
            <a:t>This planner shows the recommended sequence of </a:t>
          </a:r>
          <a:r>
            <a:rPr lang="en-AU" sz="1100" b="1">
              <a:solidFill>
                <a:schemeClr val="dk1"/>
              </a:solidFill>
              <a:effectLst/>
              <a:latin typeface="+mn-lt"/>
              <a:ea typeface="+mn-ea"/>
              <a:cs typeface="+mn-cs"/>
            </a:rPr>
            <a:t>full-time study </a:t>
          </a:r>
          <a:r>
            <a:rPr lang="en-AU" sz="1100">
              <a:solidFill>
                <a:schemeClr val="dk1"/>
              </a:solidFill>
              <a:effectLst/>
              <a:latin typeface="+mn-lt"/>
              <a:ea typeface="+mn-ea"/>
              <a:cs typeface="+mn-cs"/>
            </a:rPr>
            <a:t>based on your study period of commencement. The standard full-time study load is </a:t>
          </a:r>
          <a:r>
            <a:rPr lang="en-AU" sz="1100" b="1">
              <a:solidFill>
                <a:schemeClr val="dk1"/>
              </a:solidFill>
              <a:effectLst/>
              <a:latin typeface="+mn-lt"/>
              <a:ea typeface="+mn-ea"/>
              <a:cs typeface="+mn-cs"/>
            </a:rPr>
            <a:t>2 subjects per study period</a:t>
          </a:r>
          <a:r>
            <a:rPr lang="en-AU" sz="1100">
              <a:solidFill>
                <a:schemeClr val="dk1"/>
              </a:solidFill>
              <a:effectLst/>
              <a:latin typeface="+mn-lt"/>
              <a:ea typeface="+mn-ea"/>
              <a:cs typeface="+mn-cs"/>
            </a:rPr>
            <a:t>. Subjects may not be offered in every study period and may not be available at the time that you wish to study them. Your progression in the degree may be affected if you do not follow the recommended sequence of enrolment.</a:t>
          </a:r>
        </a:p>
        <a:p>
          <a:endParaRPr lang="en-AU" sz="1100">
            <a:solidFill>
              <a:schemeClr val="dk1"/>
            </a:solidFill>
            <a:effectLst/>
            <a:latin typeface="+mn-lt"/>
            <a:ea typeface="+mn-ea"/>
            <a:cs typeface="+mn-cs"/>
          </a:endParaRPr>
        </a:p>
        <a:p>
          <a:r>
            <a:rPr lang="en-AU" sz="1100" b="0" i="0">
              <a:solidFill>
                <a:schemeClr val="dk1"/>
              </a:solidFill>
              <a:effectLst/>
              <a:latin typeface="+mn-lt"/>
              <a:ea typeface="+mn-ea"/>
              <a:cs typeface="+mn-cs"/>
            </a:rPr>
            <a:t>If you wish to enrol in a part-time load</a:t>
          </a:r>
          <a:r>
            <a:rPr lang="en-AU" sz="1100" b="0" i="0" baseline="0">
              <a:solidFill>
                <a:schemeClr val="dk1"/>
              </a:solidFill>
              <a:effectLst/>
              <a:latin typeface="+mn-lt"/>
              <a:ea typeface="+mn-ea"/>
              <a:cs typeface="+mn-cs"/>
            </a:rPr>
            <a:t>, </a:t>
          </a:r>
          <a:r>
            <a:rPr lang="en-AU" sz="1100" b="0" i="0">
              <a:solidFill>
                <a:schemeClr val="dk1"/>
              </a:solidFill>
              <a:effectLst/>
              <a:latin typeface="+mn-lt"/>
              <a:ea typeface="+mn-ea"/>
              <a:cs typeface="+mn-cs"/>
            </a:rPr>
            <a:t>or have CRL Approval</a:t>
          </a:r>
          <a:r>
            <a:rPr lang="en-AU" sz="1100" b="0" i="0" baseline="0">
              <a:solidFill>
                <a:schemeClr val="dk1"/>
              </a:solidFill>
              <a:effectLst/>
              <a:latin typeface="+mn-lt"/>
              <a:ea typeface="+mn-ea"/>
              <a:cs typeface="+mn-cs"/>
            </a:rPr>
            <a:t>, </a:t>
          </a:r>
          <a:r>
            <a:rPr lang="en-AU" sz="1100">
              <a:solidFill>
                <a:schemeClr val="dk1"/>
              </a:solidFill>
              <a:effectLst/>
              <a:latin typeface="+mn-lt"/>
              <a:ea typeface="+mn-ea"/>
              <a:cs typeface="+mn-cs"/>
            </a:rPr>
            <a:t>please contact your Course Coordinator (Email - urbanandregionalplanning@curtin.edu.au) to develop an ad hoc study plan.</a:t>
          </a:r>
        </a:p>
        <a:p>
          <a:endParaRPr lang="en-AU" sz="1100">
            <a:solidFill>
              <a:schemeClr val="dk1"/>
            </a:solidFill>
            <a:effectLst/>
            <a:latin typeface="+mn-lt"/>
            <a:ea typeface="+mn-ea"/>
            <a:cs typeface="+mn-cs"/>
          </a:endParaRPr>
        </a:p>
        <a:p>
          <a:r>
            <a:rPr lang="en-AU" sz="1100" b="1">
              <a:solidFill>
                <a:schemeClr val="dk1"/>
              </a:solidFill>
              <a:effectLst/>
              <a:latin typeface="+mn-lt"/>
              <a:ea typeface="+mn-ea"/>
              <a:cs typeface="+mn-cs"/>
            </a:rPr>
            <a:t>Pre-requisites</a:t>
          </a:r>
        </a:p>
        <a:p>
          <a:r>
            <a:rPr lang="en-AU" sz="1100">
              <a:solidFill>
                <a:schemeClr val="dk1"/>
              </a:solidFill>
              <a:effectLst/>
              <a:latin typeface="+mn-lt"/>
              <a:ea typeface="+mn-ea"/>
              <a:cs typeface="+mn-cs"/>
            </a:rPr>
            <a:t>Pre-requisite units denoted by * can be enrolled concurrently in the same study period if required by the Enrolment Planner's specified sequence. </a:t>
          </a:r>
        </a:p>
        <a:p>
          <a:endParaRPr lang="en-AU" sz="1100">
            <a:solidFill>
              <a:schemeClr val="dk1"/>
            </a:solidFill>
            <a:effectLst/>
            <a:latin typeface="+mn-lt"/>
            <a:ea typeface="+mn-ea"/>
            <a:cs typeface="+mn-cs"/>
          </a:endParaRPr>
        </a:p>
        <a:p>
          <a:r>
            <a:rPr lang="en-AU" sz="1100" b="1">
              <a:solidFill>
                <a:schemeClr val="dk1"/>
              </a:solidFill>
              <a:effectLst/>
              <a:latin typeface="+mn-lt"/>
              <a:ea typeface="+mn-ea"/>
              <a:cs typeface="+mn-cs"/>
            </a:rPr>
            <a:t>Need more support?</a:t>
          </a:r>
          <a:r>
            <a:rPr lang="en-AU" sz="1100" b="0">
              <a:solidFill>
                <a:schemeClr val="dk1"/>
              </a:solidFill>
              <a:effectLst/>
              <a:latin typeface="+mn-lt"/>
              <a:ea typeface="+mn-ea"/>
              <a:cs typeface="+mn-cs"/>
            </a:rPr>
            <a:t> </a:t>
          </a:r>
          <a:endParaRPr lang="en-AU" sz="1100">
            <a:effectLst/>
            <a:latin typeface="+mn-lt"/>
          </a:endParaRPr>
        </a:p>
        <a:p>
          <a:r>
            <a:rPr lang="en-AU" sz="1100" b="0">
              <a:solidFill>
                <a:schemeClr val="dk1"/>
              </a:solidFill>
              <a:effectLst/>
              <a:latin typeface="+mn-lt"/>
              <a:ea typeface="+mn-ea"/>
              <a:cs typeface="+mn-cs"/>
            </a:rPr>
            <a:t>This</a:t>
          </a:r>
          <a:r>
            <a:rPr lang="en-AU" sz="1100" b="0" baseline="0">
              <a:solidFill>
                <a:schemeClr val="dk1"/>
              </a:solidFill>
              <a:effectLst/>
              <a:latin typeface="+mn-lt"/>
              <a:ea typeface="+mn-ea"/>
              <a:cs typeface="+mn-cs"/>
            </a:rPr>
            <a:t> planner is designed to be used in conjunction with the information provided by Curtin Connect on the </a:t>
          </a:r>
          <a:r>
            <a:rPr lang="en-AU" sz="1100" b="0">
              <a:solidFill>
                <a:schemeClr val="dk1"/>
              </a:solidFill>
              <a:effectLst/>
              <a:latin typeface="+mn-lt"/>
              <a:ea typeface="+mn-ea"/>
              <a:cs typeface="+mn-cs"/>
            </a:rPr>
            <a:t>Student Essentials webpages. If you have any questions regarding your enrolment, please contact</a:t>
          </a:r>
          <a:r>
            <a:rPr lang="en-AU" sz="1100" b="0" baseline="0">
              <a:solidFill>
                <a:schemeClr val="dk1"/>
              </a:solidFill>
              <a:effectLst/>
              <a:latin typeface="+mn-lt"/>
              <a:ea typeface="+mn-ea"/>
              <a:cs typeface="+mn-cs"/>
            </a:rPr>
            <a:t> Curtin Connect.</a:t>
          </a:r>
        </a:p>
        <a:p>
          <a:endParaRPr lang="en-AU" sz="1100" b="0" baseline="0">
            <a:solidFill>
              <a:schemeClr val="dk1"/>
            </a:solidFill>
            <a:effectLst/>
            <a:latin typeface="+mn-lt"/>
            <a:ea typeface="+mn-ea"/>
            <a:cs typeface="+mn-cs"/>
          </a:endParaRPr>
        </a:p>
        <a:p>
          <a:pPr algn="ctr" rtl="0" fontAlgn="base"/>
          <a:r>
            <a:rPr lang="en-AU" sz="1100" b="1" i="0">
              <a:solidFill>
                <a:schemeClr val="dk1"/>
              </a:solidFill>
              <a:effectLst/>
              <a:latin typeface="+mn-lt"/>
              <a:ea typeface="+mn-ea"/>
              <a:cs typeface="+mn-cs"/>
            </a:rPr>
            <a:t>Note:</a:t>
          </a:r>
          <a:endParaRPr lang="en-AU">
            <a:effectLst/>
          </a:endParaRPr>
        </a:p>
        <a:p>
          <a:pPr algn="ctr" rtl="0" fontAlgn="base"/>
          <a:r>
            <a:rPr lang="en-AU" sz="800" b="0" i="0" baseline="0">
              <a:solidFill>
                <a:schemeClr val="dk1"/>
              </a:solidFill>
              <a:effectLst/>
              <a:latin typeface="+mn-lt"/>
              <a:ea typeface="+mn-ea"/>
              <a:cs typeface="+mn-cs"/>
            </a:rPr>
            <a:t>CP = Credit Points; SP = Study Period</a:t>
          </a:r>
          <a:endParaRPr lang="en-AU" sz="800">
            <a:effectLst/>
          </a:endParaRPr>
        </a:p>
      </xdr:txBody>
    </xdr:sp>
    <xdr:clientData/>
  </xdr:oneCellAnchor>
  <xdr:twoCellAnchor>
    <xdr:from>
      <xdr:col>18</xdr:col>
      <xdr:colOff>152400</xdr:colOff>
      <xdr:row>1</xdr:row>
      <xdr:rowOff>201625</xdr:rowOff>
    </xdr:from>
    <xdr:to>
      <xdr:col>21</xdr:col>
      <xdr:colOff>514350</xdr:colOff>
      <xdr:row>2</xdr:row>
      <xdr:rowOff>19049</xdr:rowOff>
    </xdr:to>
    <xdr:sp macro="" textlink="">
      <xdr:nvSpPr>
        <xdr:cNvPr id="6" name="TextBox 5">
          <a:hlinkClick xmlns:r="http://schemas.openxmlformats.org/officeDocument/2006/relationships" r:id="rId2"/>
          <a:extLst>
            <a:ext uri="{FF2B5EF4-FFF2-40B4-BE49-F238E27FC236}">
              <a16:creationId xmlns:a16="http://schemas.microsoft.com/office/drawing/2014/main" id="{00000000-0008-0000-0000-000006000000}"/>
            </a:ext>
          </a:extLst>
        </xdr:cNvPr>
        <xdr:cNvSpPr txBox="1"/>
      </xdr:nvSpPr>
      <xdr:spPr>
        <a:xfrm>
          <a:off x="14173200" y="201625"/>
          <a:ext cx="2419350" cy="322249"/>
        </a:xfrm>
        <a:prstGeom prst="rect">
          <a:avLst/>
        </a:prstGeom>
        <a:solidFill>
          <a:schemeClr val="bg1">
            <a:lumMod val="6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Curtin Connect website</a:t>
          </a: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13</xdr:col>
      <xdr:colOff>228601</xdr:colOff>
      <xdr:row>2</xdr:row>
      <xdr:rowOff>9526</xdr:rowOff>
    </xdr:from>
    <xdr:ext cx="5791199" cy="3876318"/>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0820401" y="514351"/>
          <a:ext cx="5791199" cy="3876318"/>
        </a:xfrm>
        <a:prstGeom prst="rect">
          <a:avLst/>
        </a:prstGeom>
        <a:solidFill>
          <a:schemeClr val="bg1">
            <a:lumMod val="8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algn="ctr"/>
          <a:r>
            <a:rPr lang="en-AU" sz="1000" b="1" u="sng">
              <a:latin typeface="Segoe UI" panose="020B0502040204020203" pitchFamily="34" charset="0"/>
              <a:ea typeface="Segoe UI" panose="020B0502040204020203" pitchFamily="34" charset="0"/>
              <a:cs typeface="Segoe UI" panose="020B0502040204020203" pitchFamily="34" charset="0"/>
            </a:rPr>
            <a:t>Enrolment Guidelines</a:t>
          </a:r>
        </a:p>
        <a:p>
          <a:pPr algn="ctr"/>
          <a:endParaRPr lang="en-AU" sz="1000" b="1">
            <a:latin typeface="Segoe UI" panose="020B0502040204020203" pitchFamily="34" charset="0"/>
            <a:ea typeface="Segoe UI" panose="020B0502040204020203" pitchFamily="34" charset="0"/>
            <a:cs typeface="Segoe UI" panose="020B0502040204020203" pitchFamily="34" charset="0"/>
          </a:endParaRPr>
        </a:p>
        <a:p>
          <a:pPr algn="ctr"/>
          <a:r>
            <a:rPr lang="en-AU" sz="1000" b="1">
              <a:solidFill>
                <a:schemeClr val="accent5"/>
              </a:solidFill>
              <a:latin typeface="Segoe UI" panose="020B0502040204020203" pitchFamily="34" charset="0"/>
              <a:ea typeface="Segoe UI" panose="020B0502040204020203" pitchFamily="34" charset="0"/>
              <a:cs typeface="Segoe UI" panose="020B0502040204020203" pitchFamily="34" charset="0"/>
            </a:rPr>
            <a:t>Graduate Certificate in Development Planning (OpenUnis)</a:t>
          </a:r>
        </a:p>
        <a:p>
          <a:pPr marL="0" marR="0" lvl="0" indent="0" algn="ctr" defTabSz="914400" eaLnBrk="1" fontAlgn="auto" latinLnBrk="0" hangingPunct="1">
            <a:lnSpc>
              <a:spcPct val="100000"/>
            </a:lnSpc>
            <a:spcBef>
              <a:spcPts val="0"/>
            </a:spcBef>
            <a:spcAft>
              <a:spcPts val="0"/>
            </a:spcAft>
            <a:buClrTx/>
            <a:buSzTx/>
            <a:buFontTx/>
            <a:buNone/>
            <a:tabLst/>
            <a:defRPr/>
          </a:pPr>
          <a:endParaRPr lang="en-AU" sz="1100" i="1">
            <a:solidFill>
              <a:schemeClr val="dk1"/>
            </a:solidFill>
            <a:effectLst/>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lang="en-AU" sz="1100" i="1">
              <a:solidFill>
                <a:schemeClr val="dk1"/>
              </a:solidFill>
              <a:effectLst/>
              <a:latin typeface="+mn-lt"/>
              <a:ea typeface="+mn-ea"/>
              <a:cs typeface="+mn-cs"/>
            </a:rPr>
            <a:t>Use the drop-down list</a:t>
          </a:r>
          <a:r>
            <a:rPr lang="en-AU" sz="1100" i="1" baseline="0">
              <a:solidFill>
                <a:schemeClr val="dk1"/>
              </a:solidFill>
              <a:effectLst/>
              <a:latin typeface="+mn-lt"/>
              <a:ea typeface="+mn-ea"/>
              <a:cs typeface="+mn-cs"/>
            </a:rPr>
            <a:t> to select your </a:t>
          </a:r>
          <a:r>
            <a:rPr lang="en-AU" sz="1100" b="1" i="1" baseline="0">
              <a:solidFill>
                <a:schemeClr val="dk1"/>
              </a:solidFill>
              <a:effectLst/>
              <a:latin typeface="+mn-lt"/>
              <a:ea typeface="+mn-ea"/>
              <a:cs typeface="+mn-cs"/>
            </a:rPr>
            <a:t>Commencing Study Period</a:t>
          </a:r>
          <a:r>
            <a:rPr lang="en-AU" sz="1100" i="1" baseline="0">
              <a:solidFill>
                <a:schemeClr val="dk1"/>
              </a:solidFill>
              <a:effectLst/>
              <a:latin typeface="+mn-lt"/>
              <a:ea typeface="+mn-ea"/>
              <a:cs typeface="+mn-cs"/>
            </a:rPr>
            <a:t>.</a:t>
          </a:r>
          <a:endParaRPr lang="en-AU" sz="1000">
            <a:effectLst/>
          </a:endParaRPr>
        </a:p>
        <a:p>
          <a:pPr algn="ctr"/>
          <a:endParaRPr lang="en-AU" sz="1100">
            <a:solidFill>
              <a:schemeClr val="dk1"/>
            </a:solidFill>
            <a:effectLst/>
            <a:latin typeface="+mn-lt"/>
            <a:ea typeface="+mn-ea"/>
            <a:cs typeface="+mn-cs"/>
          </a:endParaRPr>
        </a:p>
        <a:p>
          <a:r>
            <a:rPr lang="en-AU" sz="1100">
              <a:solidFill>
                <a:schemeClr val="dk1"/>
              </a:solidFill>
              <a:effectLst/>
              <a:latin typeface="+mn-lt"/>
              <a:ea typeface="+mn-ea"/>
              <a:cs typeface="+mn-cs"/>
            </a:rPr>
            <a:t>This planner shows the recommended sequence of </a:t>
          </a:r>
          <a:r>
            <a:rPr lang="en-AU" sz="1100" b="1">
              <a:solidFill>
                <a:schemeClr val="dk1"/>
              </a:solidFill>
              <a:effectLst/>
              <a:latin typeface="+mn-lt"/>
              <a:ea typeface="+mn-ea"/>
              <a:cs typeface="+mn-cs"/>
            </a:rPr>
            <a:t>full-time study </a:t>
          </a:r>
          <a:r>
            <a:rPr lang="en-AU" sz="1100">
              <a:solidFill>
                <a:schemeClr val="dk1"/>
              </a:solidFill>
              <a:effectLst/>
              <a:latin typeface="+mn-lt"/>
              <a:ea typeface="+mn-ea"/>
              <a:cs typeface="+mn-cs"/>
            </a:rPr>
            <a:t>based on your study period of commencement. The standard full-time study load is </a:t>
          </a:r>
          <a:r>
            <a:rPr lang="en-AU" sz="1100" b="1">
              <a:solidFill>
                <a:schemeClr val="dk1"/>
              </a:solidFill>
              <a:effectLst/>
              <a:latin typeface="+mn-lt"/>
              <a:ea typeface="+mn-ea"/>
              <a:cs typeface="+mn-cs"/>
            </a:rPr>
            <a:t>2 subjects per study period</a:t>
          </a:r>
          <a:r>
            <a:rPr lang="en-AU" sz="1100">
              <a:solidFill>
                <a:schemeClr val="dk1"/>
              </a:solidFill>
              <a:effectLst/>
              <a:latin typeface="+mn-lt"/>
              <a:ea typeface="+mn-ea"/>
              <a:cs typeface="+mn-cs"/>
            </a:rPr>
            <a:t>. Subjects may not be offered in every study period and may not be available at the time that you wish to study them. Your progression in the degree may be affected if you do not follow the recommended sequence of enrolment.</a:t>
          </a:r>
        </a:p>
        <a:p>
          <a:endParaRPr lang="en-AU" sz="1100">
            <a:solidFill>
              <a:schemeClr val="dk1"/>
            </a:solidFill>
            <a:effectLst/>
            <a:latin typeface="+mn-lt"/>
            <a:ea typeface="+mn-ea"/>
            <a:cs typeface="+mn-cs"/>
          </a:endParaRPr>
        </a:p>
        <a:p>
          <a:r>
            <a:rPr lang="en-AU" sz="1100" b="0" i="0">
              <a:solidFill>
                <a:schemeClr val="dk1"/>
              </a:solidFill>
              <a:effectLst/>
              <a:latin typeface="+mn-lt"/>
              <a:ea typeface="+mn-ea"/>
              <a:cs typeface="+mn-cs"/>
            </a:rPr>
            <a:t>If you wish to enrol in a part-time load</a:t>
          </a:r>
          <a:r>
            <a:rPr lang="en-AU" sz="1100" b="0" i="0" baseline="0">
              <a:solidFill>
                <a:schemeClr val="dk1"/>
              </a:solidFill>
              <a:effectLst/>
              <a:latin typeface="+mn-lt"/>
              <a:ea typeface="+mn-ea"/>
              <a:cs typeface="+mn-cs"/>
            </a:rPr>
            <a:t>, </a:t>
          </a:r>
          <a:r>
            <a:rPr lang="en-AU" sz="1100" b="0" i="0">
              <a:solidFill>
                <a:schemeClr val="dk1"/>
              </a:solidFill>
              <a:effectLst/>
              <a:latin typeface="+mn-lt"/>
              <a:ea typeface="+mn-ea"/>
              <a:cs typeface="+mn-cs"/>
            </a:rPr>
            <a:t>or have CRL Approval</a:t>
          </a:r>
          <a:r>
            <a:rPr lang="en-AU" sz="1100" b="0" i="0" baseline="0">
              <a:solidFill>
                <a:schemeClr val="dk1"/>
              </a:solidFill>
              <a:effectLst/>
              <a:latin typeface="+mn-lt"/>
              <a:ea typeface="+mn-ea"/>
              <a:cs typeface="+mn-cs"/>
            </a:rPr>
            <a:t>, </a:t>
          </a:r>
          <a:r>
            <a:rPr lang="en-AU" sz="1100">
              <a:solidFill>
                <a:schemeClr val="dk1"/>
              </a:solidFill>
              <a:effectLst/>
              <a:latin typeface="+mn-lt"/>
              <a:ea typeface="+mn-ea"/>
              <a:cs typeface="+mn-cs"/>
            </a:rPr>
            <a:t>please contact your Course Coordinator (Email - urbanandregionalplanning@curtin.edu.au) to develop an ad hoc study plan.</a:t>
          </a:r>
        </a:p>
        <a:p>
          <a:endParaRPr lang="en-AU" sz="1100">
            <a:solidFill>
              <a:schemeClr val="dk1"/>
            </a:solidFill>
            <a:effectLst/>
            <a:latin typeface="+mn-lt"/>
            <a:ea typeface="+mn-ea"/>
            <a:cs typeface="+mn-cs"/>
          </a:endParaRPr>
        </a:p>
        <a:p>
          <a:r>
            <a:rPr lang="en-AU" sz="1100" b="1">
              <a:solidFill>
                <a:schemeClr val="dk1"/>
              </a:solidFill>
              <a:effectLst/>
              <a:latin typeface="+mn-lt"/>
              <a:ea typeface="+mn-ea"/>
              <a:cs typeface="+mn-cs"/>
            </a:rPr>
            <a:t>Need more support?</a:t>
          </a:r>
          <a:r>
            <a:rPr lang="en-AU" sz="1100" b="0">
              <a:solidFill>
                <a:schemeClr val="dk1"/>
              </a:solidFill>
              <a:effectLst/>
              <a:latin typeface="+mn-lt"/>
              <a:ea typeface="+mn-ea"/>
              <a:cs typeface="+mn-cs"/>
            </a:rPr>
            <a:t> </a:t>
          </a:r>
          <a:endParaRPr lang="en-AU">
            <a:effectLst/>
          </a:endParaRPr>
        </a:p>
        <a:p>
          <a:r>
            <a:rPr lang="en-AU" sz="1100" b="0">
              <a:solidFill>
                <a:schemeClr val="dk1"/>
              </a:solidFill>
              <a:effectLst/>
              <a:latin typeface="+mn-lt"/>
              <a:ea typeface="+mn-ea"/>
              <a:cs typeface="+mn-cs"/>
            </a:rPr>
            <a:t>This</a:t>
          </a:r>
          <a:r>
            <a:rPr lang="en-AU" sz="1100" b="0" baseline="0">
              <a:solidFill>
                <a:schemeClr val="dk1"/>
              </a:solidFill>
              <a:effectLst/>
              <a:latin typeface="+mn-lt"/>
              <a:ea typeface="+mn-ea"/>
              <a:cs typeface="+mn-cs"/>
            </a:rPr>
            <a:t> planner is designed to be used in conjunction with the information provided by Curtin Connect on the </a:t>
          </a:r>
          <a:r>
            <a:rPr lang="en-AU" sz="1100" b="0">
              <a:solidFill>
                <a:schemeClr val="dk1"/>
              </a:solidFill>
              <a:effectLst/>
              <a:latin typeface="+mn-lt"/>
              <a:ea typeface="+mn-ea"/>
              <a:cs typeface="+mn-cs"/>
            </a:rPr>
            <a:t>Student Essentials webpages. If you have any questions regarding your enrolment, please contact</a:t>
          </a:r>
          <a:r>
            <a:rPr lang="en-AU" sz="1100" b="0" baseline="0">
              <a:solidFill>
                <a:schemeClr val="dk1"/>
              </a:solidFill>
              <a:effectLst/>
              <a:latin typeface="+mn-lt"/>
              <a:ea typeface="+mn-ea"/>
              <a:cs typeface="+mn-cs"/>
            </a:rPr>
            <a:t> Curtin Connect.</a:t>
          </a:r>
        </a:p>
        <a:p>
          <a:pPr rtl="0" fontAlgn="base"/>
          <a:endParaRPr lang="en-AU" sz="1100" b="1" i="0">
            <a:solidFill>
              <a:schemeClr val="dk1"/>
            </a:solidFill>
            <a:effectLst/>
            <a:latin typeface="+mn-lt"/>
            <a:ea typeface="+mn-ea"/>
            <a:cs typeface="+mn-cs"/>
          </a:endParaRPr>
        </a:p>
        <a:p>
          <a:pPr algn="ctr" rtl="0" fontAlgn="base"/>
          <a:r>
            <a:rPr lang="en-AU" sz="1100" b="1" i="0">
              <a:solidFill>
                <a:schemeClr val="dk1"/>
              </a:solidFill>
              <a:effectLst/>
              <a:latin typeface="+mn-lt"/>
              <a:ea typeface="+mn-ea"/>
              <a:cs typeface="+mn-cs"/>
            </a:rPr>
            <a:t>Note:</a:t>
          </a:r>
          <a:endParaRPr lang="en-AU">
            <a:effectLst/>
          </a:endParaRPr>
        </a:p>
        <a:p>
          <a:pPr algn="ctr" rtl="0" fontAlgn="base"/>
          <a:r>
            <a:rPr lang="en-AU" sz="800" b="0" i="0" baseline="0">
              <a:solidFill>
                <a:schemeClr val="dk1"/>
              </a:solidFill>
              <a:effectLst/>
              <a:latin typeface="+mn-lt"/>
              <a:ea typeface="+mn-ea"/>
              <a:cs typeface="+mn-cs"/>
            </a:rPr>
            <a:t>CP = Credit Points; SP = Study Period</a:t>
          </a:r>
          <a:endParaRPr lang="en-AU" sz="800">
            <a:effectLst/>
          </a:endParaRPr>
        </a:p>
      </xdr:txBody>
    </xdr:sp>
    <xdr:clientData/>
  </xdr:oneCellAnchor>
  <xdr:twoCellAnchor>
    <xdr:from>
      <xdr:col>8</xdr:col>
      <xdr:colOff>314325</xdr:colOff>
      <xdr:row>1</xdr:row>
      <xdr:rowOff>76199</xdr:rowOff>
    </xdr:from>
    <xdr:to>
      <xdr:col>11</xdr:col>
      <xdr:colOff>1115290</xdr:colOff>
      <xdr:row>1</xdr:row>
      <xdr:rowOff>409574</xdr:rowOff>
    </xdr:to>
    <xdr:pic>
      <xdr:nvPicPr>
        <xdr:cNvPr id="3" name="Picture 2" title="Curtin University logo">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8658225" y="76199"/>
          <a:ext cx="1858240"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18</xdr:col>
      <xdr:colOff>171450</xdr:colOff>
      <xdr:row>1</xdr:row>
      <xdr:rowOff>200026</xdr:rowOff>
    </xdr:from>
    <xdr:to>
      <xdr:col>21</xdr:col>
      <xdr:colOff>533400</xdr:colOff>
      <xdr:row>2</xdr:row>
      <xdr:rowOff>9526</xdr:rowOff>
    </xdr:to>
    <xdr:sp macro="" textlink="">
      <xdr:nvSpPr>
        <xdr:cNvPr id="4" name="TextBox 3">
          <a:hlinkClick xmlns:r="http://schemas.openxmlformats.org/officeDocument/2006/relationships" r:id="rId2"/>
          <a:extLst>
            <a:ext uri="{FF2B5EF4-FFF2-40B4-BE49-F238E27FC236}">
              <a16:creationId xmlns:a16="http://schemas.microsoft.com/office/drawing/2014/main" id="{00000000-0008-0000-0100-000004000000}"/>
            </a:ext>
          </a:extLst>
        </xdr:cNvPr>
        <xdr:cNvSpPr txBox="1"/>
      </xdr:nvSpPr>
      <xdr:spPr>
        <a:xfrm>
          <a:off x="14192250" y="200026"/>
          <a:ext cx="2419350" cy="314325"/>
        </a:xfrm>
        <a:prstGeom prst="rect">
          <a:avLst/>
        </a:prstGeom>
        <a:solidFill>
          <a:schemeClr val="bg1">
            <a:lumMod val="6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Curtin Connect website</a:t>
          </a: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13</xdr:col>
      <xdr:colOff>228601</xdr:colOff>
      <xdr:row>2</xdr:row>
      <xdr:rowOff>9526</xdr:rowOff>
    </xdr:from>
    <xdr:ext cx="5791199" cy="3876318"/>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1049001" y="514351"/>
          <a:ext cx="5791199" cy="3876318"/>
        </a:xfrm>
        <a:prstGeom prst="rect">
          <a:avLst/>
        </a:prstGeom>
        <a:solidFill>
          <a:schemeClr val="bg1">
            <a:lumMod val="8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algn="ctr"/>
          <a:r>
            <a:rPr lang="en-AU" sz="1000" b="1" u="sng">
              <a:latin typeface="Segoe UI" panose="020B0502040204020203" pitchFamily="34" charset="0"/>
              <a:ea typeface="Segoe UI" panose="020B0502040204020203" pitchFamily="34" charset="0"/>
              <a:cs typeface="Segoe UI" panose="020B0502040204020203" pitchFamily="34" charset="0"/>
            </a:rPr>
            <a:t>Enrolment Guidelines</a:t>
          </a:r>
        </a:p>
        <a:p>
          <a:pPr algn="ctr"/>
          <a:endParaRPr lang="en-AU" sz="1000" b="1">
            <a:latin typeface="Segoe UI" panose="020B0502040204020203" pitchFamily="34" charset="0"/>
            <a:ea typeface="Segoe UI" panose="020B0502040204020203" pitchFamily="34" charset="0"/>
            <a:cs typeface="Segoe UI" panose="020B0502040204020203" pitchFamily="34" charset="0"/>
          </a:endParaRPr>
        </a:p>
        <a:p>
          <a:pPr algn="ctr"/>
          <a:r>
            <a:rPr lang="en-AU" sz="1000" b="1">
              <a:solidFill>
                <a:schemeClr val="accent5"/>
              </a:solidFill>
              <a:latin typeface="Segoe UI" panose="020B0502040204020203" pitchFamily="34" charset="0"/>
              <a:ea typeface="Segoe UI" panose="020B0502040204020203" pitchFamily="34" charset="0"/>
              <a:cs typeface="Segoe UI" panose="020B0502040204020203" pitchFamily="34" charset="0"/>
            </a:rPr>
            <a:t>Graduate Certificate in Geography (OpenUnis)</a:t>
          </a:r>
        </a:p>
        <a:p>
          <a:endParaRPr lang="en-AU">
            <a:effectLst/>
          </a:endParaRPr>
        </a:p>
        <a:p>
          <a:pPr algn="ctr"/>
          <a:r>
            <a:rPr lang="en-AU" sz="1100" i="1">
              <a:solidFill>
                <a:schemeClr val="dk1"/>
              </a:solidFill>
              <a:effectLst/>
              <a:latin typeface="+mn-lt"/>
              <a:ea typeface="+mn-ea"/>
              <a:cs typeface="+mn-cs"/>
            </a:rPr>
            <a:t>Use the drop-down list</a:t>
          </a:r>
          <a:r>
            <a:rPr lang="en-AU" sz="1100" i="1" baseline="0">
              <a:solidFill>
                <a:schemeClr val="dk1"/>
              </a:solidFill>
              <a:effectLst/>
              <a:latin typeface="+mn-lt"/>
              <a:ea typeface="+mn-ea"/>
              <a:cs typeface="+mn-cs"/>
            </a:rPr>
            <a:t> to select your Commencing Study Period.</a:t>
          </a:r>
          <a:endParaRPr lang="en-AU">
            <a:effectLst/>
          </a:endParaRPr>
        </a:p>
        <a:p>
          <a:pPr algn="ctr"/>
          <a:endParaRPr lang="en-AU" sz="1100">
            <a:solidFill>
              <a:schemeClr val="dk1"/>
            </a:solidFill>
            <a:effectLst/>
            <a:latin typeface="+mn-lt"/>
            <a:ea typeface="+mn-ea"/>
            <a:cs typeface="+mn-cs"/>
          </a:endParaRPr>
        </a:p>
        <a:p>
          <a:r>
            <a:rPr lang="en-AU" sz="1100">
              <a:solidFill>
                <a:schemeClr val="dk1"/>
              </a:solidFill>
              <a:effectLst/>
              <a:latin typeface="+mn-lt"/>
              <a:ea typeface="+mn-ea"/>
              <a:cs typeface="+mn-cs"/>
            </a:rPr>
            <a:t>This planner shows the recommended sequence of </a:t>
          </a:r>
          <a:r>
            <a:rPr lang="en-AU" sz="1100" b="1">
              <a:solidFill>
                <a:schemeClr val="dk1"/>
              </a:solidFill>
              <a:effectLst/>
              <a:latin typeface="+mn-lt"/>
              <a:ea typeface="+mn-ea"/>
              <a:cs typeface="+mn-cs"/>
            </a:rPr>
            <a:t>full-time study </a:t>
          </a:r>
          <a:r>
            <a:rPr lang="en-AU" sz="1100">
              <a:solidFill>
                <a:schemeClr val="dk1"/>
              </a:solidFill>
              <a:effectLst/>
              <a:latin typeface="+mn-lt"/>
              <a:ea typeface="+mn-ea"/>
              <a:cs typeface="+mn-cs"/>
            </a:rPr>
            <a:t>based on your study period of commencement. The standard full-time study load is </a:t>
          </a:r>
          <a:r>
            <a:rPr lang="en-AU" sz="1100" b="1">
              <a:solidFill>
                <a:schemeClr val="dk1"/>
              </a:solidFill>
              <a:effectLst/>
              <a:latin typeface="+mn-lt"/>
              <a:ea typeface="+mn-ea"/>
              <a:cs typeface="+mn-cs"/>
            </a:rPr>
            <a:t>2 subjects per study period</a:t>
          </a:r>
          <a:r>
            <a:rPr lang="en-AU" sz="1100">
              <a:solidFill>
                <a:schemeClr val="dk1"/>
              </a:solidFill>
              <a:effectLst/>
              <a:latin typeface="+mn-lt"/>
              <a:ea typeface="+mn-ea"/>
              <a:cs typeface="+mn-cs"/>
            </a:rPr>
            <a:t>. Subjects may not be offered in every study period and may not be available at the time that you wish to study them. Your progression in the degree may be affected if you do not follow the recommended sequence of enrolment.</a:t>
          </a:r>
        </a:p>
        <a:p>
          <a:endParaRPr lang="en-AU" sz="1100">
            <a:solidFill>
              <a:schemeClr val="dk1"/>
            </a:solidFill>
            <a:effectLst/>
            <a:latin typeface="+mn-lt"/>
            <a:ea typeface="+mn-ea"/>
            <a:cs typeface="+mn-cs"/>
          </a:endParaRPr>
        </a:p>
        <a:p>
          <a:r>
            <a:rPr lang="en-AU" sz="1100" b="0" i="0">
              <a:solidFill>
                <a:schemeClr val="dk1"/>
              </a:solidFill>
              <a:effectLst/>
              <a:latin typeface="+mn-lt"/>
              <a:ea typeface="+mn-ea"/>
              <a:cs typeface="+mn-cs"/>
            </a:rPr>
            <a:t>If you wish to enrol in a part-time load</a:t>
          </a:r>
          <a:r>
            <a:rPr lang="en-AU" sz="1100" b="0" i="0" baseline="0">
              <a:solidFill>
                <a:schemeClr val="dk1"/>
              </a:solidFill>
              <a:effectLst/>
              <a:latin typeface="+mn-lt"/>
              <a:ea typeface="+mn-ea"/>
              <a:cs typeface="+mn-cs"/>
            </a:rPr>
            <a:t>, </a:t>
          </a:r>
          <a:r>
            <a:rPr lang="en-AU" sz="1100" b="0" i="0">
              <a:solidFill>
                <a:schemeClr val="dk1"/>
              </a:solidFill>
              <a:effectLst/>
              <a:latin typeface="+mn-lt"/>
              <a:ea typeface="+mn-ea"/>
              <a:cs typeface="+mn-cs"/>
            </a:rPr>
            <a:t>or have CRL Approval</a:t>
          </a:r>
          <a:r>
            <a:rPr lang="en-AU" sz="1100" b="0" i="0" baseline="0">
              <a:solidFill>
                <a:schemeClr val="dk1"/>
              </a:solidFill>
              <a:effectLst/>
              <a:latin typeface="+mn-lt"/>
              <a:ea typeface="+mn-ea"/>
              <a:cs typeface="+mn-cs"/>
            </a:rPr>
            <a:t>, </a:t>
          </a:r>
          <a:r>
            <a:rPr lang="en-AU" sz="1100">
              <a:solidFill>
                <a:schemeClr val="dk1"/>
              </a:solidFill>
              <a:effectLst/>
              <a:latin typeface="+mn-lt"/>
              <a:ea typeface="+mn-ea"/>
              <a:cs typeface="+mn-cs"/>
            </a:rPr>
            <a:t>please contact your Course Coordinator (Email - geography@curtin.edu.au) to develop an ad hoc study plan.</a:t>
          </a:r>
        </a:p>
        <a:p>
          <a:endParaRPr lang="en-AU" sz="1100">
            <a:solidFill>
              <a:schemeClr val="dk1"/>
            </a:solidFill>
            <a:effectLst/>
            <a:latin typeface="+mn-lt"/>
            <a:ea typeface="+mn-ea"/>
            <a:cs typeface="+mn-cs"/>
          </a:endParaRPr>
        </a:p>
        <a:p>
          <a:r>
            <a:rPr lang="en-AU" sz="1100" b="1">
              <a:solidFill>
                <a:schemeClr val="dk1"/>
              </a:solidFill>
              <a:effectLst/>
              <a:latin typeface="+mn-lt"/>
              <a:ea typeface="+mn-ea"/>
              <a:cs typeface="+mn-cs"/>
            </a:rPr>
            <a:t>Need more support?</a:t>
          </a:r>
          <a:r>
            <a:rPr lang="en-AU" sz="1100" b="0">
              <a:solidFill>
                <a:schemeClr val="dk1"/>
              </a:solidFill>
              <a:effectLst/>
              <a:latin typeface="+mn-lt"/>
              <a:ea typeface="+mn-ea"/>
              <a:cs typeface="+mn-cs"/>
            </a:rPr>
            <a:t> </a:t>
          </a:r>
          <a:endParaRPr lang="en-AU">
            <a:effectLst/>
          </a:endParaRPr>
        </a:p>
        <a:p>
          <a:r>
            <a:rPr lang="en-AU" sz="1100" b="0">
              <a:solidFill>
                <a:schemeClr val="dk1"/>
              </a:solidFill>
              <a:effectLst/>
              <a:latin typeface="+mn-lt"/>
              <a:ea typeface="+mn-ea"/>
              <a:cs typeface="+mn-cs"/>
            </a:rPr>
            <a:t>This</a:t>
          </a:r>
          <a:r>
            <a:rPr lang="en-AU" sz="1100" b="0" baseline="0">
              <a:solidFill>
                <a:schemeClr val="dk1"/>
              </a:solidFill>
              <a:effectLst/>
              <a:latin typeface="+mn-lt"/>
              <a:ea typeface="+mn-ea"/>
              <a:cs typeface="+mn-cs"/>
            </a:rPr>
            <a:t> planner is designed to be used in conjunction with the information provided by Curtin Connect on the </a:t>
          </a:r>
          <a:r>
            <a:rPr lang="en-AU" sz="1100" b="0">
              <a:solidFill>
                <a:schemeClr val="dk1"/>
              </a:solidFill>
              <a:effectLst/>
              <a:latin typeface="+mn-lt"/>
              <a:ea typeface="+mn-ea"/>
              <a:cs typeface="+mn-cs"/>
            </a:rPr>
            <a:t>Student Essentials webpages. If you have any questions regarding your enrolment, please contact</a:t>
          </a:r>
          <a:r>
            <a:rPr lang="en-AU" sz="1100" b="0" baseline="0">
              <a:solidFill>
                <a:schemeClr val="dk1"/>
              </a:solidFill>
              <a:effectLst/>
              <a:latin typeface="+mn-lt"/>
              <a:ea typeface="+mn-ea"/>
              <a:cs typeface="+mn-cs"/>
            </a:rPr>
            <a:t> Curtin Connect.</a:t>
          </a:r>
        </a:p>
        <a:p>
          <a:pPr rtl="0" fontAlgn="base"/>
          <a:endParaRPr lang="en-AU">
            <a:effectLst/>
          </a:endParaRPr>
        </a:p>
        <a:p>
          <a:pPr algn="ctr" rtl="0" fontAlgn="base"/>
          <a:r>
            <a:rPr lang="en-AU" sz="1100" b="1" i="0">
              <a:solidFill>
                <a:schemeClr val="dk1"/>
              </a:solidFill>
              <a:effectLst/>
              <a:latin typeface="+mn-lt"/>
              <a:ea typeface="+mn-ea"/>
              <a:cs typeface="+mn-cs"/>
            </a:rPr>
            <a:t>Note:</a:t>
          </a:r>
          <a:endParaRPr lang="en-AU">
            <a:effectLst/>
          </a:endParaRPr>
        </a:p>
        <a:p>
          <a:pPr algn="ctr"/>
          <a:r>
            <a:rPr lang="en-AU" sz="800" b="0" i="0" baseline="0">
              <a:solidFill>
                <a:schemeClr val="dk1"/>
              </a:solidFill>
              <a:effectLst/>
              <a:latin typeface="+mn-lt"/>
              <a:ea typeface="+mn-ea"/>
              <a:cs typeface="+mn-cs"/>
            </a:rPr>
            <a:t>CP = Credit Points; SP = Study Period</a:t>
          </a:r>
          <a:endParaRPr lang="en-AU" sz="800">
            <a:effectLst/>
          </a:endParaRPr>
        </a:p>
      </xdr:txBody>
    </xdr:sp>
    <xdr:clientData/>
  </xdr:oneCellAnchor>
  <xdr:twoCellAnchor>
    <xdr:from>
      <xdr:col>8</xdr:col>
      <xdr:colOff>314325</xdr:colOff>
      <xdr:row>1</xdr:row>
      <xdr:rowOff>76199</xdr:rowOff>
    </xdr:from>
    <xdr:to>
      <xdr:col>11</xdr:col>
      <xdr:colOff>1115290</xdr:colOff>
      <xdr:row>1</xdr:row>
      <xdr:rowOff>409574</xdr:rowOff>
    </xdr:to>
    <xdr:pic>
      <xdr:nvPicPr>
        <xdr:cNvPr id="3" name="Picture 2" title="Curtin University logo">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8658225" y="76199"/>
          <a:ext cx="1858240"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18</xdr:col>
      <xdr:colOff>171450</xdr:colOff>
      <xdr:row>1</xdr:row>
      <xdr:rowOff>200025</xdr:rowOff>
    </xdr:from>
    <xdr:to>
      <xdr:col>21</xdr:col>
      <xdr:colOff>533400</xdr:colOff>
      <xdr:row>2</xdr:row>
      <xdr:rowOff>9525</xdr:rowOff>
    </xdr:to>
    <xdr:sp macro="" textlink="">
      <xdr:nvSpPr>
        <xdr:cNvPr id="4" name="TextBox 3">
          <a:hlinkClick xmlns:r="http://schemas.openxmlformats.org/officeDocument/2006/relationships" r:id="rId2"/>
          <a:extLst>
            <a:ext uri="{FF2B5EF4-FFF2-40B4-BE49-F238E27FC236}">
              <a16:creationId xmlns:a16="http://schemas.microsoft.com/office/drawing/2014/main" id="{00000000-0008-0000-0200-000004000000}"/>
            </a:ext>
          </a:extLst>
        </xdr:cNvPr>
        <xdr:cNvSpPr txBox="1"/>
      </xdr:nvSpPr>
      <xdr:spPr>
        <a:xfrm>
          <a:off x="14192250" y="200025"/>
          <a:ext cx="2419350" cy="314325"/>
        </a:xfrm>
        <a:prstGeom prst="rect">
          <a:avLst/>
        </a:prstGeom>
        <a:solidFill>
          <a:schemeClr val="bg1">
            <a:lumMod val="6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Curtin Connect website</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eCourses" displayName="TableCourses" ref="A6:H10" totalsRowShown="0" headerRowDxfId="127">
  <autoFilter ref="A6:H10" xr:uid="{00000000-0009-0000-0100-000003000000}"/>
  <tableColumns count="8">
    <tableColumn id="3" xr3:uid="{00000000-0010-0000-0000-000003000000}" name="Choose your Course (drop-down list)" dataDxfId="126"/>
    <tableColumn id="1" xr3:uid="{00000000-0010-0000-0000-000001000000}" name="UDC" dataDxfId="125"/>
    <tableColumn id="2" xr3:uid="{00000000-0010-0000-0000-000002000000}" name="SM Version" dataDxfId="124"/>
    <tableColumn id="5" xr3:uid="{00000000-0010-0000-0000-000005000000}" name="SM Effective Date" dataDxfId="123"/>
    <tableColumn id="4" xr3:uid="{00000000-0010-0000-0000-000004000000}" name="Akari Iteration" dataDxfId="122"/>
    <tableColumn id="6" xr3:uid="{00000000-0010-0000-0000-000006000000}" name="Akari Effective Date" dataDxfId="121"/>
    <tableColumn id="7" xr3:uid="{00000000-0010-0000-0000-000007000000}" name="Credit Points" dataDxfId="120"/>
    <tableColumn id="8" xr3:uid="{00000000-0010-0000-0000-000008000000}" name="SM Availabilities" dataDxfId="119"/>
  </tableColumns>
  <tableStyleInfo name="TableStyleLight8"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9000000}" name="TableOCGEOG1" displayName="TableOCGEOG1" ref="A16:O20" totalsRowShown="0" headerRowDxfId="43" dataDxfId="42" tableBorderDxfId="41">
  <autoFilter ref="A16:O20" xr:uid="{00000000-0009-0000-0100-00000C000000}"/>
  <sortState xmlns:xlrd2="http://schemas.microsoft.com/office/spreadsheetml/2017/richdata2" ref="A17:M24">
    <sortCondition ref="F2:F10"/>
  </sortState>
  <tableColumns count="15">
    <tableColumn id="1" xr3:uid="{00000000-0010-0000-0900-000001000000}" name="UDC" dataDxfId="40">
      <calculatedColumnFormula>TableOCGEOG1[[#This Row],[Study Package Code]]</calculatedColumnFormula>
    </tableColumn>
    <tableColumn id="2" xr3:uid="{00000000-0010-0000-0900-000002000000}" name="Version" dataDxfId="39">
      <calculatedColumnFormula>TableOCGEOG1[[#This Row],[Ver]]</calculatedColumnFormula>
    </tableColumn>
    <tableColumn id="3" xr3:uid="{00000000-0010-0000-0900-000003000000}" name="OUA Code" dataDxfId="38">
      <calculatedColumnFormula>LEFT(TableOCGEOG1[[#This Row],[Structure Line]],6)</calculatedColumnFormula>
    </tableColumn>
    <tableColumn id="4" xr3:uid="{00000000-0010-0000-0900-000004000000}" name="Unit Title" dataDxfId="37">
      <calculatedColumnFormula>MID(TableOCGEOG1[[#This Row],[Structure Line]],8,LEN(TableOCGEOG1[[#This Row],[Structure Line]]))</calculatedColumnFormula>
    </tableColumn>
    <tableColumn id="5" xr3:uid="{00000000-0010-0000-0900-000005000000}" name="CPs" dataDxfId="36">
      <calculatedColumnFormula>TableOCGEOG1[[#This Row],[Credit Points]]</calculatedColumnFormula>
    </tableColumn>
    <tableColumn id="6" xr3:uid="{00000000-0010-0000-0900-000006000000}" name="Column4" dataDxfId="35"/>
    <tableColumn id="7" xr3:uid="{00000000-0010-0000-0900-000007000000}" name="Component Type" dataDxfId="34"/>
    <tableColumn id="8" xr3:uid="{00000000-0010-0000-0900-000008000000}" name="Year Level" dataDxfId="33"/>
    <tableColumn id="9" xr3:uid="{00000000-0010-0000-0900-000009000000}" name="Study Period" dataDxfId="32"/>
    <tableColumn id="10" xr3:uid="{00000000-0010-0000-0900-00000A000000}" name="Study Package Code" dataDxfId="31"/>
    <tableColumn id="11" xr3:uid="{00000000-0010-0000-0900-00000B000000}" name="Ver" dataDxfId="30"/>
    <tableColumn id="12" xr3:uid="{00000000-0010-0000-0900-00000C000000}" name="Structure Line" dataDxfId="29"/>
    <tableColumn id="13" xr3:uid="{00000000-0010-0000-0900-00000D000000}" name="Credit Points" dataDxfId="28"/>
    <tableColumn id="14" xr3:uid="{00000000-0010-0000-0900-00000E000000}" name="Effective" dataDxfId="27"/>
    <tableColumn id="15" xr3:uid="{00000000-0010-0000-0900-00000F000000}" name="Discont." dataDxfId="26"/>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A000000}" name="Table1515" displayName="Table1515" ref="Q16:R20" totalsRowShown="0">
  <autoFilter ref="Q16:R20" xr:uid="{00000000-0009-0000-0100-00000E000000}"/>
  <tableColumns count="2">
    <tableColumn id="5" xr3:uid="{00000000-0010-0000-0A00-000005000000}" name="SPK"/>
    <tableColumn id="6" xr3:uid="{00000000-0010-0000-0A00-000006000000}" name="Ver"/>
  </tableColumns>
  <tableStyleInfo name="TableStyleLight4"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B000000}" name="TableAvailabilities" displayName="TableAvailabilities" ref="A3:E29" totalsRowShown="0">
  <autoFilter ref="A3:E29" xr:uid="{00000000-0009-0000-0100-00000D000000}"/>
  <sortState xmlns:xlrd2="http://schemas.microsoft.com/office/spreadsheetml/2017/richdata2" ref="A4:E27">
    <sortCondition ref="A3:A27"/>
  </sortState>
  <tableColumns count="5">
    <tableColumn id="1" xr3:uid="{00000000-0010-0000-0B00-000001000000}" name="Row Labels"/>
    <tableColumn id="2" xr3:uid="{00000000-0010-0000-0B00-000002000000}" name="OpenUnis SP 1" dataDxfId="25"/>
    <tableColumn id="3" xr3:uid="{00000000-0010-0000-0B00-000003000000}" name="OpenUnis SP 2" dataDxfId="24"/>
    <tableColumn id="4" xr3:uid="{00000000-0010-0000-0B00-000004000000}" name="OpenUnis SP 3" dataDxfId="23"/>
    <tableColumn id="5" xr3:uid="{00000000-0010-0000-0B00-000005000000}" name="OpenUnis SP 4" dataDxfId="22"/>
  </tableColumns>
  <tableStyleInfo name="TableStyleLight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TableStudyPeriods" displayName="TableStudyPeriods" ref="A13:E17" totalsRowShown="0" dataDxfId="118">
  <autoFilter ref="A13:E17" xr:uid="{00000000-0009-0000-0100-000004000000}"/>
  <tableColumns count="5">
    <tableColumn id="1" xr3:uid="{00000000-0010-0000-0100-000001000000}" name="Choose your commencing study period (drop-down list)" dataDxfId="117"/>
    <tableColumn id="2" xr3:uid="{00000000-0010-0000-0100-000002000000}" name="START" dataDxfId="116"/>
    <tableColumn id="3" xr3:uid="{00000000-0010-0000-0100-000003000000}" name="Next" dataDxfId="115"/>
    <tableColumn id="4" xr3:uid="{00000000-0010-0000-0100-000004000000}" name="Next2" dataDxfId="114"/>
    <tableColumn id="5" xr3:uid="{00000000-0010-0000-0100-000005000000}" name="Next3" dataDxfId="113"/>
  </tableColumns>
  <tableStyleInfo name="TableStyleLight8"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2000000}" name="TableHandbook" displayName="TableHandbook" ref="A2:N35" totalsRowShown="0" headerRowDxfId="112" dataDxfId="111">
  <autoFilter ref="A2:N35" xr:uid="{00000000-0009-0000-0100-000002000000}"/>
  <sortState xmlns:xlrd2="http://schemas.microsoft.com/office/spreadsheetml/2017/richdata2" ref="A3:N35">
    <sortCondition ref="A2:A35"/>
  </sortState>
  <tableColumns count="14">
    <tableColumn id="1" xr3:uid="{00000000-0010-0000-0200-000001000000}" name="UDC" dataDxfId="110"/>
    <tableColumn id="2" xr3:uid="{00000000-0010-0000-0200-000002000000}" name="Ver" dataDxfId="109"/>
    <tableColumn id="3" xr3:uid="{00000000-0010-0000-0200-000003000000}" name="OUA Cd" dataDxfId="108"/>
    <tableColumn id="4" xr3:uid="{00000000-0010-0000-0200-000004000000}" name="Title" dataDxfId="107"/>
    <tableColumn id="5" xr3:uid="{00000000-0010-0000-0200-000005000000}" name="Credits" dataDxfId="106"/>
    <tableColumn id="6" xr3:uid="{00000000-0010-0000-0200-000006000000}" name="Pre-reqs (10/10/2024)" dataDxfId="105"/>
    <tableColumn id="12" xr3:uid="{00000000-0010-0000-0200-00000C000000}" name="SP1" dataDxfId="104">
      <calculatedColumnFormula>IFERROR(IF(VLOOKUP(TableHandbook[[#This Row],[UDC]],TableAvailabilities[],2,FALSE)&gt;0,"Y",""),"")</calculatedColumnFormula>
    </tableColumn>
    <tableColumn id="13" xr3:uid="{00000000-0010-0000-0200-00000D000000}" name="SP2" dataDxfId="103">
      <calculatedColumnFormula>IFERROR(IF(VLOOKUP(TableHandbook[[#This Row],[UDC]],TableAvailabilities[],3,FALSE)&gt;0,"Y",""),"")</calculatedColumnFormula>
    </tableColumn>
    <tableColumn id="14" xr3:uid="{00000000-0010-0000-0200-00000E000000}" name="SP3" dataDxfId="102">
      <calculatedColumnFormula>IFERROR(IF(VLOOKUP(TableHandbook[[#This Row],[UDC]],TableAvailabilities[],4,FALSE)&gt;0,"Y",""),"")</calculatedColumnFormula>
    </tableColumn>
    <tableColumn id="15" xr3:uid="{00000000-0010-0000-0200-00000F000000}" name="SP4" dataDxfId="101">
      <calculatedColumnFormula>IFERROR(IF(VLOOKUP(TableHandbook[[#This Row],[UDC]],TableAvailabilities[],5,FALSE)&gt;0,"Y",""),"")</calculatedColumnFormula>
    </tableColumn>
    <tableColumn id="7" xr3:uid="{00000000-0010-0000-0200-000007000000}" name="NOTES" dataDxfId="100"/>
    <tableColumn id="10" xr3:uid="{00000000-0010-0000-0200-00000A000000}" name="OC-DEVPLN" dataDxfId="99">
      <calculatedColumnFormula>IFERROR(VLOOKUP(TableHandbook[[#This Row],[UDC]],TableOCDEVPLN[],7,FALSE),"")</calculatedColumnFormula>
    </tableColumn>
    <tableColumn id="9" xr3:uid="{00000000-0010-0000-0200-000009000000}" name="OC-GEOG1" dataDxfId="98">
      <calculatedColumnFormula>IFERROR(VLOOKUP(TableHandbook[[#This Row],[UDC]],TableOCGEOG1[],7,FALSE),"")</calculatedColumnFormula>
    </tableColumn>
    <tableColumn id="8" xr3:uid="{00000000-0010-0000-0200-000008000000}" name="OM-URPLAN2" dataDxfId="97">
      <calculatedColumnFormula>IFERROR(VLOOKUP(TableHandbook[[#This Row],[UDC]],TableOMURPLAN2[],7,FALSE),"")</calculatedColumnFormula>
    </tableColumn>
  </tableColumns>
  <tableStyleInfo name="TableStyleLight11" showFirstColumn="0" showLastColumn="0" showRowStripes="1" showColumnStripes="1"/>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3000000}" name="TableOMURPLAN2" displayName="TableOMURPLAN2" ref="A23:O44" totalsRowShown="0" headerRowDxfId="96" dataDxfId="95">
  <autoFilter ref="A23:O44" xr:uid="{00000000-0009-0000-0100-000001000000}"/>
  <sortState xmlns:xlrd2="http://schemas.microsoft.com/office/spreadsheetml/2017/richdata2" ref="A3:M27">
    <sortCondition ref="F2:F27"/>
  </sortState>
  <tableColumns count="15">
    <tableColumn id="1" xr3:uid="{00000000-0010-0000-0300-000001000000}" name="UDC" dataDxfId="94">
      <calculatedColumnFormula>TableOMURPLAN2[[#This Row],[Study Package Code]]</calculatedColumnFormula>
    </tableColumn>
    <tableColumn id="9" xr3:uid="{00000000-0010-0000-0300-000009000000}" name="Version" dataDxfId="93">
      <calculatedColumnFormula>TableOMURPLAN2[[#This Row],[Ver]]</calculatedColumnFormula>
    </tableColumn>
    <tableColumn id="10" xr3:uid="{00000000-0010-0000-0300-00000A000000}" name="OUA Code" dataDxfId="92">
      <calculatedColumnFormula>LEFT(TableOMURPLAN2[[#This Row],[Structure Line]],6)</calculatedColumnFormula>
    </tableColumn>
    <tableColumn id="13" xr3:uid="{00000000-0010-0000-0300-00000D000000}" name="Unit Title" dataDxfId="91">
      <calculatedColumnFormula>MID(TableOMURPLAN2[[#This Row],[Structure Line]],7,LEN(TableOMURPLAN2[[#This Row],[Structure Line]]))</calculatedColumnFormula>
    </tableColumn>
    <tableColumn id="11" xr3:uid="{00000000-0010-0000-0300-00000B000000}" name="CPs" dataDxfId="90">
      <calculatedColumnFormula>TableOMURPLAN2[[#This Row],[Credit Points]]</calculatedColumnFormula>
    </tableColumn>
    <tableColumn id="12" xr3:uid="{00000000-0010-0000-0300-00000C000000}" name="Column4" dataDxfId="89"/>
    <tableColumn id="2" xr3:uid="{00000000-0010-0000-0300-000002000000}" name="Component Type" dataDxfId="88"/>
    <tableColumn id="3" xr3:uid="{00000000-0010-0000-0300-000003000000}" name="Year Level" dataDxfId="87"/>
    <tableColumn id="4" xr3:uid="{00000000-0010-0000-0300-000004000000}" name="Study Period" dataDxfId="86"/>
    <tableColumn id="5" xr3:uid="{00000000-0010-0000-0300-000005000000}" name="Study Package Code" dataDxfId="85"/>
    <tableColumn id="6" xr3:uid="{00000000-0010-0000-0300-000006000000}" name="Ver" dataDxfId="84"/>
    <tableColumn id="7" xr3:uid="{00000000-0010-0000-0300-000007000000}" name="Structure Line" dataDxfId="83"/>
    <tableColumn id="8" xr3:uid="{00000000-0010-0000-0300-000008000000}" name="Credit Points" dataDxfId="82"/>
    <tableColumn id="14" xr3:uid="{00000000-0010-0000-0300-00000E000000}" name="Effective" dataDxfId="81"/>
    <tableColumn id="15" xr3:uid="{00000000-0010-0000-0300-00000F000000}" name="Discont." dataDxfId="80"/>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TableOCDEVPLN" displayName="TableOCDEVPLN" ref="A2:O6" totalsRowShown="0" headerRowDxfId="79" dataDxfId="78" tableBorderDxfId="77">
  <autoFilter ref="A2:O6" xr:uid="{00000000-0009-0000-0100-000005000000}"/>
  <sortState xmlns:xlrd2="http://schemas.microsoft.com/office/spreadsheetml/2017/richdata2" ref="A3:M10">
    <sortCondition ref="F2:F10"/>
  </sortState>
  <tableColumns count="15">
    <tableColumn id="1" xr3:uid="{00000000-0010-0000-0400-000001000000}" name="UDC" dataDxfId="76">
      <calculatedColumnFormula>TableOCDEVPLN[[#This Row],[Study Package Code]]</calculatedColumnFormula>
    </tableColumn>
    <tableColumn id="2" xr3:uid="{00000000-0010-0000-0400-000002000000}" name="Version" dataDxfId="75">
      <calculatedColumnFormula>TableOCDEVPLN[[#This Row],[Ver]]</calculatedColumnFormula>
    </tableColumn>
    <tableColumn id="3" xr3:uid="{00000000-0010-0000-0400-000003000000}" name="OUA Code" dataDxfId="74">
      <calculatedColumnFormula>LEFT(TableOCDEVPLN[[#This Row],[Structure Line]],6)</calculatedColumnFormula>
    </tableColumn>
    <tableColumn id="4" xr3:uid="{00000000-0010-0000-0400-000004000000}" name="Unit Title" dataDxfId="73">
      <calculatedColumnFormula>MID(TableOCDEVPLN[[#This Row],[Structure Line]],8,LEN(TableOCDEVPLN[[#This Row],[Structure Line]]))</calculatedColumnFormula>
    </tableColumn>
    <tableColumn id="5" xr3:uid="{00000000-0010-0000-0400-000005000000}" name="CPs" dataDxfId="72">
      <calculatedColumnFormula>TableOCDEVPLN[[#This Row],[Credit Points]]</calculatedColumnFormula>
    </tableColumn>
    <tableColumn id="6" xr3:uid="{00000000-0010-0000-0400-000006000000}" name="Column4" dataDxfId="71"/>
    <tableColumn id="7" xr3:uid="{00000000-0010-0000-0400-000007000000}" name="Component Type" dataDxfId="70"/>
    <tableColumn id="8" xr3:uid="{00000000-0010-0000-0400-000008000000}" name="Year Level" dataDxfId="69"/>
    <tableColumn id="9" xr3:uid="{00000000-0010-0000-0400-000009000000}" name="Study Period" dataDxfId="68"/>
    <tableColumn id="10" xr3:uid="{00000000-0010-0000-0400-00000A000000}" name="Study Package Code" dataDxfId="67"/>
    <tableColumn id="11" xr3:uid="{00000000-0010-0000-0400-00000B000000}" name="Ver" dataDxfId="66"/>
    <tableColumn id="12" xr3:uid="{00000000-0010-0000-0400-00000C000000}" name="Structure Line" dataDxfId="65"/>
    <tableColumn id="13" xr3:uid="{00000000-0010-0000-0400-00000D000000}" name="Credit Points" dataDxfId="64"/>
    <tableColumn id="14" xr3:uid="{00000000-0010-0000-0400-00000E000000}" name="Effective" dataDxfId="63"/>
    <tableColumn id="15" xr3:uid="{00000000-0010-0000-0400-00000F000000}" name="Discont." dataDxfId="62"/>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TableOCDVPLC1" displayName="TableOCDVPLC1" ref="A9:O13" totalsRowShown="0" headerRowDxfId="61" dataDxfId="60" tableBorderDxfId="59">
  <autoFilter ref="A9:O13" xr:uid="{00000000-0009-0000-0100-000006000000}"/>
  <sortState xmlns:xlrd2="http://schemas.microsoft.com/office/spreadsheetml/2017/richdata2" ref="A14:M21">
    <sortCondition ref="F2:F10"/>
  </sortState>
  <tableColumns count="15">
    <tableColumn id="1" xr3:uid="{00000000-0010-0000-0500-000001000000}" name="UDC" dataDxfId="58">
      <calculatedColumnFormula>TableOCDVPLC1[[#This Row],[Study Package Code]]</calculatedColumnFormula>
    </tableColumn>
    <tableColumn id="2" xr3:uid="{00000000-0010-0000-0500-000002000000}" name="Version" dataDxfId="57">
      <calculatedColumnFormula>TableOCDVPLC1[[#This Row],[Ver]]</calculatedColumnFormula>
    </tableColumn>
    <tableColumn id="3" xr3:uid="{00000000-0010-0000-0500-000003000000}" name="OUA Code" dataDxfId="56">
      <calculatedColumnFormula>LEFT(TableOCDVPLC1[[#This Row],[Structure Line]],6)</calculatedColumnFormula>
    </tableColumn>
    <tableColumn id="4" xr3:uid="{00000000-0010-0000-0500-000004000000}" name="Unit Title" dataDxfId="55">
      <calculatedColumnFormula>MID(TableOCDVPLC1[[#This Row],[Structure Line]],8,LEN(TableOCDVPLC1[[#This Row],[Structure Line]]))</calculatedColumnFormula>
    </tableColumn>
    <tableColumn id="5" xr3:uid="{00000000-0010-0000-0500-000005000000}" name="CPs" dataDxfId="54">
      <calculatedColumnFormula>TableOCDVPLC1[[#This Row],[Credit Points]]</calculatedColumnFormula>
    </tableColumn>
    <tableColumn id="6" xr3:uid="{00000000-0010-0000-0500-000006000000}" name="Column4" dataDxfId="53"/>
    <tableColumn id="7" xr3:uid="{00000000-0010-0000-0500-000007000000}" name="Component Type" dataDxfId="52"/>
    <tableColumn id="8" xr3:uid="{00000000-0010-0000-0500-000008000000}" name="Year Level" dataDxfId="51"/>
    <tableColumn id="9" xr3:uid="{00000000-0010-0000-0500-000009000000}" name="Study Period" dataDxfId="50"/>
    <tableColumn id="10" xr3:uid="{00000000-0010-0000-0500-00000A000000}" name="Study Package Code" dataDxfId="49"/>
    <tableColumn id="11" xr3:uid="{00000000-0010-0000-0500-00000B000000}" name="Ver" dataDxfId="48"/>
    <tableColumn id="12" xr3:uid="{00000000-0010-0000-0500-00000C000000}" name="Structure Line" dataDxfId="47"/>
    <tableColumn id="13" xr3:uid="{00000000-0010-0000-0500-00000D000000}" name="Credit Points" dataDxfId="46"/>
    <tableColumn id="14" xr3:uid="{00000000-0010-0000-0500-00000E000000}" name="Effective" dataDxfId="45"/>
    <tableColumn id="15" xr3:uid="{00000000-0010-0000-0500-00000F000000}" name="Discont." dataDxfId="44"/>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Table15" displayName="Table15" ref="Q2:R6" totalsRowShown="0">
  <autoFilter ref="Q2:R6" xr:uid="{00000000-0009-0000-0100-000007000000}"/>
  <tableColumns count="2">
    <tableColumn id="5" xr3:uid="{00000000-0010-0000-0600-000005000000}" name="SPK"/>
    <tableColumn id="6" xr3:uid="{00000000-0010-0000-0600-000006000000}" name="Ver"/>
  </tableColumns>
  <tableStyleInfo name="TableStyleLight4"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Table159" displayName="Table159" ref="Q9:R13" totalsRowShown="0">
  <autoFilter ref="Q9:R13" xr:uid="{00000000-0009-0000-0100-000008000000}"/>
  <tableColumns count="2">
    <tableColumn id="5" xr3:uid="{00000000-0010-0000-0700-000005000000}" name="SPK"/>
    <tableColumn id="6" xr3:uid="{00000000-0010-0000-0700-000006000000}" name="Ver"/>
  </tableColumns>
  <tableStyleInfo name="TableStyleLight4"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Table1510" displayName="Table1510" ref="Q23:R44" totalsRowShown="0">
  <autoFilter ref="Q23:R44" xr:uid="{00000000-0009-0000-0100-000009000000}"/>
  <tableColumns count="2">
    <tableColumn id="5" xr3:uid="{00000000-0010-0000-0800-000005000000}" name="SPK"/>
    <tableColumn id="6" xr3:uid="{00000000-0010-0000-0800-000006000000}" name="Ver"/>
  </tableColumns>
  <tableStyleInfo name="TableStyleLight4"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students.connect.curtin.edu.au/"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students.connect.curtin.edu.au/"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students.connect.curtin.edu.au/" TargetMode="External"/></Relationships>
</file>

<file path=xl/worksheets/_rels/sheet4.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table" Target="../tables/table10.xml"/><Relationship Id="rId3" Type="http://schemas.openxmlformats.org/officeDocument/2006/relationships/table" Target="../tables/table5.xml"/><Relationship Id="rId7" Type="http://schemas.openxmlformats.org/officeDocument/2006/relationships/table" Target="../tables/table9.xml"/><Relationship Id="rId2" Type="http://schemas.openxmlformats.org/officeDocument/2006/relationships/table" Target="../tables/table4.xml"/><Relationship Id="rId1" Type="http://schemas.openxmlformats.org/officeDocument/2006/relationships/printerSettings" Target="../printerSettings/printerSettings6.bin"/><Relationship Id="rId6" Type="http://schemas.openxmlformats.org/officeDocument/2006/relationships/table" Target="../tables/table8.xml"/><Relationship Id="rId5" Type="http://schemas.openxmlformats.org/officeDocument/2006/relationships/table" Target="../tables/table7.xml"/><Relationship Id="rId4" Type="http://schemas.openxmlformats.org/officeDocument/2006/relationships/table" Target="../tables/table6.xml"/><Relationship Id="rId9" Type="http://schemas.openxmlformats.org/officeDocument/2006/relationships/table" Target="../tables/table11.xml"/></Relationships>
</file>

<file path=xl/worksheets/_rels/sheet7.xml.rels><?xml version="1.0" encoding="UTF-8" standalone="yes"?>
<Relationships xmlns="http://schemas.openxmlformats.org/package/2006/relationships"><Relationship Id="rId2" Type="http://schemas.openxmlformats.org/officeDocument/2006/relationships/table" Target="../tables/table12.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40"/>
  <sheetViews>
    <sheetView showGridLines="0" topLeftCell="A2" zoomScaleNormal="100" workbookViewId="0">
      <selection activeCell="D5" sqref="D5"/>
    </sheetView>
  </sheetViews>
  <sheetFormatPr defaultRowHeight="15" x14ac:dyDescent="0.25"/>
  <cols>
    <col min="1" max="1" width="9.375" style="79" customWidth="1"/>
    <col min="2" max="2" width="3.25" style="79" customWidth="1"/>
    <col min="3" max="3" width="9.25" style="79" customWidth="1"/>
    <col min="4" max="4" width="47.875" style="77" bestFit="1" customWidth="1"/>
    <col min="5" max="5" width="8" style="77" customWidth="1"/>
    <col min="6" max="6" width="21.375" style="77" customWidth="1"/>
    <col min="7" max="7" width="5.625" style="77" customWidth="1"/>
    <col min="8" max="11" width="4.625" style="77" customWidth="1"/>
    <col min="12" max="12" width="18.625" style="77" customWidth="1"/>
    <col min="13" max="13" width="2.5" style="77" hidden="1" customWidth="1"/>
    <col min="14" max="16384" width="9" style="77"/>
  </cols>
  <sheetData>
    <row r="1" spans="1:16" hidden="1" x14ac:dyDescent="0.25">
      <c r="A1" s="73" t="s">
        <v>0</v>
      </c>
      <c r="B1" s="74" t="s">
        <v>1</v>
      </c>
      <c r="C1" s="74" t="s">
        <v>2</v>
      </c>
      <c r="D1" s="75" t="s">
        <v>3</v>
      </c>
      <c r="E1" s="75"/>
      <c r="F1" s="75" t="s">
        <v>4</v>
      </c>
      <c r="G1" s="75" t="s">
        <v>5</v>
      </c>
      <c r="H1" s="76" t="s">
        <v>6</v>
      </c>
      <c r="I1" s="75"/>
      <c r="J1" s="75"/>
      <c r="K1" s="75"/>
      <c r="L1" s="75" t="s">
        <v>7</v>
      </c>
    </row>
    <row r="2" spans="1:16" ht="39.950000000000003" customHeight="1" x14ac:dyDescent="0.25">
      <c r="A2" s="234" t="s">
        <v>8</v>
      </c>
      <c r="B2" s="234"/>
      <c r="C2" s="234"/>
      <c r="D2" s="234"/>
      <c r="E2" s="78"/>
      <c r="F2" s="78"/>
      <c r="G2" s="78"/>
      <c r="H2" s="78"/>
      <c r="I2" s="78"/>
      <c r="J2" s="78"/>
      <c r="K2" s="78"/>
      <c r="L2" s="78"/>
    </row>
    <row r="3" spans="1:16" ht="26.25" x14ac:dyDescent="0.25">
      <c r="A3" s="144"/>
      <c r="B3" s="145"/>
      <c r="C3" s="145"/>
      <c r="D3" s="146"/>
      <c r="E3" s="147" t="s">
        <v>9</v>
      </c>
      <c r="F3" s="145"/>
      <c r="G3" s="148"/>
      <c r="H3" s="148"/>
      <c r="I3" s="148"/>
      <c r="J3" s="148"/>
      <c r="K3" s="148"/>
      <c r="L3" s="148"/>
    </row>
    <row r="4" spans="1:16" ht="20.100000000000001" customHeight="1" x14ac:dyDescent="0.25">
      <c r="B4" s="80"/>
      <c r="C4" s="81" t="s">
        <v>10</v>
      </c>
      <c r="D4" s="63" t="s">
        <v>11</v>
      </c>
      <c r="E4" s="83"/>
      <c r="F4" s="81" t="s">
        <v>12</v>
      </c>
      <c r="G4" s="83" t="str">
        <f>IFERROR(CONCATENATE(VLOOKUP(D4,TableCourses[],2,FALSE)," ",VLOOKUP(D4,TableCourses[],3,FALSE)),"")</f>
        <v>OM-URPLAN2 v.1</v>
      </c>
      <c r="H4" s="83"/>
      <c r="I4" s="83"/>
      <c r="J4" s="83"/>
      <c r="K4" s="83"/>
      <c r="L4" s="151" t="e">
        <f>CONCATENATE(VLOOKUP(D4,TableCourses[],2,FALSE),VLOOKUP(D5,TableStudyPeriods[],2,FALSE))</f>
        <v>#N/A</v>
      </c>
    </row>
    <row r="5" spans="1:16" ht="20.100000000000001" customHeight="1" x14ac:dyDescent="0.25">
      <c r="A5" s="84"/>
      <c r="B5" s="85"/>
      <c r="C5" s="81" t="s">
        <v>13</v>
      </c>
      <c r="D5" s="64" t="s">
        <v>14</v>
      </c>
      <c r="E5" s="86"/>
      <c r="F5" s="81" t="s">
        <v>15</v>
      </c>
      <c r="G5" s="83" t="str">
        <f>IFERROR(VLOOKUP($D$4,TableCourses[],7,FALSE),"")</f>
        <v>300 credit points required</v>
      </c>
      <c r="H5" s="87"/>
      <c r="I5" s="87"/>
      <c r="J5" s="87"/>
      <c r="K5" s="87"/>
      <c r="L5" s="152"/>
    </row>
    <row r="6" spans="1:16" s="95" customFormat="1" ht="14.1" customHeight="1" x14ac:dyDescent="0.25">
      <c r="A6" s="88" t="s">
        <v>17</v>
      </c>
      <c r="B6" s="88"/>
      <c r="C6" s="88"/>
      <c r="D6" s="89"/>
      <c r="E6" s="90"/>
      <c r="F6" s="88"/>
      <c r="G6" s="88"/>
      <c r="H6" s="91" t="s">
        <v>16</v>
      </c>
      <c r="I6" s="92"/>
      <c r="J6" s="92"/>
      <c r="K6" s="93"/>
      <c r="L6" s="90"/>
      <c r="M6" s="94"/>
      <c r="N6" s="94"/>
      <c r="O6" s="94"/>
    </row>
    <row r="7" spans="1:16" s="95" customFormat="1" ht="21" x14ac:dyDescent="0.25">
      <c r="A7" s="88" t="s">
        <v>239</v>
      </c>
      <c r="B7" s="88" t="s">
        <v>18</v>
      </c>
      <c r="C7" s="88" t="s">
        <v>19</v>
      </c>
      <c r="D7" s="90" t="s">
        <v>3</v>
      </c>
      <c r="E7" s="96" t="s">
        <v>20</v>
      </c>
      <c r="F7" s="221" t="s">
        <v>21</v>
      </c>
      <c r="G7" s="88" t="s">
        <v>22</v>
      </c>
      <c r="H7" s="183" t="s">
        <v>23</v>
      </c>
      <c r="I7" s="184" t="s">
        <v>24</v>
      </c>
      <c r="J7" s="184" t="s">
        <v>25</v>
      </c>
      <c r="K7" s="185" t="s">
        <v>26</v>
      </c>
      <c r="L7" s="88" t="s">
        <v>27</v>
      </c>
      <c r="M7" s="94"/>
      <c r="N7" s="94"/>
      <c r="O7" s="94"/>
    </row>
    <row r="8" spans="1:16" s="103" customFormat="1" ht="20.100000000000001" customHeight="1" x14ac:dyDescent="0.15">
      <c r="A8" s="97" t="str">
        <f>IFERROR(IF(HLOOKUP($L$4,RangeUnitsets,M8,FALSE)=0,"",HLOOKUP($L$4,RangeUnitsets,M8,FALSE)),"")</f>
        <v/>
      </c>
      <c r="B8" s="98" t="str">
        <f>IFERROR(IF(VLOOKUP(A8,TableHandbook[],2,FALSE)=0,"",VLOOKUP(A8,TableHandbook[],2,FALSE)),"")</f>
        <v/>
      </c>
      <c r="C8" s="98" t="str">
        <f>IFERROR(IF(VLOOKUP(A8,TableHandbook[],3,FALSE)=0,"",VLOOKUP(A8,TableHandbook[],3,FALSE)),"")</f>
        <v/>
      </c>
      <c r="D8" s="99" t="str">
        <f>IFERROR(VLOOKUP(A8,TableHandbook[],4,FALSE),"")</f>
        <v/>
      </c>
      <c r="E8" s="98" t="str">
        <f>IF(OR(A8="",A8="-"),"",VLOOKUP($D$5,TableStudyPeriods[],2,FALSE))</f>
        <v/>
      </c>
      <c r="F8" s="222" t="str">
        <f>IFERROR(IF(VLOOKUP(A8,TableHandbook[],6,FALSE)=0,"",VLOOKUP(A8,TableHandbook[],6,FALSE)),"")</f>
        <v/>
      </c>
      <c r="G8" s="98" t="str">
        <f>IFERROR(IF(VLOOKUP(A8,TableHandbook[],5,FALSE)=0,"",VLOOKUP(A8,TableHandbook[],5,FALSE)),"")</f>
        <v/>
      </c>
      <c r="H8" s="186" t="str">
        <f>IFERROR(VLOOKUP($A8,TableHandbook[],7,FALSE),"")</f>
        <v/>
      </c>
      <c r="I8" s="187" t="str">
        <f>IFERROR(VLOOKUP($A8,TableHandbook[],8,FALSE),"")</f>
        <v/>
      </c>
      <c r="J8" s="187" t="str">
        <f>IFERROR(VLOOKUP($A8,TableHandbook[],9,FALSE),"")</f>
        <v/>
      </c>
      <c r="K8" s="188" t="str">
        <f>IFERROR(VLOOKUP($A8,TableHandbook[],10,FALSE),"")</f>
        <v/>
      </c>
      <c r="L8" s="56"/>
      <c r="M8" s="101">
        <v>2</v>
      </c>
      <c r="N8" s="102"/>
      <c r="O8" s="102"/>
    </row>
    <row r="9" spans="1:16" s="103" customFormat="1" ht="20.100000000000001" customHeight="1" x14ac:dyDescent="0.15">
      <c r="A9" s="104" t="str">
        <f>IFERROR(IF(HLOOKUP($L$4,RangeUnitsets,M9,FALSE)=0,"",HLOOKUP($L$4,RangeUnitsets,M9,FALSE)),"")</f>
        <v/>
      </c>
      <c r="B9" s="105" t="str">
        <f>IFERROR(IF(VLOOKUP(A9,TableHandbook[],2,FALSE)=0,"",VLOOKUP(A9,TableHandbook[],2,FALSE)),"")</f>
        <v/>
      </c>
      <c r="C9" s="105" t="str">
        <f>IFERROR(IF(VLOOKUP(A9,TableHandbook[],3,FALSE)=0,"",VLOOKUP(A9,TableHandbook[],3,FALSE)),"")</f>
        <v/>
      </c>
      <c r="D9" s="106" t="str">
        <f>IFERROR(VLOOKUP(A9,TableHandbook[],4,FALSE),"")</f>
        <v/>
      </c>
      <c r="E9" s="105" t="str">
        <f>IF(OR(A9="",A9="-"),"",E8)</f>
        <v/>
      </c>
      <c r="F9" s="223" t="str">
        <f>IFERROR(IF(VLOOKUP(A9,TableHandbook[],6,FALSE)=0,"",VLOOKUP(A9,TableHandbook[],6,FALSE)),"")</f>
        <v/>
      </c>
      <c r="G9" s="105" t="str">
        <f>IFERROR(IF(VLOOKUP(A9,TableHandbook[],5,FALSE)=0,"",VLOOKUP(A9,TableHandbook[],5,FALSE)),"")</f>
        <v/>
      </c>
      <c r="H9" s="189" t="str">
        <f>IFERROR(VLOOKUP($A9,TableHandbook[],7,FALSE),"")</f>
        <v/>
      </c>
      <c r="I9" s="190" t="str">
        <f>IFERROR(VLOOKUP($A9,TableHandbook[],8,FALSE),"")</f>
        <v/>
      </c>
      <c r="J9" s="190" t="str">
        <f>IFERROR(VLOOKUP($A9,TableHandbook[],9,FALSE),"")</f>
        <v/>
      </c>
      <c r="K9" s="191" t="str">
        <f>IFERROR(VLOOKUP($A9,TableHandbook[],10,FALSE),"")</f>
        <v/>
      </c>
      <c r="L9" s="57"/>
      <c r="M9" s="101">
        <v>3</v>
      </c>
      <c r="N9" s="102"/>
      <c r="O9" s="102"/>
    </row>
    <row r="10" spans="1:16" s="103" customFormat="1" ht="4.5" customHeight="1" x14ac:dyDescent="0.15">
      <c r="A10" s="108"/>
      <c r="B10" s="109"/>
      <c r="C10" s="109" t="str">
        <f>IFERROR(IF(VLOOKUP(A10,TableHandbook[],3,FALSE)=0,"",VLOOKUP(A10,TableHandbook[],3,FALSE)),"")</f>
        <v/>
      </c>
      <c r="D10" s="110"/>
      <c r="E10" s="109"/>
      <c r="F10" s="224"/>
      <c r="G10" s="109"/>
      <c r="H10" s="192"/>
      <c r="I10" s="193"/>
      <c r="J10" s="193"/>
      <c r="K10" s="194"/>
      <c r="L10" s="53"/>
      <c r="M10" s="112"/>
      <c r="N10" s="102"/>
      <c r="O10" s="102"/>
      <c r="P10" s="102"/>
    </row>
    <row r="11" spans="1:16" s="103" customFormat="1" ht="20.100000000000001" customHeight="1" x14ac:dyDescent="0.15">
      <c r="A11" s="97" t="str">
        <f>IFERROR(IF(HLOOKUP($L$4,RangeUnitsets,M11,FALSE)=0,"",HLOOKUP($L$4,RangeUnitsets,M11,FALSE)),"")</f>
        <v/>
      </c>
      <c r="B11" s="98" t="str">
        <f>IFERROR(IF(VLOOKUP(A11,TableHandbook[],2,FALSE)=0,"",VLOOKUP(A11,TableHandbook[],2,FALSE)),"")</f>
        <v/>
      </c>
      <c r="C11" s="98" t="str">
        <f>IFERROR(IF(VLOOKUP(A11,TableHandbook[],3,FALSE)=0,"",VLOOKUP(A11,TableHandbook[],3,FALSE)),"")</f>
        <v/>
      </c>
      <c r="D11" s="99" t="str">
        <f>IFERROR(VLOOKUP(A11,TableHandbook[],4,FALSE),"")</f>
        <v/>
      </c>
      <c r="E11" s="98" t="str">
        <f>IF(OR(A11="",A11="-"),"",VLOOKUP($D$5,TableStudyPeriods[],3,FALSE))</f>
        <v/>
      </c>
      <c r="F11" s="222" t="str">
        <f>IFERROR(IF(VLOOKUP(A11,TableHandbook[],6,FALSE)=0,"",VLOOKUP(A11,TableHandbook[],6,FALSE)),"")</f>
        <v/>
      </c>
      <c r="G11" s="98" t="str">
        <f>IFERROR(IF(VLOOKUP(A11,TableHandbook[],5,FALSE)=0,"",VLOOKUP(A11,TableHandbook[],5,FALSE)),"")</f>
        <v/>
      </c>
      <c r="H11" s="186" t="str">
        <f>IFERROR(VLOOKUP($A11,TableHandbook[],7,FALSE),"")</f>
        <v/>
      </c>
      <c r="I11" s="187" t="str">
        <f>IFERROR(VLOOKUP($A11,TableHandbook[],8,FALSE),"")</f>
        <v/>
      </c>
      <c r="J11" s="187" t="str">
        <f>IFERROR(VLOOKUP($A11,TableHandbook[],9,FALSE),"")</f>
        <v/>
      </c>
      <c r="K11" s="188" t="str">
        <f>IFERROR(VLOOKUP($A11,TableHandbook[],10,FALSE),"")</f>
        <v/>
      </c>
      <c r="L11" s="58"/>
      <c r="M11" s="101">
        <v>4</v>
      </c>
      <c r="N11" s="102"/>
      <c r="O11" s="102"/>
    </row>
    <row r="12" spans="1:16" s="103" customFormat="1" ht="20.100000000000001" customHeight="1" x14ac:dyDescent="0.15">
      <c r="A12" s="104" t="str">
        <f>IFERROR(IF(HLOOKUP($L$4,RangeUnitsets,M12,FALSE)=0,"",HLOOKUP($L$4,RangeUnitsets,M12,FALSE)),"")</f>
        <v/>
      </c>
      <c r="B12" s="105" t="str">
        <f>IFERROR(IF(VLOOKUP(A12,TableHandbook[],2,FALSE)=0,"",VLOOKUP(A12,TableHandbook[],2,FALSE)),"")</f>
        <v/>
      </c>
      <c r="C12" s="105" t="str">
        <f>IFERROR(IF(VLOOKUP(A12,TableHandbook[],3,FALSE)=0,"",VLOOKUP(A12,TableHandbook[],3,FALSE)),"")</f>
        <v/>
      </c>
      <c r="D12" s="106" t="str">
        <f>IFERROR(VLOOKUP(A12,TableHandbook[],4,FALSE),"")</f>
        <v/>
      </c>
      <c r="E12" s="105" t="str">
        <f>IF(OR(A12="",A12="-"),"",E11)</f>
        <v/>
      </c>
      <c r="F12" s="223" t="str">
        <f>IFERROR(IF(VLOOKUP(A12,TableHandbook[],6,FALSE)=0,"",VLOOKUP(A12,TableHandbook[],6,FALSE)),"")</f>
        <v/>
      </c>
      <c r="G12" s="105" t="str">
        <f>IFERROR(IF(VLOOKUP(A12,TableHandbook[],5,FALSE)=0,"",VLOOKUP(A12,TableHandbook[],5,FALSE)),"")</f>
        <v/>
      </c>
      <c r="H12" s="189" t="str">
        <f>IFERROR(VLOOKUP($A12,TableHandbook[],7,FALSE),"")</f>
        <v/>
      </c>
      <c r="I12" s="190" t="str">
        <f>IFERROR(VLOOKUP($A12,TableHandbook[],8,FALSE),"")</f>
        <v/>
      </c>
      <c r="J12" s="190" t="str">
        <f>IFERROR(VLOOKUP($A12,TableHandbook[],9,FALSE),"")</f>
        <v/>
      </c>
      <c r="K12" s="191" t="str">
        <f>IFERROR(VLOOKUP($A12,TableHandbook[],10,FALSE),"")</f>
        <v/>
      </c>
      <c r="L12" s="57"/>
      <c r="M12" s="101">
        <v>5</v>
      </c>
      <c r="N12" s="102"/>
      <c r="O12" s="102"/>
    </row>
    <row r="13" spans="1:16" s="103" customFormat="1" ht="4.5" customHeight="1" x14ac:dyDescent="0.15">
      <c r="A13" s="108"/>
      <c r="B13" s="109"/>
      <c r="C13" s="109" t="str">
        <f>IFERROR(IF(VLOOKUP(A13,TableHandbook[],3,FALSE)=0,"",VLOOKUP(A13,TableHandbook[],3,FALSE)),"")</f>
        <v/>
      </c>
      <c r="D13" s="110"/>
      <c r="E13" s="109"/>
      <c r="F13" s="224"/>
      <c r="G13" s="109"/>
      <c r="H13" s="192"/>
      <c r="I13" s="193"/>
      <c r="J13" s="193"/>
      <c r="K13" s="194"/>
      <c r="L13" s="53"/>
      <c r="M13" s="112"/>
      <c r="N13" s="102"/>
      <c r="O13" s="102"/>
      <c r="P13" s="102"/>
    </row>
    <row r="14" spans="1:16" s="103" customFormat="1" ht="20.100000000000001" customHeight="1" x14ac:dyDescent="0.15">
      <c r="A14" s="97" t="str">
        <f>IFERROR(IF(HLOOKUP($L$4,RangeUnitsets,M14,FALSE)=0,"",HLOOKUP($L$4,RangeUnitsets,M14,FALSE)),"")</f>
        <v/>
      </c>
      <c r="B14" s="113" t="str">
        <f>IFERROR(IF(VLOOKUP(A14,TableHandbook[],2,FALSE)=0,"",VLOOKUP(A14,TableHandbook[],2,FALSE)),"")</f>
        <v/>
      </c>
      <c r="C14" s="113" t="str">
        <f>IFERROR(IF(VLOOKUP(A14,TableHandbook[],3,FALSE)=0,"",VLOOKUP(A14,TableHandbook[],3,FALSE)),"")</f>
        <v/>
      </c>
      <c r="D14" s="99" t="str">
        <f>IFERROR(VLOOKUP(A14,TableHandbook[],4,FALSE),"")</f>
        <v/>
      </c>
      <c r="E14" s="98" t="str">
        <f>IF(OR(A14="",A14="-"),"",VLOOKUP($D$5,TableStudyPeriods[],4,FALSE))</f>
        <v/>
      </c>
      <c r="F14" s="222" t="str">
        <f>IFERROR(IF(VLOOKUP(A14,TableHandbook[],6,FALSE)=0,"",VLOOKUP(A14,TableHandbook[],6,FALSE)),"")</f>
        <v/>
      </c>
      <c r="G14" s="113" t="str">
        <f>IFERROR(IF(VLOOKUP(A14,TableHandbook[],5,FALSE)=0,"",VLOOKUP(A14,TableHandbook[],5,FALSE)),"")</f>
        <v/>
      </c>
      <c r="H14" s="195" t="str">
        <f>IFERROR(VLOOKUP($A14,TableHandbook[],7,FALSE),"")</f>
        <v/>
      </c>
      <c r="I14" s="196" t="str">
        <f>IFERROR(VLOOKUP($A14,TableHandbook[],8,FALSE),"")</f>
        <v/>
      </c>
      <c r="J14" s="196" t="str">
        <f>IFERROR(VLOOKUP($A14,TableHandbook[],9,FALSE),"")</f>
        <v/>
      </c>
      <c r="K14" s="197" t="str">
        <f>IFERROR(VLOOKUP($A14,TableHandbook[],10,FALSE),"")</f>
        <v/>
      </c>
      <c r="L14" s="58"/>
      <c r="M14" s="101">
        <v>6</v>
      </c>
      <c r="N14" s="102"/>
      <c r="O14" s="102"/>
    </row>
    <row r="15" spans="1:16" s="116" customFormat="1" ht="20.100000000000001" customHeight="1" x14ac:dyDescent="0.15">
      <c r="A15" s="104" t="str">
        <f>IFERROR(IF(HLOOKUP($L$4,RangeUnitsets,M15,FALSE)=0,"",HLOOKUP($L$4,RangeUnitsets,M15,FALSE)),"")</f>
        <v/>
      </c>
      <c r="B15" s="114" t="str">
        <f>IFERROR(IF(VLOOKUP(A15,TableHandbook[],2,FALSE)=0,"",VLOOKUP(A15,TableHandbook[],2,FALSE)),"")</f>
        <v/>
      </c>
      <c r="C15" s="114" t="str">
        <f>IFERROR(IF(VLOOKUP(A15,TableHandbook[],3,FALSE)=0,"",VLOOKUP(A15,TableHandbook[],3,FALSE)),"")</f>
        <v/>
      </c>
      <c r="D15" s="106" t="str">
        <f>IFERROR(VLOOKUP(A15,TableHandbook[],4,FALSE),"")</f>
        <v/>
      </c>
      <c r="E15" s="105" t="str">
        <f>IF(OR(A15="",A15="-"),"",E14)</f>
        <v/>
      </c>
      <c r="F15" s="223" t="str">
        <f>IFERROR(IF(VLOOKUP(A15,TableHandbook[],6,FALSE)=0,"",VLOOKUP(A15,TableHandbook[],6,FALSE)),"")</f>
        <v/>
      </c>
      <c r="G15" s="114" t="str">
        <f>IFERROR(IF(VLOOKUP(A15,TableHandbook[],5,FALSE)=0,"",VLOOKUP(A15,TableHandbook[],5,FALSE)),"")</f>
        <v/>
      </c>
      <c r="H15" s="198" t="str">
        <f>IFERROR(VLOOKUP($A15,TableHandbook[],7,FALSE),"")</f>
        <v/>
      </c>
      <c r="I15" s="199" t="str">
        <f>IFERROR(VLOOKUP($A15,TableHandbook[],8,FALSE),"")</f>
        <v/>
      </c>
      <c r="J15" s="199" t="str">
        <f>IFERROR(VLOOKUP($A15,TableHandbook[],9,FALSE),"")</f>
        <v/>
      </c>
      <c r="K15" s="200" t="str">
        <f>IFERROR(VLOOKUP($A15,TableHandbook[],10,FALSE),"")</f>
        <v/>
      </c>
      <c r="L15" s="59"/>
      <c r="M15" s="101">
        <v>7</v>
      </c>
      <c r="N15" s="115"/>
      <c r="O15" s="115"/>
    </row>
    <row r="16" spans="1:16" s="103" customFormat="1" ht="4.5" customHeight="1" x14ac:dyDescent="0.15">
      <c r="A16" s="108"/>
      <c r="B16" s="109"/>
      <c r="C16" s="109" t="str">
        <f>IFERROR(IF(VLOOKUP(A16,TableHandbook[],3,FALSE)=0,"",VLOOKUP(A16,TableHandbook[],3,FALSE)),"")</f>
        <v/>
      </c>
      <c r="D16" s="110"/>
      <c r="E16" s="109"/>
      <c r="F16" s="224"/>
      <c r="G16" s="109"/>
      <c r="H16" s="192"/>
      <c r="I16" s="193"/>
      <c r="J16" s="193"/>
      <c r="K16" s="194"/>
      <c r="L16" s="53"/>
      <c r="M16" s="112"/>
      <c r="N16" s="102"/>
      <c r="O16" s="102"/>
      <c r="P16" s="102"/>
    </row>
    <row r="17" spans="1:16" s="116" customFormat="1" ht="20.100000000000001" customHeight="1" x14ac:dyDescent="0.15">
      <c r="A17" s="97" t="str">
        <f>IFERROR(IF(HLOOKUP($L$4,RangeUnitsets,M17,FALSE)=0,"",HLOOKUP($L$4,RangeUnitsets,M17,FALSE)),"")</f>
        <v/>
      </c>
      <c r="B17" s="113" t="str">
        <f>IFERROR(IF(VLOOKUP(A17,TableHandbook[],2,FALSE)=0,"",VLOOKUP(A17,TableHandbook[],2,FALSE)),"")</f>
        <v/>
      </c>
      <c r="C17" s="113" t="str">
        <f>IFERROR(IF(VLOOKUP(A17,TableHandbook[],3,FALSE)=0,"",VLOOKUP(A17,TableHandbook[],3,FALSE)),"")</f>
        <v/>
      </c>
      <c r="D17" s="99" t="str">
        <f>IFERROR(VLOOKUP(A17,TableHandbook[],4,FALSE),"")</f>
        <v/>
      </c>
      <c r="E17" s="98" t="str">
        <f>IF(OR(A17="",A17="-"),"",VLOOKUP($D$5,TableStudyPeriods[],5,FALSE))</f>
        <v/>
      </c>
      <c r="F17" s="222" t="str">
        <f>IFERROR(IF(VLOOKUP(A17,TableHandbook[],6,FALSE)=0,"",VLOOKUP(A17,TableHandbook[],6,FALSE)),"")</f>
        <v/>
      </c>
      <c r="G17" s="113" t="str">
        <f>IFERROR(IF(VLOOKUP(A17,TableHandbook[],5,FALSE)=0,"",VLOOKUP(A17,TableHandbook[],5,FALSE)),"")</f>
        <v/>
      </c>
      <c r="H17" s="195" t="str">
        <f>IFERROR(VLOOKUP($A17,TableHandbook[],7,FALSE),"")</f>
        <v/>
      </c>
      <c r="I17" s="196" t="str">
        <f>IFERROR(VLOOKUP($A17,TableHandbook[],8,FALSE),"")</f>
        <v/>
      </c>
      <c r="J17" s="196" t="str">
        <f>IFERROR(VLOOKUP($A17,TableHandbook[],9,FALSE),"")</f>
        <v/>
      </c>
      <c r="K17" s="197" t="str">
        <f>IFERROR(VLOOKUP($A17,TableHandbook[],10,FALSE),"")</f>
        <v/>
      </c>
      <c r="L17" s="58"/>
      <c r="M17" s="101">
        <v>8</v>
      </c>
      <c r="N17" s="115"/>
      <c r="O17" s="115"/>
    </row>
    <row r="18" spans="1:16" s="116" customFormat="1" ht="20.100000000000001" customHeight="1" x14ac:dyDescent="0.15">
      <c r="A18" s="104" t="str">
        <f>IFERROR(IF(HLOOKUP($L$4,RangeUnitsets,M18,FALSE)=0,"",HLOOKUP($L$4,RangeUnitsets,M18,FALSE)),"")</f>
        <v/>
      </c>
      <c r="B18" s="114" t="str">
        <f>IFERROR(IF(VLOOKUP(A18,TableHandbook[],2,FALSE)=0,"",VLOOKUP(A18,TableHandbook[],2,FALSE)),"")</f>
        <v/>
      </c>
      <c r="C18" s="114" t="str">
        <f>IFERROR(IF(VLOOKUP(A18,TableHandbook[],3,FALSE)=0,"",VLOOKUP(A18,TableHandbook[],3,FALSE)),"")</f>
        <v/>
      </c>
      <c r="D18" s="117" t="str">
        <f>IFERROR(VLOOKUP(A18,TableHandbook[],4,FALSE),"")</f>
        <v/>
      </c>
      <c r="E18" s="114" t="str">
        <f>IF(OR(A18="",A18="-"),"",E17)</f>
        <v/>
      </c>
      <c r="F18" s="223" t="str">
        <f>IFERROR(IF(VLOOKUP(A18,TableHandbook[],6,FALSE)=0,"",VLOOKUP(A18,TableHandbook[],6,FALSE)),"")</f>
        <v/>
      </c>
      <c r="G18" s="114" t="str">
        <f>IFERROR(IF(VLOOKUP(A18,TableHandbook[],5,FALSE)=0,"",VLOOKUP(A18,TableHandbook[],5,FALSE)),"")</f>
        <v/>
      </c>
      <c r="H18" s="195" t="str">
        <f>IFERROR(VLOOKUP($A18,TableHandbook[],7,FALSE),"")</f>
        <v/>
      </c>
      <c r="I18" s="196" t="str">
        <f>IFERROR(VLOOKUP($A18,TableHandbook[],8,FALSE),"")</f>
        <v/>
      </c>
      <c r="J18" s="196" t="str">
        <f>IFERROR(VLOOKUP($A18,TableHandbook[],9,FALSE),"")</f>
        <v/>
      </c>
      <c r="K18" s="197" t="str">
        <f>IFERROR(VLOOKUP($A18,TableHandbook[],10,FALSE),"")</f>
        <v/>
      </c>
      <c r="L18" s="59"/>
      <c r="M18" s="101">
        <v>9</v>
      </c>
      <c r="N18" s="115"/>
      <c r="O18" s="115"/>
    </row>
    <row r="19" spans="1:16" s="95" customFormat="1" ht="21" x14ac:dyDescent="0.25">
      <c r="A19" s="88" t="s">
        <v>28</v>
      </c>
      <c r="B19" s="88"/>
      <c r="C19" s="88" t="s">
        <v>19</v>
      </c>
      <c r="D19" s="89" t="s">
        <v>3</v>
      </c>
      <c r="E19" s="96" t="s">
        <v>20</v>
      </c>
      <c r="F19" s="221" t="s">
        <v>21</v>
      </c>
      <c r="G19" s="88" t="s">
        <v>22</v>
      </c>
      <c r="H19" s="201" t="str">
        <f>H$7</f>
        <v>SP1</v>
      </c>
      <c r="I19" s="202" t="str">
        <f t="shared" ref="I19:L19" si="0">I$7</f>
        <v>SP2</v>
      </c>
      <c r="J19" s="202" t="str">
        <f t="shared" si="0"/>
        <v>SP3</v>
      </c>
      <c r="K19" s="203" t="str">
        <f t="shared" si="0"/>
        <v>SP4</v>
      </c>
      <c r="L19" s="88" t="str">
        <f t="shared" si="0"/>
        <v>Notes / Progress</v>
      </c>
      <c r="M19" s="94"/>
      <c r="N19" s="94"/>
      <c r="O19" s="94"/>
    </row>
    <row r="20" spans="1:16" s="103" customFormat="1" ht="20.100000000000001" customHeight="1" x14ac:dyDescent="0.15">
      <c r="A20" s="97" t="str">
        <f>IFERROR(IF(HLOOKUP($L$4,RangeUnitsets,M20,FALSE)=0,"",HLOOKUP($L$4,RangeUnitsets,M20,FALSE)),"")</f>
        <v/>
      </c>
      <c r="B20" s="113" t="str">
        <f>IFERROR(IF(VLOOKUP(A20,TableHandbook[],2,FALSE)=0,"",VLOOKUP(A20,TableHandbook[],2,FALSE)),"")</f>
        <v/>
      </c>
      <c r="C20" s="113" t="str">
        <f>IFERROR(IF(VLOOKUP(A20,TableHandbook[],3,FALSE)=0,"",VLOOKUP(A20,TableHandbook[],3,FALSE)),"")</f>
        <v/>
      </c>
      <c r="D20" s="118" t="str">
        <f>IFERROR(VLOOKUP(A20,TableHandbook[],4,FALSE),"")</f>
        <v/>
      </c>
      <c r="E20" s="113" t="str">
        <f>IF(OR(A20="",A20="-"),"",VLOOKUP($D$5,TableStudyPeriods[],2,FALSE))</f>
        <v/>
      </c>
      <c r="F20" s="222" t="str">
        <f>IFERROR(IF(VLOOKUP(A20,TableHandbook[],6,FALSE)=0,"",VLOOKUP(A20,TableHandbook[],6,FALSE)),"")</f>
        <v/>
      </c>
      <c r="G20" s="98" t="str">
        <f>IFERROR(IF(VLOOKUP(A20,TableHandbook[],5,FALSE)=0,"",VLOOKUP(A20,TableHandbook[],5,FALSE)),"")</f>
        <v/>
      </c>
      <c r="H20" s="186" t="str">
        <f>IFERROR(VLOOKUP($A20,TableHandbook[],7,FALSE),"")</f>
        <v/>
      </c>
      <c r="I20" s="187" t="str">
        <f>IFERROR(VLOOKUP($A20,TableHandbook[],8,FALSE),"")</f>
        <v/>
      </c>
      <c r="J20" s="187" t="str">
        <f>IFERROR(VLOOKUP($A20,TableHandbook[],9,FALSE),"")</f>
        <v/>
      </c>
      <c r="K20" s="188" t="str">
        <f>IFERROR(VLOOKUP($A20,TableHandbook[],10,FALSE),"")</f>
        <v/>
      </c>
      <c r="L20" s="60"/>
      <c r="M20" s="101">
        <v>10</v>
      </c>
      <c r="N20" s="102"/>
      <c r="O20" s="102"/>
    </row>
    <row r="21" spans="1:16" s="103" customFormat="1" ht="20.100000000000001" customHeight="1" x14ac:dyDescent="0.15">
      <c r="A21" s="104" t="str">
        <f>IFERROR(IF(HLOOKUP($L$4,RangeUnitsets,M21,FALSE)=0,"",HLOOKUP($L$4,RangeUnitsets,M21,FALSE)),"")</f>
        <v/>
      </c>
      <c r="B21" s="114" t="str">
        <f>IFERROR(IF(VLOOKUP(A21,TableHandbook[],2,FALSE)=0,"",VLOOKUP(A21,TableHandbook[],2,FALSE)),"")</f>
        <v/>
      </c>
      <c r="C21" s="114" t="str">
        <f>IFERROR(IF(VLOOKUP(A21,TableHandbook[],3,FALSE)=0,"",VLOOKUP(A21,TableHandbook[],3,FALSE)),"")</f>
        <v/>
      </c>
      <c r="D21" s="117" t="str">
        <f>IFERROR(VLOOKUP(A21,TableHandbook[],4,FALSE),"")</f>
        <v/>
      </c>
      <c r="E21" s="114" t="str">
        <f>IF(OR(A21="",A21="-"),"",E20)</f>
        <v/>
      </c>
      <c r="F21" s="223" t="str">
        <f>IFERROR(IF(VLOOKUP(A21,TableHandbook[],6,FALSE)=0,"",VLOOKUP(A21,TableHandbook[],6,FALSE)),"")</f>
        <v/>
      </c>
      <c r="G21" s="105" t="str">
        <f>IFERROR(IF(VLOOKUP(A21,TableHandbook[],5,FALSE)=0,"",VLOOKUP(A21,TableHandbook[],5,FALSE)),"")</f>
        <v/>
      </c>
      <c r="H21" s="189" t="str">
        <f>IFERROR(VLOOKUP($A21,TableHandbook[],7,FALSE),"")</f>
        <v/>
      </c>
      <c r="I21" s="190" t="str">
        <f>IFERROR(VLOOKUP($A21,TableHandbook[],8,FALSE),"")</f>
        <v/>
      </c>
      <c r="J21" s="190" t="str">
        <f>IFERROR(VLOOKUP($A21,TableHandbook[],9,FALSE),"")</f>
        <v/>
      </c>
      <c r="K21" s="191" t="str">
        <f>IFERROR(VLOOKUP($A21,TableHandbook[],10,FALSE),"")</f>
        <v/>
      </c>
      <c r="L21" s="61"/>
      <c r="M21" s="101">
        <v>11</v>
      </c>
      <c r="N21" s="102"/>
      <c r="O21" s="102"/>
    </row>
    <row r="22" spans="1:16" s="103" customFormat="1" ht="4.5" customHeight="1" x14ac:dyDescent="0.15">
      <c r="A22" s="108"/>
      <c r="B22" s="109"/>
      <c r="C22" s="109" t="str">
        <f>IFERROR(IF(VLOOKUP(A22,TableHandbook[],3,FALSE)=0,"",VLOOKUP(A22,TableHandbook[],3,FALSE)),"")</f>
        <v/>
      </c>
      <c r="D22" s="110"/>
      <c r="E22" s="109"/>
      <c r="F22" s="224"/>
      <c r="G22" s="109"/>
      <c r="H22" s="192"/>
      <c r="I22" s="193"/>
      <c r="J22" s="193"/>
      <c r="K22" s="194"/>
      <c r="L22" s="53"/>
      <c r="M22" s="112"/>
      <c r="N22" s="102"/>
      <c r="O22" s="102"/>
      <c r="P22" s="102"/>
    </row>
    <row r="23" spans="1:16" s="103" customFormat="1" ht="20.100000000000001" customHeight="1" x14ac:dyDescent="0.15">
      <c r="A23" s="97" t="str">
        <f>IFERROR(IF(HLOOKUP($L$4,RangeUnitsets,M23,FALSE)=0,"",HLOOKUP($L$4,RangeUnitsets,M23,FALSE)),"")</f>
        <v/>
      </c>
      <c r="B23" s="113" t="str">
        <f>IFERROR(IF(VLOOKUP(A23,TableHandbook[],2,FALSE)=0,"",VLOOKUP(A23,TableHandbook[],2,FALSE)),"")</f>
        <v/>
      </c>
      <c r="C23" s="113" t="str">
        <f>IFERROR(IF(VLOOKUP(A23,TableHandbook[],3,FALSE)=0,"",VLOOKUP(A23,TableHandbook[],3,FALSE)),"")</f>
        <v/>
      </c>
      <c r="D23" s="119" t="str">
        <f>IFERROR(VLOOKUP(A23,TableHandbook[],4,FALSE),"")</f>
        <v/>
      </c>
      <c r="E23" s="113" t="str">
        <f>IF(OR(A23="",A23="-"),"",VLOOKUP($D$5,TableStudyPeriods[],3,FALSE))</f>
        <v/>
      </c>
      <c r="F23" s="222" t="str">
        <f>IFERROR(IF(VLOOKUP(A23,TableHandbook[],6,FALSE)=0,"",VLOOKUP(A23,TableHandbook[],6,FALSE)),"")</f>
        <v/>
      </c>
      <c r="G23" s="98" t="str">
        <f>IFERROR(IF(VLOOKUP(A23,TableHandbook[],5,FALSE)=0,"",VLOOKUP(A23,TableHandbook[],5,FALSE)),"")</f>
        <v/>
      </c>
      <c r="H23" s="186" t="str">
        <f>IFERROR(VLOOKUP($A23,TableHandbook[],7,FALSE),"")</f>
        <v/>
      </c>
      <c r="I23" s="187" t="str">
        <f>IFERROR(VLOOKUP($A23,TableHandbook[],8,FALSE),"")</f>
        <v/>
      </c>
      <c r="J23" s="187" t="str">
        <f>IFERROR(VLOOKUP($A23,TableHandbook[],9,FALSE),"")</f>
        <v/>
      </c>
      <c r="K23" s="188" t="str">
        <f>IFERROR(VLOOKUP($A23,TableHandbook[],10,FALSE),"")</f>
        <v/>
      </c>
      <c r="L23" s="60"/>
      <c r="M23" s="101">
        <v>12</v>
      </c>
      <c r="N23" s="102"/>
      <c r="O23" s="102"/>
    </row>
    <row r="24" spans="1:16" s="103" customFormat="1" ht="20.100000000000001" customHeight="1" x14ac:dyDescent="0.15">
      <c r="A24" s="104" t="str">
        <f>IFERROR(IF(HLOOKUP($L$4,RangeUnitsets,M24,FALSE)=0,"",HLOOKUP($L$4,RangeUnitsets,M24,FALSE)),"")</f>
        <v/>
      </c>
      <c r="B24" s="114" t="str">
        <f>IFERROR(IF(VLOOKUP(A24,TableHandbook[],2,FALSE)=0,"",VLOOKUP(A24,TableHandbook[],2,FALSE)),"")</f>
        <v/>
      </c>
      <c r="C24" s="114" t="str">
        <f>IFERROR(IF(VLOOKUP(A24,TableHandbook[],3,FALSE)=0,"",VLOOKUP(A24,TableHandbook[],3,FALSE)),"")</f>
        <v/>
      </c>
      <c r="D24" s="117" t="str">
        <f>IFERROR(VLOOKUP(A24,TableHandbook[],4,FALSE),"")</f>
        <v/>
      </c>
      <c r="E24" s="114" t="str">
        <f>IF(OR(A24="",A24="-"),"",E23)</f>
        <v/>
      </c>
      <c r="F24" s="107" t="str">
        <f>IFERROR(IF(VLOOKUP(A24,TableHandbook[],6,FALSE)=0,"",VLOOKUP(A24,TableHandbook[],6,FALSE)),"")</f>
        <v/>
      </c>
      <c r="G24" s="105" t="str">
        <f>IFERROR(IF(VLOOKUP(A24,TableHandbook[],5,FALSE)=0,"",VLOOKUP(A24,TableHandbook[],5,FALSE)),"")</f>
        <v/>
      </c>
      <c r="H24" s="189" t="str">
        <f>IFERROR(VLOOKUP($A24,TableHandbook[],7,FALSE),"")</f>
        <v/>
      </c>
      <c r="I24" s="190" t="str">
        <f>IFERROR(VLOOKUP($A24,TableHandbook[],8,FALSE),"")</f>
        <v/>
      </c>
      <c r="J24" s="190" t="str">
        <f>IFERROR(VLOOKUP($A24,TableHandbook[],9,FALSE),"")</f>
        <v/>
      </c>
      <c r="K24" s="191" t="str">
        <f>IFERROR(VLOOKUP($A24,TableHandbook[],10,FALSE),"")</f>
        <v/>
      </c>
      <c r="L24" s="61"/>
      <c r="M24" s="101">
        <v>13</v>
      </c>
      <c r="N24" s="102"/>
      <c r="O24" s="102"/>
    </row>
    <row r="25" spans="1:16" s="124" customFormat="1" ht="13.9" customHeight="1" x14ac:dyDescent="0.2">
      <c r="A25" s="120"/>
      <c r="B25" s="120"/>
      <c r="C25" s="120"/>
      <c r="D25" s="121"/>
      <c r="E25" s="121"/>
      <c r="F25" s="122"/>
      <c r="G25" s="122"/>
      <c r="H25" s="122"/>
      <c r="I25" s="122"/>
      <c r="J25" s="122"/>
      <c r="K25" s="122"/>
      <c r="L25" s="122"/>
      <c r="M25" s="123"/>
      <c r="N25" s="123"/>
      <c r="O25" s="123"/>
    </row>
    <row r="26" spans="1:16" ht="17.25" x14ac:dyDescent="0.25">
      <c r="A26" s="150" t="s">
        <v>29</v>
      </c>
      <c r="B26" s="125"/>
      <c r="C26" s="125"/>
      <c r="D26" s="126"/>
      <c r="E26" s="127"/>
      <c r="F26" s="127"/>
      <c r="G26" s="127"/>
      <c r="H26" s="128" t="str">
        <f>H6</f>
        <v>2025 Availabilities</v>
      </c>
      <c r="I26" s="129"/>
      <c r="J26" s="130"/>
      <c r="K26" s="131"/>
      <c r="L26" s="132" t="str">
        <f>VLOOKUP($D$4,TableCourses[],2,FALSE)</f>
        <v>OM-URPLAN2</v>
      </c>
    </row>
    <row r="27" spans="1:16" s="134" customFormat="1" x14ac:dyDescent="0.25">
      <c r="A27" s="133" t="s">
        <v>239</v>
      </c>
      <c r="B27" s="133" t="s">
        <v>18</v>
      </c>
      <c r="C27" s="133" t="s">
        <v>19</v>
      </c>
      <c r="D27" s="125" t="s">
        <v>3</v>
      </c>
      <c r="E27" s="133"/>
      <c r="F27" s="133" t="s">
        <v>30</v>
      </c>
      <c r="G27" s="133" t="s">
        <v>22</v>
      </c>
      <c r="H27" s="204" t="str">
        <f>H$7</f>
        <v>SP1</v>
      </c>
      <c r="I27" s="205" t="str">
        <f t="shared" ref="I27:L27" si="1">I$7</f>
        <v>SP2</v>
      </c>
      <c r="J27" s="205" t="str">
        <f t="shared" si="1"/>
        <v>SP3</v>
      </c>
      <c r="K27" s="206" t="str">
        <f t="shared" si="1"/>
        <v>SP4</v>
      </c>
      <c r="L27" s="149" t="str">
        <f t="shared" si="1"/>
        <v>Notes / Progress</v>
      </c>
    </row>
    <row r="28" spans="1:16" x14ac:dyDescent="0.25">
      <c r="A28" s="135" t="str">
        <f t="shared" ref="A28:A36" si="2">IFERROR(IF(HLOOKUP($L$26,RangeOptions,$M28,FALSE)=0,"",HLOOKUP($L$26,RangeOptions,$M28,FALSE)),"")</f>
        <v>PRJM6000</v>
      </c>
      <c r="B28" s="136">
        <f>IFERROR(IF(VLOOKUP(A28,TableHandbook[],2,FALSE)=0,"",VLOOKUP(A28,TableHandbook[],2,FALSE)),"")</f>
        <v>1</v>
      </c>
      <c r="C28" s="136" t="str">
        <f>IFERROR(IF(VLOOKUP(A28,TableHandbook[],3,FALSE)=0,"",VLOOKUP(A28,TableHandbook[],3,FALSE)),"")</f>
        <v>PRJM6000</v>
      </c>
      <c r="D28" s="137" t="str">
        <f>IFERROR(VLOOKUP(A28,TableHandbook[],4,FALSE),"")</f>
        <v>Project Management Overview</v>
      </c>
      <c r="E28" s="138"/>
      <c r="F28" s="138" t="str">
        <f>IFERROR(IF(VLOOKUP(A28,TableHandbook[],6,FALSE)=0,"",VLOOKUP(A28,TableHandbook[],6,FALSE)),"")</f>
        <v>Nil</v>
      </c>
      <c r="G28" s="138">
        <f>IFERROR(IF(VLOOKUP(A28,TableHandbook[],5,FALSE)=0,"",VLOOKUP(A28,TableHandbook[],5,FALSE)),"")</f>
        <v>25</v>
      </c>
      <c r="H28" s="207" t="str">
        <f>IFERROR(VLOOKUP($A28,TableHandbook[],7,FALSE),"")</f>
        <v>Y</v>
      </c>
      <c r="I28" s="208" t="str">
        <f>IFERROR(VLOOKUP($A28,TableHandbook[],8,FALSE),"")</f>
        <v/>
      </c>
      <c r="J28" s="208" t="str">
        <f>IFERROR(VLOOKUP($A28,TableHandbook[],9,FALSE),"")</f>
        <v>Y</v>
      </c>
      <c r="K28" s="209" t="str">
        <f>IFERROR(VLOOKUP($A28,TableHandbook[],10,FALSE),"")</f>
        <v/>
      </c>
      <c r="L28" s="65"/>
      <c r="M28" s="101">
        <v>2</v>
      </c>
    </row>
    <row r="29" spans="1:16" x14ac:dyDescent="0.25">
      <c r="A29" s="135" t="str">
        <f t="shared" si="2"/>
        <v>PRJM6002</v>
      </c>
      <c r="B29" s="136">
        <f>IFERROR(IF(VLOOKUP(A29,TableHandbook[],2,FALSE)=0,"",VLOOKUP(A29,TableHandbook[],2,FALSE)),"")</f>
        <v>2</v>
      </c>
      <c r="C29" s="136" t="str">
        <f>IFERROR(IF(VLOOKUP(A29,TableHandbook[],3,FALSE)=0,"",VLOOKUP(A29,TableHandbook[],3,FALSE)),"")</f>
        <v>PRJM6002</v>
      </c>
      <c r="D29" s="137" t="str">
        <f>IFERROR(VLOOKUP(A29,TableHandbook[],4,FALSE),"")</f>
        <v>Project Planning and Schedule Management</v>
      </c>
      <c r="E29" s="138"/>
      <c r="F29" s="138" t="str">
        <f>IFERROR(IF(VLOOKUP(A29,TableHandbook[],6,FALSE)=0,"",VLOOKUP(A29,TableHandbook[],6,FALSE)),"")</f>
        <v>Nil</v>
      </c>
      <c r="G29" s="138">
        <f>IFERROR(IF(VLOOKUP(A29,TableHandbook[],5,FALSE)=0,"",VLOOKUP(A29,TableHandbook[],5,FALSE)),"")</f>
        <v>25</v>
      </c>
      <c r="H29" s="207" t="str">
        <f>IFERROR(VLOOKUP($A29,TableHandbook[],7,FALSE),"")</f>
        <v/>
      </c>
      <c r="I29" s="208" t="str">
        <f>IFERROR(VLOOKUP($A29,TableHandbook[],8,FALSE),"")</f>
        <v>Y</v>
      </c>
      <c r="J29" s="208" t="str">
        <f>IFERROR(VLOOKUP($A29,TableHandbook[],9,FALSE),"")</f>
        <v/>
      </c>
      <c r="K29" s="209" t="str">
        <f>IFERROR(VLOOKUP($A29,TableHandbook[],10,FALSE),"")</f>
        <v>Y</v>
      </c>
      <c r="L29" s="65"/>
      <c r="M29" s="101">
        <v>3</v>
      </c>
    </row>
    <row r="30" spans="1:16" x14ac:dyDescent="0.25">
      <c r="A30" s="135" t="str">
        <f t="shared" si="2"/>
        <v>PRJM6003</v>
      </c>
      <c r="B30" s="136">
        <f>IFERROR(IF(VLOOKUP(A30,TableHandbook[],2,FALSE)=0,"",VLOOKUP(A30,TableHandbook[],2,FALSE)),"")</f>
        <v>1</v>
      </c>
      <c r="C30" s="136" t="str">
        <f>IFERROR(IF(VLOOKUP(A30,TableHandbook[],3,FALSE)=0,"",VLOOKUP(A30,TableHandbook[],3,FALSE)),"")</f>
        <v>PRJM6003</v>
      </c>
      <c r="D30" s="137" t="str">
        <f>IFERROR(VLOOKUP(A30,TableHandbook[],4,FALSE),"")</f>
        <v>Project Risk Management</v>
      </c>
      <c r="E30" s="138"/>
      <c r="F30" s="138" t="str">
        <f>IFERROR(IF(VLOOKUP(A30,TableHandbook[],6,FALSE)=0,"",VLOOKUP(A30,TableHandbook[],6,FALSE)),"")</f>
        <v>50CP</v>
      </c>
      <c r="G30" s="138">
        <f>IFERROR(IF(VLOOKUP(A30,TableHandbook[],5,FALSE)=0,"",VLOOKUP(A30,TableHandbook[],5,FALSE)),"")</f>
        <v>25</v>
      </c>
      <c r="H30" s="207" t="str">
        <f>IFERROR(VLOOKUP($A30,TableHandbook[],7,FALSE),"")</f>
        <v/>
      </c>
      <c r="I30" s="208" t="str">
        <f>IFERROR(VLOOKUP($A30,TableHandbook[],8,FALSE),"")</f>
        <v>Y</v>
      </c>
      <c r="J30" s="208" t="str">
        <f>IFERROR(VLOOKUP($A30,TableHandbook[],9,FALSE),"")</f>
        <v/>
      </c>
      <c r="K30" s="209" t="str">
        <f>IFERROR(VLOOKUP($A30,TableHandbook[],10,FALSE),"")</f>
        <v>Y</v>
      </c>
      <c r="L30" s="65"/>
      <c r="M30" s="101">
        <v>4</v>
      </c>
    </row>
    <row r="31" spans="1:16" x14ac:dyDescent="0.25">
      <c r="A31" s="135" t="str">
        <f t="shared" si="2"/>
        <v>PRJM6004</v>
      </c>
      <c r="B31" s="136">
        <f>IFERROR(IF(VLOOKUP(A31,TableHandbook[],2,FALSE)=0,"",VLOOKUP(A31,TableHandbook[],2,FALSE)),"")</f>
        <v>1</v>
      </c>
      <c r="C31" s="136" t="str">
        <f>IFERROR(IF(VLOOKUP(A31,TableHandbook[],3,FALSE)=0,"",VLOOKUP(A31,TableHandbook[],3,FALSE)),"")</f>
        <v>PRJM6004</v>
      </c>
      <c r="D31" s="137" t="str">
        <f>IFERROR(VLOOKUP(A31,TableHandbook[],4,FALSE),"")</f>
        <v>Project Procurement Management</v>
      </c>
      <c r="E31" s="138"/>
      <c r="F31" s="138" t="str">
        <f>IFERROR(IF(VLOOKUP(A31,TableHandbook[],6,FALSE)=0,"",VLOOKUP(A31,TableHandbook[],6,FALSE)),"")</f>
        <v>Nil</v>
      </c>
      <c r="G31" s="138">
        <f>IFERROR(IF(VLOOKUP(A31,TableHandbook[],5,FALSE)=0,"",VLOOKUP(A31,TableHandbook[],5,FALSE)),"")</f>
        <v>25</v>
      </c>
      <c r="H31" s="207" t="str">
        <f>IFERROR(VLOOKUP($A31,TableHandbook[],7,FALSE),"")</f>
        <v>Y</v>
      </c>
      <c r="I31" s="208" t="str">
        <f>IFERROR(VLOOKUP($A31,TableHandbook[],8,FALSE),"")</f>
        <v/>
      </c>
      <c r="J31" s="208" t="str">
        <f>IFERROR(VLOOKUP($A31,TableHandbook[],9,FALSE),"")</f>
        <v>Y</v>
      </c>
      <c r="K31" s="209" t="str">
        <f>IFERROR(VLOOKUP($A31,TableHandbook[],10,FALSE),"")</f>
        <v/>
      </c>
      <c r="L31" s="65"/>
      <c r="M31" s="101">
        <v>5</v>
      </c>
    </row>
    <row r="32" spans="1:16" x14ac:dyDescent="0.25">
      <c r="A32" s="135" t="str">
        <f t="shared" si="2"/>
        <v>SUST5013</v>
      </c>
      <c r="B32" s="136">
        <f>IFERROR(IF(VLOOKUP(A32,TableHandbook[],2,FALSE)=0,"",VLOOKUP(A32,TableHandbook[],2,FALSE)),"")</f>
        <v>2</v>
      </c>
      <c r="C32" s="136" t="str">
        <f>IFERROR(IF(VLOOKUP(A32,TableHandbook[],3,FALSE)=0,"",VLOOKUP(A32,TableHandbook[],3,FALSE)),"")</f>
        <v>SCP543</v>
      </c>
      <c r="D32" s="137" t="str">
        <f>IFERROR(VLOOKUP(A32,TableHandbook[],4,FALSE),"")</f>
        <v>Future Cities</v>
      </c>
      <c r="E32" s="138"/>
      <c r="F32" s="138" t="str">
        <f>IFERROR(IF(VLOOKUP(A32,TableHandbook[],6,FALSE)=0,"",VLOOKUP(A32,TableHandbook[],6,FALSE)),"")</f>
        <v>Nil</v>
      </c>
      <c r="G32" s="138">
        <f>IFERROR(IF(VLOOKUP(A32,TableHandbook[],5,FALSE)=0,"",VLOOKUP(A32,TableHandbook[],5,FALSE)),"")</f>
        <v>25</v>
      </c>
      <c r="H32" s="207" t="str">
        <f>IFERROR(VLOOKUP($A32,TableHandbook[],7,FALSE),"")</f>
        <v/>
      </c>
      <c r="I32" s="208" t="str">
        <f>IFERROR(VLOOKUP($A32,TableHandbook[],8,FALSE),"")</f>
        <v>Y</v>
      </c>
      <c r="J32" s="208" t="str">
        <f>IFERROR(VLOOKUP($A32,TableHandbook[],9,FALSE),"")</f>
        <v/>
      </c>
      <c r="K32" s="209" t="str">
        <f>IFERROR(VLOOKUP($A32,TableHandbook[],10,FALSE),"")</f>
        <v>Y</v>
      </c>
      <c r="L32" s="65"/>
      <c r="M32" s="101">
        <v>6</v>
      </c>
    </row>
    <row r="33" spans="1:15" x14ac:dyDescent="0.25">
      <c r="A33" s="135" t="str">
        <f t="shared" si="2"/>
        <v>SUST5016</v>
      </c>
      <c r="B33" s="136">
        <f>IFERROR(IF(VLOOKUP(A33,TableHandbook[],2,FALSE)=0,"",VLOOKUP(A33,TableHandbook[],2,FALSE)),"")</f>
        <v>1</v>
      </c>
      <c r="C33" s="136" t="str">
        <f>IFERROR(IF(VLOOKUP(A33,TableHandbook[],3,FALSE)=0,"",VLOOKUP(A33,TableHandbook[],3,FALSE)),"")</f>
        <v>SCP547</v>
      </c>
      <c r="D33" s="137" t="str">
        <f>IFERROR(VLOOKUP(A33,TableHandbook[],4,FALSE),"")</f>
        <v>Climate Policy</v>
      </c>
      <c r="E33" s="138"/>
      <c r="F33" s="138" t="str">
        <f>IFERROR(IF(VLOOKUP(A33,TableHandbook[],6,FALSE)=0,"",VLOOKUP(A33,TableHandbook[],6,FALSE)),"")</f>
        <v>Nil</v>
      </c>
      <c r="G33" s="138">
        <f>IFERROR(IF(VLOOKUP(A33,TableHandbook[],5,FALSE)=0,"",VLOOKUP(A33,TableHandbook[],5,FALSE)),"")</f>
        <v>25</v>
      </c>
      <c r="H33" s="207" t="str">
        <f>IFERROR(VLOOKUP($A33,TableHandbook[],7,FALSE),"")</f>
        <v>Y</v>
      </c>
      <c r="I33" s="208" t="str">
        <f>IFERROR(VLOOKUP($A33,TableHandbook[],8,FALSE),"")</f>
        <v/>
      </c>
      <c r="J33" s="208" t="str">
        <f>IFERROR(VLOOKUP($A33,TableHandbook[],9,FALSE),"")</f>
        <v>Y</v>
      </c>
      <c r="K33" s="209" t="str">
        <f>IFERROR(VLOOKUP($A33,TableHandbook[],10,FALSE),"")</f>
        <v/>
      </c>
      <c r="L33" s="65"/>
      <c r="M33" s="101">
        <v>7</v>
      </c>
    </row>
    <row r="34" spans="1:15" x14ac:dyDescent="0.25">
      <c r="A34" s="135" t="str">
        <f t="shared" si="2"/>
        <v>SUST5019</v>
      </c>
      <c r="B34" s="136">
        <f>IFERROR(IF(VLOOKUP(A34,TableHandbook[],2,FALSE)=0,"",VLOOKUP(A34,TableHandbook[],2,FALSE)),"")</f>
        <v>2</v>
      </c>
      <c r="C34" s="136" t="str">
        <f>IFERROR(IF(VLOOKUP(A34,TableHandbook[],3,FALSE)=0,"",VLOOKUP(A34,TableHandbook[],3,FALSE)),"")</f>
        <v>SCP548</v>
      </c>
      <c r="D34" s="137" t="str">
        <f>IFERROR(VLOOKUP(A34,TableHandbook[],4,FALSE),"")</f>
        <v>People and Planet</v>
      </c>
      <c r="E34" s="138"/>
      <c r="F34" s="138" t="str">
        <f>IFERROR(IF(VLOOKUP(A34,TableHandbook[],6,FALSE)=0,"",VLOOKUP(A34,TableHandbook[],6,FALSE)),"")</f>
        <v>Nil</v>
      </c>
      <c r="G34" s="138">
        <f>IFERROR(IF(VLOOKUP(A34,TableHandbook[],5,FALSE)=0,"",VLOOKUP(A34,TableHandbook[],5,FALSE)),"")</f>
        <v>25</v>
      </c>
      <c r="H34" s="207" t="str">
        <f>IFERROR(VLOOKUP($A34,TableHandbook[],7,FALSE),"")</f>
        <v/>
      </c>
      <c r="I34" s="208" t="str">
        <f>IFERROR(VLOOKUP($A34,TableHandbook[],8,FALSE),"")</f>
        <v>Y</v>
      </c>
      <c r="J34" s="208" t="str">
        <f>IFERROR(VLOOKUP($A34,TableHandbook[],9,FALSE),"")</f>
        <v/>
      </c>
      <c r="K34" s="209" t="str">
        <f>IFERROR(VLOOKUP($A34,TableHandbook[],10,FALSE),"")</f>
        <v>Y</v>
      </c>
      <c r="L34" s="65"/>
      <c r="M34" s="101">
        <v>8</v>
      </c>
    </row>
    <row r="35" spans="1:15" x14ac:dyDescent="0.25">
      <c r="A35" s="135" t="str">
        <f t="shared" si="2"/>
        <v>SUST5021</v>
      </c>
      <c r="B35" s="136">
        <f>IFERROR(IF(VLOOKUP(A35,TableHandbook[],2,FALSE)=0,"",VLOOKUP(A35,TableHandbook[],2,FALSE)),"")</f>
        <v>1</v>
      </c>
      <c r="C35" s="136" t="str">
        <f>IFERROR(IF(VLOOKUP(A35,TableHandbook[],3,FALSE)=0,"",VLOOKUP(A35,TableHandbook[],3,FALSE)),"")</f>
        <v>SCP549</v>
      </c>
      <c r="D35" s="137" t="str">
        <f>IFERROR(VLOOKUP(A35,TableHandbook[],4,FALSE),"")</f>
        <v>Sustainability, Climate Change and Economics</v>
      </c>
      <c r="E35" s="138"/>
      <c r="F35" s="138" t="str">
        <f>IFERROR(IF(VLOOKUP(A35,TableHandbook[],6,FALSE)=0,"",VLOOKUP(A35,TableHandbook[],6,FALSE)),"")</f>
        <v>Nil</v>
      </c>
      <c r="G35" s="138">
        <f>IFERROR(IF(VLOOKUP(A35,TableHandbook[],5,FALSE)=0,"",VLOOKUP(A35,TableHandbook[],5,FALSE)),"")</f>
        <v>25</v>
      </c>
      <c r="H35" s="207" t="str">
        <f>IFERROR(VLOOKUP($A35,TableHandbook[],7,FALSE),"")</f>
        <v/>
      </c>
      <c r="I35" s="208" t="str">
        <f>IFERROR(VLOOKUP($A35,TableHandbook[],8,FALSE),"")</f>
        <v/>
      </c>
      <c r="J35" s="208" t="str">
        <f>IFERROR(VLOOKUP($A35,TableHandbook[],9,FALSE),"")</f>
        <v/>
      </c>
      <c r="K35" s="209" t="str">
        <f>IFERROR(VLOOKUP($A35,TableHandbook[],10,FALSE),"")</f>
        <v>Y</v>
      </c>
      <c r="L35" s="65"/>
      <c r="M35" s="101">
        <v>9</v>
      </c>
    </row>
    <row r="36" spans="1:15" x14ac:dyDescent="0.25">
      <c r="A36" s="135" t="str">
        <f t="shared" si="2"/>
        <v>SUST5025</v>
      </c>
      <c r="B36" s="136">
        <f>IFERROR(IF(VLOOKUP(A36,TableHandbook[],2,FALSE)=0,"",VLOOKUP(A36,TableHandbook[],2,FALSE)),"")</f>
        <v>1</v>
      </c>
      <c r="C36" s="136" t="str">
        <f>IFERROR(IF(VLOOKUP(A36,TableHandbook[],3,FALSE)=0,"",VLOOKUP(A36,TableHandbook[],3,FALSE)),"")</f>
        <v>SCP530</v>
      </c>
      <c r="D36" s="137" t="str">
        <f>IFERROR(VLOOKUP(A36,TableHandbook[],4,FALSE),"")</f>
        <v>Sustainable Waste Management</v>
      </c>
      <c r="E36" s="138"/>
      <c r="F36" s="138" t="str">
        <f>IFERROR(IF(VLOOKUP(A36,TableHandbook[],6,FALSE)=0,"",VLOOKUP(A36,TableHandbook[],6,FALSE)),"")</f>
        <v>Nil</v>
      </c>
      <c r="G36" s="138">
        <f>IFERROR(IF(VLOOKUP(A36,TableHandbook[],5,FALSE)=0,"",VLOOKUP(A36,TableHandbook[],5,FALSE)),"")</f>
        <v>25</v>
      </c>
      <c r="H36" s="210" t="str">
        <f>IFERROR(VLOOKUP($A36,TableHandbook[],7,FALSE),"")</f>
        <v>Y</v>
      </c>
      <c r="I36" s="211" t="str">
        <f>IFERROR(VLOOKUP($A36,TableHandbook[],8,FALSE),"")</f>
        <v/>
      </c>
      <c r="J36" s="211" t="str">
        <f>IFERROR(VLOOKUP($A36,TableHandbook[],9,FALSE),"")</f>
        <v>Y</v>
      </c>
      <c r="K36" s="212" t="str">
        <f>IFERROR(VLOOKUP($A36,TableHandbook[],10,FALSE),"")</f>
        <v/>
      </c>
      <c r="L36" s="65"/>
      <c r="M36" s="101">
        <v>10</v>
      </c>
    </row>
    <row r="37" spans="1:15" ht="18" customHeight="1" x14ac:dyDescent="0.25">
      <c r="A37"/>
      <c r="B37"/>
      <c r="C37"/>
      <c r="D37"/>
      <c r="E37"/>
      <c r="F37"/>
      <c r="G37"/>
      <c r="H37"/>
      <c r="I37"/>
      <c r="J37"/>
      <c r="K37"/>
      <c r="L37"/>
      <c r="M37" s="101">
        <v>12</v>
      </c>
    </row>
    <row r="38" spans="1:15" ht="32.25" customHeight="1" x14ac:dyDescent="0.25">
      <c r="A38" s="235" t="s">
        <v>31</v>
      </c>
      <c r="B38" s="235"/>
      <c r="C38" s="235"/>
      <c r="D38" s="235"/>
      <c r="E38" s="235"/>
      <c r="F38" s="235"/>
      <c r="G38" s="235"/>
      <c r="H38" s="235"/>
      <c r="I38" s="235"/>
      <c r="J38" s="235"/>
      <c r="K38" s="235"/>
      <c r="L38" s="235"/>
    </row>
    <row r="39" spans="1:15" s="140" customFormat="1" ht="24.95" customHeight="1" x14ac:dyDescent="0.3">
      <c r="A39" s="54" t="s">
        <v>32</v>
      </c>
      <c r="B39" s="54"/>
      <c r="C39" s="54"/>
      <c r="D39" s="55"/>
      <c r="E39" s="55"/>
      <c r="F39" s="55"/>
      <c r="G39" s="55"/>
      <c r="H39" s="55"/>
      <c r="I39" s="55"/>
      <c r="J39" s="55"/>
      <c r="K39" s="55"/>
      <c r="L39" s="55"/>
      <c r="M39" s="139"/>
      <c r="N39" s="139"/>
      <c r="O39" s="139"/>
    </row>
    <row r="40" spans="1:15" ht="15" customHeight="1" x14ac:dyDescent="0.25">
      <c r="A40" s="141" t="s">
        <v>33</v>
      </c>
      <c r="B40" s="141"/>
      <c r="C40" s="141"/>
      <c r="D40" s="141"/>
      <c r="E40" s="142"/>
      <c r="F40" s="122"/>
      <c r="G40" s="143"/>
      <c r="H40" s="143"/>
      <c r="I40" s="143"/>
      <c r="J40" s="143"/>
      <c r="K40" s="143"/>
      <c r="L40" s="143" t="s">
        <v>34</v>
      </c>
    </row>
  </sheetData>
  <sheetProtection formatCells="0"/>
  <mergeCells count="2">
    <mergeCell ref="A2:D2"/>
    <mergeCell ref="A38:L38"/>
  </mergeCells>
  <conditionalFormatting sqref="A8:L24 A28:L36">
    <cfRule type="expression" dxfId="21" priority="2">
      <formula>$A8=""</formula>
    </cfRule>
  </conditionalFormatting>
  <conditionalFormatting sqref="D4:D5">
    <cfRule type="containsText" dxfId="20" priority="7" operator="containsText" text="Choose">
      <formula>NOT(ISERROR(SEARCH("Choose",D4)))</formula>
    </cfRule>
  </conditionalFormatting>
  <conditionalFormatting sqref="H8:K24">
    <cfRule type="expression" dxfId="19" priority="1">
      <formula>$E8=H$7</formula>
    </cfRule>
  </conditionalFormatting>
  <dataValidations count="1">
    <dataValidation type="list" allowBlank="1" showInputMessage="1" showErrorMessage="1" sqref="L13 L10 L16 L22" xr:uid="{00000000-0002-0000-0000-000000000000}"/>
  </dataValidations>
  <hyperlinks>
    <hyperlink ref="A39:L39" r:id="rId1" display="If you have any queries about your course, please contact Curtin Connect." xr:uid="{00000000-0004-0000-0000-000000000000}"/>
  </hyperlinks>
  <printOptions horizontalCentered="1"/>
  <pageMargins left="0.31496062992125984" right="0.31496062992125984" top="0.39370078740157483" bottom="0.39370078740157483" header="0.19685039370078741" footer="0.19685039370078741"/>
  <pageSetup paperSize="9" scale="75" orientation="landscape" r:id="rId2"/>
  <rowBreaks count="1" manualBreakCount="1">
    <brk id="24" max="16383" man="1"/>
  </rowBreaks>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1000000}">
          <x14:formula1>
            <xm:f>Unitsets!$A$13:$A$17</xm:f>
          </x14:formula1>
          <xm:sqref>D5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P16"/>
  <sheetViews>
    <sheetView showGridLines="0" tabSelected="1" topLeftCell="A2" zoomScaleNormal="100" workbookViewId="0">
      <selection activeCell="D5" sqref="D5"/>
    </sheetView>
  </sheetViews>
  <sheetFormatPr defaultRowHeight="15" x14ac:dyDescent="0.25"/>
  <cols>
    <col min="1" max="1" width="8.5" style="248" customWidth="1"/>
    <col min="2" max="2" width="3.25" style="248" customWidth="1"/>
    <col min="3" max="3" width="9.25" style="248" customWidth="1"/>
    <col min="4" max="4" width="47.875" style="240" bestFit="1" customWidth="1"/>
    <col min="5" max="5" width="8" style="240" customWidth="1"/>
    <col min="6" max="6" width="22.375" style="240" customWidth="1"/>
    <col min="7" max="7" width="5.625" style="240" customWidth="1"/>
    <col min="8" max="11" width="4.625" style="240" customWidth="1"/>
    <col min="12" max="12" width="18.625" style="240" customWidth="1"/>
    <col min="13" max="13" width="2.5" style="240" hidden="1" customWidth="1"/>
    <col min="14" max="16384" width="9" style="240"/>
  </cols>
  <sheetData>
    <row r="1" spans="1:16" hidden="1" x14ac:dyDescent="0.25">
      <c r="A1" s="236" t="s">
        <v>0</v>
      </c>
      <c r="B1" s="237" t="s">
        <v>1</v>
      </c>
      <c r="C1" s="237" t="s">
        <v>2</v>
      </c>
      <c r="D1" s="238" t="s">
        <v>3</v>
      </c>
      <c r="E1" s="238"/>
      <c r="F1" s="238" t="s">
        <v>4</v>
      </c>
      <c r="G1" s="238" t="s">
        <v>5</v>
      </c>
      <c r="H1" s="239" t="s">
        <v>6</v>
      </c>
      <c r="I1" s="238"/>
      <c r="J1" s="238"/>
      <c r="K1" s="238"/>
      <c r="L1" s="238" t="s">
        <v>7</v>
      </c>
    </row>
    <row r="2" spans="1:16" ht="39.950000000000003" customHeight="1" x14ac:dyDescent="0.25">
      <c r="A2" s="241" t="s">
        <v>8</v>
      </c>
      <c r="B2" s="241"/>
      <c r="C2" s="241"/>
      <c r="D2" s="241"/>
      <c r="E2" s="242"/>
      <c r="F2" s="242"/>
      <c r="G2" s="242"/>
      <c r="H2" s="242"/>
      <c r="I2" s="242"/>
      <c r="J2" s="242"/>
      <c r="K2" s="242"/>
      <c r="L2" s="242"/>
    </row>
    <row r="3" spans="1:16" ht="26.25" x14ac:dyDescent="0.25">
      <c r="A3" s="243"/>
      <c r="B3" s="244"/>
      <c r="C3" s="244"/>
      <c r="D3" s="245"/>
      <c r="E3" s="246" t="s">
        <v>9</v>
      </c>
      <c r="F3" s="244"/>
      <c r="G3" s="247"/>
      <c r="H3" s="247"/>
      <c r="I3" s="247"/>
      <c r="J3" s="247"/>
      <c r="K3" s="247"/>
      <c r="L3" s="247"/>
    </row>
    <row r="4" spans="1:16" ht="20.100000000000001" customHeight="1" x14ac:dyDescent="0.25">
      <c r="B4" s="249"/>
      <c r="C4" s="250" t="s">
        <v>10</v>
      </c>
      <c r="D4" s="251" t="s">
        <v>35</v>
      </c>
      <c r="E4" s="252"/>
      <c r="F4" s="250" t="s">
        <v>12</v>
      </c>
      <c r="G4" s="252" t="str">
        <f>IFERROR(CONCATENATE(VLOOKUP(D4,TableCourses[],2,FALSE)," ",VLOOKUP(D4,TableCourses[],3,FALSE)),"")</f>
        <v>OC-DEVPLN v.2</v>
      </c>
      <c r="H4" s="252"/>
      <c r="I4" s="252"/>
      <c r="J4" s="252"/>
      <c r="K4" s="252"/>
      <c r="L4" s="253" t="e">
        <f>CONCATENATE(VLOOKUP(D4,TableCourses[],2,FALSE),VLOOKUP(D5,TableStudyPeriods[],2,FALSE))</f>
        <v>#N/A</v>
      </c>
    </row>
    <row r="5" spans="1:16" ht="20.100000000000001" customHeight="1" x14ac:dyDescent="0.25">
      <c r="A5" s="254"/>
      <c r="B5" s="255"/>
      <c r="C5" s="250" t="s">
        <v>13</v>
      </c>
      <c r="D5" s="64" t="s">
        <v>14</v>
      </c>
      <c r="E5" s="256"/>
      <c r="F5" s="250" t="s">
        <v>15</v>
      </c>
      <c r="G5" s="252" t="str">
        <f>IFERROR(VLOOKUP($D$4,TableCourses[],7,FALSE),"")</f>
        <v>100 credit points required</v>
      </c>
      <c r="H5" s="257"/>
      <c r="I5" s="257"/>
      <c r="J5" s="257"/>
      <c r="K5" s="257"/>
      <c r="L5" s="258"/>
    </row>
    <row r="6" spans="1:16" s="266" customFormat="1" ht="14.1" customHeight="1" x14ac:dyDescent="0.25">
      <c r="A6" s="259"/>
      <c r="B6" s="259"/>
      <c r="C6" s="259"/>
      <c r="D6" s="260"/>
      <c r="E6" s="261"/>
      <c r="F6" s="259"/>
      <c r="G6" s="259"/>
      <c r="H6" s="262" t="s">
        <v>16</v>
      </c>
      <c r="I6" s="263"/>
      <c r="J6" s="263"/>
      <c r="K6" s="264"/>
      <c r="L6" s="261"/>
      <c r="M6" s="265"/>
      <c r="N6" s="265"/>
      <c r="O6" s="265"/>
    </row>
    <row r="7" spans="1:16" s="266" customFormat="1" ht="21" x14ac:dyDescent="0.25">
      <c r="A7" s="259" t="s">
        <v>17</v>
      </c>
      <c r="B7" s="259" t="s">
        <v>18</v>
      </c>
      <c r="C7" s="259" t="s">
        <v>19</v>
      </c>
      <c r="D7" s="261" t="s">
        <v>3</v>
      </c>
      <c r="E7" s="267" t="s">
        <v>20</v>
      </c>
      <c r="F7" s="259" t="s">
        <v>21</v>
      </c>
      <c r="G7" s="259" t="s">
        <v>22</v>
      </c>
      <c r="H7" s="268" t="s">
        <v>23</v>
      </c>
      <c r="I7" s="269" t="s">
        <v>24</v>
      </c>
      <c r="J7" s="269" t="s">
        <v>25</v>
      </c>
      <c r="K7" s="270" t="s">
        <v>26</v>
      </c>
      <c r="L7" s="259" t="s">
        <v>27</v>
      </c>
      <c r="M7" s="265"/>
      <c r="N7" s="265"/>
      <c r="O7" s="265"/>
    </row>
    <row r="8" spans="1:16" s="280" customFormat="1" ht="20.100000000000001" customHeight="1" x14ac:dyDescent="0.15">
      <c r="A8" s="271" t="str">
        <f>IFERROR(IF(HLOOKUP($L$4,RangeUnitsets,M8,FALSE)=0,"",HLOOKUP($L$4,RangeUnitsets,M8,FALSE)),"")</f>
        <v/>
      </c>
      <c r="B8" s="272" t="str">
        <f>IFERROR(IF(VLOOKUP(A8,TableHandbook[],2,FALSE)=0,"",VLOOKUP(A8,TableHandbook[],2,FALSE)),"")</f>
        <v/>
      </c>
      <c r="C8" s="272" t="str">
        <f>IFERROR(IF(VLOOKUP(A8,TableHandbook[],3,FALSE)=0,"",VLOOKUP(A8,TableHandbook[],3,FALSE)),"")</f>
        <v/>
      </c>
      <c r="D8" s="273" t="str">
        <f>IFERROR(VLOOKUP(A8,TableHandbook[],4,FALSE),"")</f>
        <v/>
      </c>
      <c r="E8" s="272" t="str">
        <f>IF(A8="","",VLOOKUP($D$5,TableStudyPeriods[],2,FALSE))</f>
        <v/>
      </c>
      <c r="F8" s="274" t="str">
        <f>IFERROR(IF(VLOOKUP(A8,TableHandbook[],6,FALSE)=0,"",VLOOKUP(A8,TableHandbook[],6,FALSE)),"")</f>
        <v/>
      </c>
      <c r="G8" s="272" t="str">
        <f>IFERROR(IF(VLOOKUP(A8,TableHandbook[],5,FALSE)=0,"",VLOOKUP(A8,TableHandbook[],5,FALSE)),"")</f>
        <v/>
      </c>
      <c r="H8" s="275" t="str">
        <f>IFERROR(VLOOKUP($A8,TableHandbook[],7,FALSE),"")</f>
        <v/>
      </c>
      <c r="I8" s="276" t="str">
        <f>IFERROR(VLOOKUP($A8,TableHandbook[],8,FALSE),"")</f>
        <v/>
      </c>
      <c r="J8" s="276" t="str">
        <f>IFERROR(VLOOKUP($A8,TableHandbook[],9,FALSE),"")</f>
        <v/>
      </c>
      <c r="K8" s="277" t="str">
        <f>IFERROR(VLOOKUP($A8,TableHandbook[],10,FALSE),"")</f>
        <v/>
      </c>
      <c r="L8" s="56"/>
      <c r="M8" s="278">
        <v>2</v>
      </c>
      <c r="N8" s="279"/>
      <c r="O8" s="279"/>
    </row>
    <row r="9" spans="1:16" s="280" customFormat="1" ht="20.100000000000001" customHeight="1" x14ac:dyDescent="0.15">
      <c r="A9" s="281" t="str">
        <f>IFERROR(IF(HLOOKUP($L$4,RangeUnitsets,M9,FALSE)=0,"",HLOOKUP($L$4,RangeUnitsets,M9,FALSE)),"")</f>
        <v/>
      </c>
      <c r="B9" s="282" t="str">
        <f>IFERROR(IF(VLOOKUP(A9,TableHandbook[],2,FALSE)=0,"",VLOOKUP(A9,TableHandbook[],2,FALSE)),"")</f>
        <v/>
      </c>
      <c r="C9" s="282" t="str">
        <f>IFERROR(IF(VLOOKUP(A9,TableHandbook[],3,FALSE)=0,"",VLOOKUP(A9,TableHandbook[],3,FALSE)),"")</f>
        <v/>
      </c>
      <c r="D9" s="283" t="str">
        <f>IFERROR(VLOOKUP(A9,TableHandbook[],4,FALSE),"")</f>
        <v/>
      </c>
      <c r="E9" s="282" t="str">
        <f>IF(A9="","",E8)</f>
        <v/>
      </c>
      <c r="F9" s="284" t="str">
        <f>IFERROR(IF(VLOOKUP(A9,TableHandbook[],6,FALSE)=0,"",VLOOKUP(A9,TableHandbook[],6,FALSE)),"")</f>
        <v/>
      </c>
      <c r="G9" s="282" t="str">
        <f>IFERROR(IF(VLOOKUP(A9,TableHandbook[],5,FALSE)=0,"",VLOOKUP(A9,TableHandbook[],5,FALSE)),"")</f>
        <v/>
      </c>
      <c r="H9" s="285" t="str">
        <f>IFERROR(VLOOKUP($A9,TableHandbook[],7,FALSE),"")</f>
        <v/>
      </c>
      <c r="I9" s="286" t="str">
        <f>IFERROR(VLOOKUP($A9,TableHandbook[],8,FALSE),"")</f>
        <v/>
      </c>
      <c r="J9" s="286" t="str">
        <f>IFERROR(VLOOKUP($A9,TableHandbook[],9,FALSE),"")</f>
        <v/>
      </c>
      <c r="K9" s="287" t="str">
        <f>IFERROR(VLOOKUP($A9,TableHandbook[],10,FALSE),"")</f>
        <v/>
      </c>
      <c r="L9" s="57"/>
      <c r="M9" s="278">
        <v>3</v>
      </c>
      <c r="N9" s="279"/>
      <c r="O9" s="279"/>
    </row>
    <row r="10" spans="1:16" s="280" customFormat="1" ht="4.5" customHeight="1" x14ac:dyDescent="0.15">
      <c r="A10" s="288"/>
      <c r="B10" s="289"/>
      <c r="C10" s="289" t="str">
        <f>IFERROR(IF(VLOOKUP(A10,TableHandbook[],3,FALSE)=0,"",VLOOKUP(A10,TableHandbook[],3,FALSE)),"")</f>
        <v/>
      </c>
      <c r="D10" s="290"/>
      <c r="E10" s="289"/>
      <c r="F10" s="291"/>
      <c r="G10" s="289"/>
      <c r="H10" s="292"/>
      <c r="I10" s="293"/>
      <c r="J10" s="293"/>
      <c r="K10" s="294"/>
      <c r="L10" s="53"/>
      <c r="M10" s="295"/>
      <c r="N10" s="279"/>
      <c r="O10" s="279"/>
      <c r="P10" s="279"/>
    </row>
    <row r="11" spans="1:16" s="280" customFormat="1" ht="20.100000000000001" customHeight="1" x14ac:dyDescent="0.15">
      <c r="A11" s="271" t="str">
        <f>IFERROR(IF(HLOOKUP($L$4,RangeUnitsets,M11,FALSE)=0,"",HLOOKUP($L$4,RangeUnitsets,M11,FALSE)),"")</f>
        <v/>
      </c>
      <c r="B11" s="272" t="str">
        <f>IFERROR(IF(VLOOKUP(A11,TableHandbook[],2,FALSE)=0,"",VLOOKUP(A11,TableHandbook[],2,FALSE)),"")</f>
        <v/>
      </c>
      <c r="C11" s="272" t="str">
        <f>IFERROR(IF(VLOOKUP(A11,TableHandbook[],3,FALSE)=0,"",VLOOKUP(A11,TableHandbook[],3,FALSE)),"")</f>
        <v/>
      </c>
      <c r="D11" s="273" t="str">
        <f>IFERROR(VLOOKUP(A11,TableHandbook[],4,FALSE),"")</f>
        <v/>
      </c>
      <c r="E11" s="272" t="str">
        <f>IF(A11="","",VLOOKUP($D$5,TableStudyPeriods[],3,FALSE))</f>
        <v/>
      </c>
      <c r="F11" s="274" t="str">
        <f>IFERROR(IF(VLOOKUP(A11,TableHandbook[],6,FALSE)=0,"",VLOOKUP(A11,TableHandbook[],6,FALSE)),"")</f>
        <v/>
      </c>
      <c r="G11" s="272" t="str">
        <f>IFERROR(IF(VLOOKUP(A11,TableHandbook[],5,FALSE)=0,"",VLOOKUP(A11,TableHandbook[],5,FALSE)),"")</f>
        <v/>
      </c>
      <c r="H11" s="275" t="str">
        <f>IFERROR(VLOOKUP($A11,TableHandbook[],7,FALSE),"")</f>
        <v/>
      </c>
      <c r="I11" s="276" t="str">
        <f>IFERROR(VLOOKUP($A11,TableHandbook[],8,FALSE),"")</f>
        <v/>
      </c>
      <c r="J11" s="276" t="str">
        <f>IFERROR(VLOOKUP($A11,TableHandbook[],9,FALSE),"")</f>
        <v/>
      </c>
      <c r="K11" s="277" t="str">
        <f>IFERROR(VLOOKUP($A11,TableHandbook[],10,FALSE),"")</f>
        <v/>
      </c>
      <c r="L11" s="58"/>
      <c r="M11" s="278">
        <v>4</v>
      </c>
      <c r="N11" s="279"/>
      <c r="O11" s="279"/>
    </row>
    <row r="12" spans="1:16" s="280" customFormat="1" ht="20.100000000000001" customHeight="1" x14ac:dyDescent="0.15">
      <c r="A12" s="281" t="str">
        <f>IFERROR(IF(HLOOKUP($L$4,RangeUnitsets,M12,FALSE)=0,"",HLOOKUP($L$4,RangeUnitsets,M12,FALSE)),"")</f>
        <v/>
      </c>
      <c r="B12" s="282" t="str">
        <f>IFERROR(IF(VLOOKUP(A12,TableHandbook[],2,FALSE)=0,"",VLOOKUP(A12,TableHandbook[],2,FALSE)),"")</f>
        <v/>
      </c>
      <c r="C12" s="282" t="str">
        <f>IFERROR(IF(VLOOKUP(A12,TableHandbook[],3,FALSE)=0,"",VLOOKUP(A12,TableHandbook[],3,FALSE)),"")</f>
        <v/>
      </c>
      <c r="D12" s="283" t="str">
        <f>IFERROR(VLOOKUP(A12,TableHandbook[],4,FALSE),"")</f>
        <v/>
      </c>
      <c r="E12" s="282" t="str">
        <f>IF(A12="","",E11)</f>
        <v/>
      </c>
      <c r="F12" s="284" t="str">
        <f>IFERROR(IF(VLOOKUP(A12,TableHandbook[],6,FALSE)=0,"",VLOOKUP(A12,TableHandbook[],6,FALSE)),"")</f>
        <v/>
      </c>
      <c r="G12" s="282" t="str">
        <f>IFERROR(IF(VLOOKUP(A12,TableHandbook[],5,FALSE)=0,"",VLOOKUP(A12,TableHandbook[],5,FALSE)),"")</f>
        <v/>
      </c>
      <c r="H12" s="285" t="str">
        <f>IFERROR(VLOOKUP($A12,TableHandbook[],7,FALSE),"")</f>
        <v/>
      </c>
      <c r="I12" s="286" t="str">
        <f>IFERROR(VLOOKUP($A12,TableHandbook[],8,FALSE),"")</f>
        <v/>
      </c>
      <c r="J12" s="286" t="str">
        <f>IFERROR(VLOOKUP($A12,TableHandbook[],9,FALSE),"")</f>
        <v/>
      </c>
      <c r="K12" s="287" t="str">
        <f>IFERROR(VLOOKUP($A12,TableHandbook[],10,FALSE),"")</f>
        <v/>
      </c>
      <c r="L12" s="57"/>
      <c r="M12" s="278">
        <v>5</v>
      </c>
      <c r="N12" s="279"/>
      <c r="O12" s="279"/>
    </row>
    <row r="13" spans="1:16" ht="18" customHeight="1" x14ac:dyDescent="0.25">
      <c r="A13" s="296"/>
      <c r="B13" s="296"/>
      <c r="C13" s="296"/>
      <c r="D13" s="296"/>
      <c r="E13" s="296"/>
      <c r="F13" s="296"/>
      <c r="G13" s="296"/>
      <c r="H13" s="296"/>
      <c r="I13" s="296"/>
      <c r="J13" s="296"/>
      <c r="K13" s="296"/>
      <c r="L13" s="296"/>
      <c r="M13" s="278">
        <v>12</v>
      </c>
    </row>
    <row r="14" spans="1:16" ht="32.25" customHeight="1" x14ac:dyDescent="0.25">
      <c r="A14" s="297" t="s">
        <v>31</v>
      </c>
      <c r="B14" s="297"/>
      <c r="C14" s="297"/>
      <c r="D14" s="297"/>
      <c r="E14" s="297"/>
      <c r="F14" s="297"/>
      <c r="G14" s="297"/>
      <c r="H14" s="297"/>
      <c r="I14" s="297"/>
      <c r="J14" s="297"/>
      <c r="K14" s="297"/>
      <c r="L14" s="297"/>
    </row>
    <row r="15" spans="1:16" s="299" customFormat="1" ht="24.95" customHeight="1" x14ac:dyDescent="0.3">
      <c r="A15" s="54" t="s">
        <v>32</v>
      </c>
      <c r="B15" s="54"/>
      <c r="C15" s="54"/>
      <c r="D15" s="55"/>
      <c r="E15" s="55"/>
      <c r="F15" s="55"/>
      <c r="G15" s="55"/>
      <c r="H15" s="55"/>
      <c r="I15" s="55"/>
      <c r="J15" s="55"/>
      <c r="K15" s="55"/>
      <c r="L15" s="55"/>
      <c r="M15" s="298"/>
      <c r="N15" s="298"/>
      <c r="O15" s="298"/>
    </row>
    <row r="16" spans="1:16" ht="15" customHeight="1" x14ac:dyDescent="0.25">
      <c r="A16" s="300" t="s">
        <v>33</v>
      </c>
      <c r="B16" s="300"/>
      <c r="C16" s="300"/>
      <c r="D16" s="300"/>
      <c r="E16" s="301"/>
      <c r="F16" s="302"/>
      <c r="G16" s="303"/>
      <c r="H16" s="303"/>
      <c r="I16" s="303"/>
      <c r="J16" s="303"/>
      <c r="K16" s="303"/>
      <c r="L16" s="303" t="s">
        <v>34</v>
      </c>
    </row>
  </sheetData>
  <sheetProtection algorithmName="SHA-512" hashValue="7xuxM5ikzMxmhcUUCYoD/bMVMXaQCbX/SuL8iG0TdSN6D0pFcA9OZ/oHfDVMD4U3ctmAJxme+PpFoIYYWwYvgg==" saltValue="BrWCP/lDFdnoeOEZ2SNsog==" spinCount="100000" sheet="1" objects="1" scenarios="1" formatCells="0" formatColumns="0" formatRows="0"/>
  <mergeCells count="2">
    <mergeCell ref="A2:D2"/>
    <mergeCell ref="A14:L14"/>
  </mergeCells>
  <conditionalFormatting sqref="A8:L12">
    <cfRule type="expression" dxfId="18" priority="2">
      <formula>$A8=""</formula>
    </cfRule>
  </conditionalFormatting>
  <conditionalFormatting sqref="D4:D5">
    <cfRule type="containsText" dxfId="17" priority="3" operator="containsText" text="Choose">
      <formula>NOT(ISERROR(SEARCH("Choose",D4)))</formula>
    </cfRule>
  </conditionalFormatting>
  <conditionalFormatting sqref="H8:K12">
    <cfRule type="expression" dxfId="16" priority="1">
      <formula>$E8=H$7</formula>
    </cfRule>
  </conditionalFormatting>
  <dataValidations count="1">
    <dataValidation type="list" allowBlank="1" showInputMessage="1" showErrorMessage="1" sqref="L10" xr:uid="{00000000-0002-0000-0100-000000000000}"/>
  </dataValidations>
  <hyperlinks>
    <hyperlink ref="A15:L15" r:id="rId1" display="If you have any queries about your course, please contact Curtin Connect." xr:uid="{00000000-0004-0000-0100-000000000000}"/>
  </hyperlinks>
  <printOptions horizontalCentered="1"/>
  <pageMargins left="0.31496062992125984" right="0.31496062992125984" top="0.39370078740157483" bottom="0.39370078740157483" header="0.19685039370078741" footer="0.19685039370078741"/>
  <pageSetup paperSize="9" scale="91" orientation="landscape"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1000000}">
          <x14:formula1>
            <xm:f>Unitsets!$A$13:$A$17</xm:f>
          </x14:formula1>
          <xm:sqref>D5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22"/>
  <sheetViews>
    <sheetView showGridLines="0" topLeftCell="A2" zoomScaleNormal="100" workbookViewId="0">
      <selection activeCell="D5" sqref="D5"/>
    </sheetView>
  </sheetViews>
  <sheetFormatPr defaultRowHeight="15" x14ac:dyDescent="0.25"/>
  <cols>
    <col min="1" max="1" width="8.5" style="79" customWidth="1"/>
    <col min="2" max="2" width="3.25" style="79" customWidth="1"/>
    <col min="3" max="3" width="9.25" style="79" customWidth="1"/>
    <col min="4" max="4" width="47.875" style="77" bestFit="1" customWidth="1"/>
    <col min="5" max="5" width="8" style="77" customWidth="1"/>
    <col min="6" max="6" width="22.375" style="77" customWidth="1"/>
    <col min="7" max="7" width="5.625" style="77" customWidth="1"/>
    <col min="8" max="11" width="4.625" style="77" customWidth="1"/>
    <col min="12" max="12" width="18.625" style="77" customWidth="1"/>
    <col min="13" max="13" width="5.125" style="77" customWidth="1"/>
    <col min="14" max="16384" width="9" style="77"/>
  </cols>
  <sheetData>
    <row r="1" spans="1:16" hidden="1" x14ac:dyDescent="0.25">
      <c r="A1" s="73" t="s">
        <v>0</v>
      </c>
      <c r="B1" s="74" t="s">
        <v>1</v>
      </c>
      <c r="C1" s="74" t="s">
        <v>2</v>
      </c>
      <c r="D1" s="75" t="s">
        <v>3</v>
      </c>
      <c r="E1" s="75"/>
      <c r="F1" s="75" t="s">
        <v>4</v>
      </c>
      <c r="G1" s="75" t="s">
        <v>5</v>
      </c>
      <c r="H1" s="76" t="s">
        <v>6</v>
      </c>
      <c r="I1" s="75"/>
      <c r="J1" s="75"/>
      <c r="K1" s="75"/>
      <c r="L1" s="75" t="s">
        <v>7</v>
      </c>
    </row>
    <row r="2" spans="1:16" ht="39.950000000000003" customHeight="1" x14ac:dyDescent="0.25">
      <c r="A2" s="234" t="s">
        <v>8</v>
      </c>
      <c r="B2" s="234"/>
      <c r="C2" s="234"/>
      <c r="D2" s="234"/>
      <c r="E2" s="78"/>
      <c r="F2" s="78"/>
      <c r="G2" s="78"/>
      <c r="H2" s="78"/>
      <c r="I2" s="78"/>
      <c r="J2" s="78"/>
      <c r="K2" s="78"/>
      <c r="L2" s="78"/>
    </row>
    <row r="3" spans="1:16" ht="26.25" x14ac:dyDescent="0.25">
      <c r="A3" s="144"/>
      <c r="B3" s="145"/>
      <c r="C3" s="145"/>
      <c r="D3" s="146"/>
      <c r="E3" s="147" t="s">
        <v>9</v>
      </c>
      <c r="F3" s="145"/>
      <c r="G3" s="148"/>
      <c r="H3" s="148"/>
      <c r="I3" s="148"/>
      <c r="J3" s="148"/>
      <c r="K3" s="148"/>
      <c r="L3" s="148"/>
    </row>
    <row r="4" spans="1:16" ht="20.100000000000001" customHeight="1" x14ac:dyDescent="0.25">
      <c r="B4" s="80"/>
      <c r="C4" s="81" t="s">
        <v>10</v>
      </c>
      <c r="D4" s="82" t="s">
        <v>36</v>
      </c>
      <c r="E4" s="83"/>
      <c r="F4" s="81" t="s">
        <v>12</v>
      </c>
      <c r="G4" s="83" t="str">
        <f>IFERROR(CONCATENATE(VLOOKUP(D4,TableCourses[],2,FALSE)," ",VLOOKUP(D4,TableCourses[],3,FALSE)),"")</f>
        <v>OC-GEOG1 v.1</v>
      </c>
      <c r="H4" s="83"/>
      <c r="I4" s="83"/>
      <c r="J4" s="83"/>
      <c r="K4" s="83"/>
      <c r="L4" s="151" t="str">
        <f>CONCATENATE(VLOOKUP(D4,TableCourses[],2,FALSE),VLOOKUP(D5,TableStudyPeriods[],2,FALSE))</f>
        <v>OC-GEOG1SP4</v>
      </c>
    </row>
    <row r="5" spans="1:16" ht="20.100000000000001" customHeight="1" x14ac:dyDescent="0.25">
      <c r="A5" s="84"/>
      <c r="B5" s="85"/>
      <c r="C5" s="81" t="s">
        <v>13</v>
      </c>
      <c r="D5" s="64" t="s">
        <v>104</v>
      </c>
      <c r="E5" s="86"/>
      <c r="F5" s="81" t="s">
        <v>15</v>
      </c>
      <c r="G5" s="83" t="str">
        <f>IFERROR(VLOOKUP($D$4,TableCourses[],7,FALSE),"")</f>
        <v>100 credit points required</v>
      </c>
      <c r="H5" s="87"/>
      <c r="I5" s="87"/>
      <c r="J5" s="87"/>
      <c r="K5" s="87"/>
      <c r="L5" s="152"/>
    </row>
    <row r="6" spans="1:16" s="95" customFormat="1" ht="14.1" customHeight="1" x14ac:dyDescent="0.25">
      <c r="A6" s="88"/>
      <c r="B6" s="88"/>
      <c r="C6" s="88"/>
      <c r="D6" s="89"/>
      <c r="E6" s="90"/>
      <c r="F6" s="88"/>
      <c r="G6" s="88"/>
      <c r="H6" s="91" t="s">
        <v>16</v>
      </c>
      <c r="I6" s="92"/>
      <c r="J6" s="92"/>
      <c r="K6" s="93"/>
      <c r="L6" s="90"/>
      <c r="M6" s="94"/>
      <c r="N6" s="94"/>
      <c r="O6" s="94"/>
    </row>
    <row r="7" spans="1:16" s="95" customFormat="1" ht="21" x14ac:dyDescent="0.25">
      <c r="A7" s="88" t="s">
        <v>17</v>
      </c>
      <c r="B7" s="88" t="s">
        <v>18</v>
      </c>
      <c r="C7" s="88" t="s">
        <v>19</v>
      </c>
      <c r="D7" s="90" t="s">
        <v>3</v>
      </c>
      <c r="E7" s="96" t="s">
        <v>20</v>
      </c>
      <c r="F7" s="88" t="s">
        <v>21</v>
      </c>
      <c r="G7" s="88" t="s">
        <v>22</v>
      </c>
      <c r="H7" s="183" t="s">
        <v>23</v>
      </c>
      <c r="I7" s="184" t="s">
        <v>24</v>
      </c>
      <c r="J7" s="184" t="s">
        <v>25</v>
      </c>
      <c r="K7" s="185" t="s">
        <v>26</v>
      </c>
      <c r="L7" s="88" t="s">
        <v>27</v>
      </c>
      <c r="M7" s="94"/>
      <c r="N7" s="94"/>
      <c r="O7" s="94"/>
    </row>
    <row r="8" spans="1:16" s="103" customFormat="1" ht="20.100000000000001" customHeight="1" x14ac:dyDescent="0.15">
      <c r="A8" s="97" t="str">
        <f>IFERROR(IF(HLOOKUP($L$4,RangeUnitsets,M8,FALSE)=0,"",HLOOKUP($L$4,RangeUnitsets,M8,FALSE)),"")</f>
        <v>GEOG5002</v>
      </c>
      <c r="B8" s="98">
        <f>IFERROR(IF(VLOOKUP(A8,TableHandbook[],2,FALSE)=0,"",VLOOKUP(A8,TableHandbook[],2,FALSE)),"")</f>
        <v>1</v>
      </c>
      <c r="C8" s="98" t="str">
        <f>IFERROR(IF(VLOOKUP(A8,TableHandbook[],3,FALSE)=0,"",VLOOKUP(A8,TableHandbook[],3,FALSE)),"")</f>
        <v>GPH512</v>
      </c>
      <c r="D8" s="99" t="str">
        <f>IFERROR(VLOOKUP(A8,TableHandbook[],4,FALSE),"")</f>
        <v>Physical Geography</v>
      </c>
      <c r="E8" s="98" t="str">
        <f>IF(A8="","",VLOOKUP($D$5,TableStudyPeriods[],2,FALSE))</f>
        <v>SP4</v>
      </c>
      <c r="F8" s="100" t="str">
        <f>IFERROR(IF(VLOOKUP(A8,TableHandbook[],6,FALSE)=0,"",VLOOKUP(A8,TableHandbook[],6,FALSE)),"")</f>
        <v>Nil</v>
      </c>
      <c r="G8" s="98">
        <f>IFERROR(IF(VLOOKUP(A8,TableHandbook[],5,FALSE)=0,"",VLOOKUP(A8,TableHandbook[],5,FALSE)),"")</f>
        <v>25</v>
      </c>
      <c r="H8" s="186" t="str">
        <f>IFERROR(VLOOKUP($A8,TableHandbook[],7,FALSE),"")</f>
        <v/>
      </c>
      <c r="I8" s="187" t="str">
        <f>IFERROR(VLOOKUP($A8,TableHandbook[],8,FALSE),"")</f>
        <v>Y</v>
      </c>
      <c r="J8" s="187" t="str">
        <f>IFERROR(VLOOKUP($A8,TableHandbook[],9,FALSE),"")</f>
        <v/>
      </c>
      <c r="K8" s="188" t="str">
        <f>IFERROR(VLOOKUP($A8,TableHandbook[],10,FALSE),"")</f>
        <v>Y</v>
      </c>
      <c r="L8" s="56"/>
      <c r="M8" s="101">
        <v>2</v>
      </c>
      <c r="N8" s="102"/>
      <c r="O8" s="102"/>
    </row>
    <row r="9" spans="1:16" s="103" customFormat="1" ht="20.100000000000001" customHeight="1" x14ac:dyDescent="0.15">
      <c r="A9" s="104" t="str">
        <f>IFERROR(IF(HLOOKUP($L$4,RangeUnitsets,M9,FALSE)=0,"",HLOOKUP($L$4,RangeUnitsets,M9,FALSE)),"")</f>
        <v xml:space="preserve"> </v>
      </c>
      <c r="B9" s="105" t="str">
        <f>IFERROR(IF(VLOOKUP(A9,TableHandbook[],2,FALSE)=0,"",VLOOKUP(A9,TableHandbook[],2,FALSE)),"")</f>
        <v/>
      </c>
      <c r="C9" s="105" t="str">
        <f>IFERROR(IF(VLOOKUP(A9,TableHandbook[],3,FALSE)=0,"",VLOOKUP(A9,TableHandbook[],3,FALSE)),"")</f>
        <v/>
      </c>
      <c r="D9" s="106" t="str">
        <f>IFERROR(VLOOKUP(A9,TableHandbook[],4,FALSE),"")</f>
        <v/>
      </c>
      <c r="E9" s="105" t="str">
        <f>IF(OR(A9="",A9=" "),"",E8)</f>
        <v/>
      </c>
      <c r="F9" s="107" t="str">
        <f>IFERROR(IF(VLOOKUP(A9,TableHandbook[],6,FALSE)=0,"",VLOOKUP(A9,TableHandbook[],6,FALSE)),"")</f>
        <v/>
      </c>
      <c r="G9" s="105" t="str">
        <f>IFERROR(IF(VLOOKUP(A9,TableHandbook[],5,FALSE)=0,"",VLOOKUP(A9,TableHandbook[],5,FALSE)),"")</f>
        <v/>
      </c>
      <c r="H9" s="189" t="str">
        <f>IFERROR(VLOOKUP($A9,TableHandbook[],7,FALSE),"")</f>
        <v/>
      </c>
      <c r="I9" s="190" t="str">
        <f>IFERROR(VLOOKUP($A9,TableHandbook[],8,FALSE),"")</f>
        <v/>
      </c>
      <c r="J9" s="190" t="str">
        <f>IFERROR(VLOOKUP($A9,TableHandbook[],9,FALSE),"")</f>
        <v/>
      </c>
      <c r="K9" s="191" t="str">
        <f>IFERROR(VLOOKUP($A9,TableHandbook[],10,FALSE),"")</f>
        <v/>
      </c>
      <c r="L9" s="57"/>
      <c r="M9" s="101">
        <v>3</v>
      </c>
      <c r="N9" s="102"/>
      <c r="O9" s="102"/>
    </row>
    <row r="10" spans="1:16" s="103" customFormat="1" ht="4.5" customHeight="1" x14ac:dyDescent="0.15">
      <c r="A10" s="108"/>
      <c r="B10" s="109"/>
      <c r="C10" s="109" t="str">
        <f>IFERROR(IF(VLOOKUP(A10,TableHandbook[],3,FALSE)=0,"",VLOOKUP(A10,TableHandbook[],3,FALSE)),"")</f>
        <v/>
      </c>
      <c r="D10" s="110"/>
      <c r="E10" s="109"/>
      <c r="F10" s="111"/>
      <c r="G10" s="109"/>
      <c r="H10" s="192"/>
      <c r="I10" s="193"/>
      <c r="J10" s="193"/>
      <c r="K10" s="194"/>
      <c r="L10" s="53"/>
      <c r="M10" s="112"/>
      <c r="N10" s="102"/>
      <c r="O10" s="102"/>
      <c r="P10" s="102"/>
    </row>
    <row r="11" spans="1:16" s="103" customFormat="1" ht="20.100000000000001" customHeight="1" x14ac:dyDescent="0.15">
      <c r="A11" s="97" t="str">
        <f>IFERROR(IF(HLOOKUP($L$4,RangeUnitsets,M11,FALSE)=0,"",HLOOKUP($L$4,RangeUnitsets,M11,FALSE)),"")</f>
        <v>GEOG5004</v>
      </c>
      <c r="B11" s="98">
        <f>IFERROR(IF(VLOOKUP(A11,TableHandbook[],2,FALSE)=0,"",VLOOKUP(A11,TableHandbook[],2,FALSE)),"")</f>
        <v>2</v>
      </c>
      <c r="C11" s="98" t="str">
        <f>IFERROR(IF(VLOOKUP(A11,TableHandbook[],3,FALSE)=0,"",VLOOKUP(A11,TableHandbook[],3,FALSE)),"")</f>
        <v>GPH513</v>
      </c>
      <c r="D11" s="99" t="str">
        <f>IFERROR(VLOOKUP(A11,TableHandbook[],4,FALSE),"")</f>
        <v>Urban Geographies</v>
      </c>
      <c r="E11" s="98" t="str">
        <f>IF(A11="","",VLOOKUP($D$5,TableStudyPeriods[],3,FALSE))</f>
        <v>SP1</v>
      </c>
      <c r="F11" s="100" t="str">
        <f>IFERROR(IF(VLOOKUP(A11,TableHandbook[],6,FALSE)=0,"",VLOOKUP(A11,TableHandbook[],6,FALSE)),"")</f>
        <v>Nil</v>
      </c>
      <c r="G11" s="98">
        <f>IFERROR(IF(VLOOKUP(A11,TableHandbook[],5,FALSE)=0,"",VLOOKUP(A11,TableHandbook[],5,FALSE)),"")</f>
        <v>25</v>
      </c>
      <c r="H11" s="186" t="str">
        <f>IFERROR(VLOOKUP($A11,TableHandbook[],7,FALSE),"")</f>
        <v>Y</v>
      </c>
      <c r="I11" s="187" t="str">
        <f>IFERROR(VLOOKUP($A11,TableHandbook[],8,FALSE),"")</f>
        <v/>
      </c>
      <c r="J11" s="187" t="str">
        <f>IFERROR(VLOOKUP($A11,TableHandbook[],9,FALSE),"")</f>
        <v/>
      </c>
      <c r="K11" s="188" t="str">
        <f>IFERROR(VLOOKUP($A11,TableHandbook[],10,FALSE),"")</f>
        <v/>
      </c>
      <c r="L11" s="58"/>
      <c r="M11" s="101">
        <v>4</v>
      </c>
      <c r="N11" s="102"/>
      <c r="O11" s="102"/>
    </row>
    <row r="12" spans="1:16" s="103" customFormat="1" ht="20.100000000000001" customHeight="1" x14ac:dyDescent="0.15">
      <c r="A12" s="104" t="str">
        <f>IFERROR(IF(HLOOKUP($L$4,RangeUnitsets,M12,FALSE)=0,"",HLOOKUP($L$4,RangeUnitsets,M12,FALSE)),"")</f>
        <v xml:space="preserve"> </v>
      </c>
      <c r="B12" s="105" t="str">
        <f>IFERROR(IF(VLOOKUP(A12,TableHandbook[],2,FALSE)=0,"",VLOOKUP(A12,TableHandbook[],2,FALSE)),"")</f>
        <v/>
      </c>
      <c r="C12" s="105" t="str">
        <f>IFERROR(IF(VLOOKUP(A12,TableHandbook[],3,FALSE)=0,"",VLOOKUP(A12,TableHandbook[],3,FALSE)),"")</f>
        <v/>
      </c>
      <c r="D12" s="106" t="str">
        <f>IFERROR(VLOOKUP(A12,TableHandbook[],4,FALSE),"")</f>
        <v/>
      </c>
      <c r="E12" s="105" t="str">
        <f>IF(OR(A12="",A12=" "),"",E11)</f>
        <v/>
      </c>
      <c r="F12" s="107" t="str">
        <f>IFERROR(IF(VLOOKUP(A12,TableHandbook[],6,FALSE)=0,"",VLOOKUP(A12,TableHandbook[],6,FALSE)),"")</f>
        <v/>
      </c>
      <c r="G12" s="105" t="str">
        <f>IFERROR(IF(VLOOKUP(A12,TableHandbook[],5,FALSE)=0,"",VLOOKUP(A12,TableHandbook[],5,FALSE)),"")</f>
        <v/>
      </c>
      <c r="H12" s="189" t="str">
        <f>IFERROR(VLOOKUP($A12,TableHandbook[],7,FALSE),"")</f>
        <v/>
      </c>
      <c r="I12" s="190" t="str">
        <f>IFERROR(VLOOKUP($A12,TableHandbook[],8,FALSE),"")</f>
        <v/>
      </c>
      <c r="J12" s="190" t="str">
        <f>IFERROR(VLOOKUP($A12,TableHandbook[],9,FALSE),"")</f>
        <v/>
      </c>
      <c r="K12" s="191" t="str">
        <f>IFERROR(VLOOKUP($A12,TableHandbook[],10,FALSE),"")</f>
        <v/>
      </c>
      <c r="L12" s="57"/>
      <c r="M12" s="101">
        <v>5</v>
      </c>
      <c r="N12" s="102"/>
      <c r="O12" s="102"/>
    </row>
    <row r="13" spans="1:16" s="103" customFormat="1" ht="4.5" customHeight="1" x14ac:dyDescent="0.15">
      <c r="A13" s="108"/>
      <c r="B13" s="109"/>
      <c r="C13" s="109" t="str">
        <f>IFERROR(IF(VLOOKUP(A13,TableHandbook[],3,FALSE)=0,"",VLOOKUP(A13,TableHandbook[],3,FALSE)),"")</f>
        <v/>
      </c>
      <c r="D13" s="110"/>
      <c r="E13" s="109"/>
      <c r="F13" s="111"/>
      <c r="G13" s="109"/>
      <c r="H13" s="192"/>
      <c r="I13" s="193"/>
      <c r="J13" s="193"/>
      <c r="K13" s="194"/>
      <c r="L13" s="53"/>
      <c r="M13" s="112"/>
      <c r="N13" s="102"/>
      <c r="O13" s="102"/>
      <c r="P13" s="102"/>
    </row>
    <row r="14" spans="1:16" s="103" customFormat="1" ht="20.100000000000001" customHeight="1" x14ac:dyDescent="0.15">
      <c r="A14" s="97" t="str">
        <f>IFERROR(IF(HLOOKUP($L$4,RangeUnitsets,M14,FALSE)=0,"",HLOOKUP($L$4,RangeUnitsets,M14,FALSE)),"")</f>
        <v>GEOG5003</v>
      </c>
      <c r="B14" s="98">
        <f>IFERROR(IF(VLOOKUP(A14,TableHandbook[],2,FALSE)=0,"",VLOOKUP(A14,TableHandbook[],2,FALSE)),"")</f>
        <v>1</v>
      </c>
      <c r="C14" s="98" t="str">
        <f>IFERROR(IF(VLOOKUP(A14,TableHandbook[],3,FALSE)=0,"",VLOOKUP(A14,TableHandbook[],3,FALSE)),"")</f>
        <v>GPH514</v>
      </c>
      <c r="D14" s="99" t="str">
        <f>IFERROR(VLOOKUP(A14,TableHandbook[],4,FALSE),"")</f>
        <v>Geographies of Food Security</v>
      </c>
      <c r="E14" s="98" t="str">
        <f>IF(A14="","",VLOOKUP($D$5,TableStudyPeriods[],4,FALSE))</f>
        <v>SP2</v>
      </c>
      <c r="F14" s="100" t="str">
        <f>IFERROR(IF(VLOOKUP(A14,TableHandbook[],6,FALSE)=0,"",VLOOKUP(A14,TableHandbook[],6,FALSE)),"")</f>
        <v>Nil</v>
      </c>
      <c r="G14" s="98">
        <f>IFERROR(IF(VLOOKUP(A14,TableHandbook[],5,FALSE)=0,"",VLOOKUP(A14,TableHandbook[],5,FALSE)),"")</f>
        <v>25</v>
      </c>
      <c r="H14" s="186" t="str">
        <f>IFERROR(VLOOKUP($A14,TableHandbook[],7,FALSE),"")</f>
        <v/>
      </c>
      <c r="I14" s="187" t="str">
        <f>IFERROR(VLOOKUP($A14,TableHandbook[],8,FALSE),"")</f>
        <v>Y</v>
      </c>
      <c r="J14" s="187" t="str">
        <f>IFERROR(VLOOKUP($A14,TableHandbook[],9,FALSE),"")</f>
        <v/>
      </c>
      <c r="K14" s="188" t="str">
        <f>IFERROR(VLOOKUP($A14,TableHandbook[],10,FALSE),"")</f>
        <v/>
      </c>
      <c r="L14" s="58"/>
      <c r="M14" s="101">
        <v>6</v>
      </c>
      <c r="N14" s="102"/>
      <c r="O14" s="102"/>
    </row>
    <row r="15" spans="1:16" s="103" customFormat="1" ht="20.100000000000001" customHeight="1" x14ac:dyDescent="0.15">
      <c r="A15" s="104" t="str">
        <f>IFERROR(IF(HLOOKUP($L$4,RangeUnitsets,M15,FALSE)=0,"",HLOOKUP($L$4,RangeUnitsets,M15,FALSE)),"")</f>
        <v xml:space="preserve"> </v>
      </c>
      <c r="B15" s="105" t="str">
        <f>IFERROR(IF(VLOOKUP(A15,TableHandbook[],2,FALSE)=0,"",VLOOKUP(A15,TableHandbook[],2,FALSE)),"")</f>
        <v/>
      </c>
      <c r="C15" s="105" t="str">
        <f>IFERROR(IF(VLOOKUP(A15,TableHandbook[],3,FALSE)=0,"",VLOOKUP(A15,TableHandbook[],3,FALSE)),"")</f>
        <v/>
      </c>
      <c r="D15" s="106" t="str">
        <f>IFERROR(VLOOKUP(A15,TableHandbook[],4,FALSE),"")</f>
        <v/>
      </c>
      <c r="E15" s="105" t="str">
        <f>IF(OR(A15="",A15=" "),"",E14)</f>
        <v/>
      </c>
      <c r="F15" s="107" t="str">
        <f>IFERROR(IF(VLOOKUP(A15,TableHandbook[],6,FALSE)=0,"",VLOOKUP(A15,TableHandbook[],6,FALSE)),"")</f>
        <v/>
      </c>
      <c r="G15" s="105" t="str">
        <f>IFERROR(IF(VLOOKUP(A15,TableHandbook[],5,FALSE)=0,"",VLOOKUP(A15,TableHandbook[],5,FALSE)),"")</f>
        <v/>
      </c>
      <c r="H15" s="189" t="str">
        <f>IFERROR(VLOOKUP($A15,TableHandbook[],7,FALSE),"")</f>
        <v/>
      </c>
      <c r="I15" s="190" t="str">
        <f>IFERROR(VLOOKUP($A15,TableHandbook[],8,FALSE),"")</f>
        <v/>
      </c>
      <c r="J15" s="190" t="str">
        <f>IFERROR(VLOOKUP($A15,TableHandbook[],9,FALSE),"")</f>
        <v/>
      </c>
      <c r="K15" s="191" t="str">
        <f>IFERROR(VLOOKUP($A15,TableHandbook[],10,FALSE),"")</f>
        <v/>
      </c>
      <c r="L15" s="57"/>
      <c r="M15" s="101">
        <v>7</v>
      </c>
      <c r="N15" s="102"/>
      <c r="O15" s="102"/>
    </row>
    <row r="16" spans="1:16" s="103" customFormat="1" ht="4.5" customHeight="1" x14ac:dyDescent="0.15">
      <c r="A16" s="108"/>
      <c r="B16" s="109"/>
      <c r="C16" s="109" t="str">
        <f>IFERROR(IF(VLOOKUP(A16,TableHandbook[],3,FALSE)=0,"",VLOOKUP(A16,TableHandbook[],3,FALSE)),"")</f>
        <v/>
      </c>
      <c r="D16" s="110"/>
      <c r="E16" s="109"/>
      <c r="F16" s="111"/>
      <c r="G16" s="109"/>
      <c r="H16" s="192"/>
      <c r="I16" s="193"/>
      <c r="J16" s="193"/>
      <c r="K16" s="194"/>
      <c r="L16" s="53"/>
      <c r="M16" s="112"/>
      <c r="N16" s="102"/>
      <c r="O16" s="102"/>
      <c r="P16" s="102"/>
    </row>
    <row r="17" spans="1:15" s="103" customFormat="1" ht="20.100000000000001" customHeight="1" x14ac:dyDescent="0.15">
      <c r="A17" s="97" t="str">
        <f>IFERROR(IF(HLOOKUP($L$4,RangeUnitsets,M17,FALSE)=0,"",HLOOKUP($L$4,RangeUnitsets,M17,FALSE)),"")</f>
        <v>GEOG5000</v>
      </c>
      <c r="B17" s="98">
        <f>IFERROR(IF(VLOOKUP(A17,TableHandbook[],2,FALSE)=0,"",VLOOKUP(A17,TableHandbook[],2,FALSE)),"")</f>
        <v>1</v>
      </c>
      <c r="C17" s="98" t="str">
        <f>IFERROR(IF(VLOOKUP(A17,TableHandbook[],3,FALSE)=0,"",VLOOKUP(A17,TableHandbook[],3,FALSE)),"")</f>
        <v>GPH510</v>
      </c>
      <c r="D17" s="99" t="str">
        <f>IFERROR(VLOOKUP(A17,TableHandbook[],4,FALSE),"")</f>
        <v>Human Geography</v>
      </c>
      <c r="E17" s="98" t="str">
        <f>IF(A17="","",VLOOKUP($D$5,TableStudyPeriods[],5,FALSE))</f>
        <v>SP3</v>
      </c>
      <c r="F17" s="100" t="str">
        <f>IFERROR(IF(VLOOKUP(A17,TableHandbook[],6,FALSE)=0,"",VLOOKUP(A17,TableHandbook[],6,FALSE)),"")</f>
        <v>Nil</v>
      </c>
      <c r="G17" s="98">
        <f>IFERROR(IF(VLOOKUP(A17,TableHandbook[],5,FALSE)=0,"",VLOOKUP(A17,TableHandbook[],5,FALSE)),"")</f>
        <v>25</v>
      </c>
      <c r="H17" s="186" t="str">
        <f>IFERROR(VLOOKUP($A17,TableHandbook[],7,FALSE),"")</f>
        <v>Y</v>
      </c>
      <c r="I17" s="187" t="str">
        <f>IFERROR(VLOOKUP($A17,TableHandbook[],8,FALSE),"")</f>
        <v/>
      </c>
      <c r="J17" s="187" t="str">
        <f>IFERROR(VLOOKUP($A17,TableHandbook[],9,FALSE),"")</f>
        <v>Y</v>
      </c>
      <c r="K17" s="188" t="str">
        <f>IFERROR(VLOOKUP($A17,TableHandbook[],10,FALSE),"")</f>
        <v/>
      </c>
      <c r="L17" s="58"/>
      <c r="M17" s="101">
        <v>8</v>
      </c>
      <c r="N17" s="102"/>
      <c r="O17" s="102"/>
    </row>
    <row r="18" spans="1:15" s="103" customFormat="1" ht="20.100000000000001" customHeight="1" x14ac:dyDescent="0.15">
      <c r="A18" s="104" t="str">
        <f>IFERROR(IF(HLOOKUP($L$4,RangeUnitsets,M18,FALSE)=0,"",HLOOKUP($L$4,RangeUnitsets,M18,FALSE)),"")</f>
        <v xml:space="preserve"> </v>
      </c>
      <c r="B18" s="105" t="str">
        <f>IFERROR(IF(VLOOKUP(A18,TableHandbook[],2,FALSE)=0,"",VLOOKUP(A18,TableHandbook[],2,FALSE)),"")</f>
        <v/>
      </c>
      <c r="C18" s="105" t="str">
        <f>IFERROR(IF(VLOOKUP(A18,TableHandbook[],3,FALSE)=0,"",VLOOKUP(A18,TableHandbook[],3,FALSE)),"")</f>
        <v/>
      </c>
      <c r="D18" s="106" t="str">
        <f>IFERROR(VLOOKUP(A18,TableHandbook[],4,FALSE),"")</f>
        <v/>
      </c>
      <c r="E18" s="105" t="str">
        <f>IF(OR(A18="",A18=" "),"",E17)</f>
        <v/>
      </c>
      <c r="F18" s="107" t="str">
        <f>IFERROR(IF(VLOOKUP(A18,TableHandbook[],6,FALSE)=0,"",VLOOKUP(A18,TableHandbook[],6,FALSE)),"")</f>
        <v/>
      </c>
      <c r="G18" s="105" t="str">
        <f>IFERROR(IF(VLOOKUP(A18,TableHandbook[],5,FALSE)=0,"",VLOOKUP(A18,TableHandbook[],5,FALSE)),"")</f>
        <v/>
      </c>
      <c r="H18" s="189" t="str">
        <f>IFERROR(VLOOKUP($A18,TableHandbook[],7,FALSE),"")</f>
        <v/>
      </c>
      <c r="I18" s="190" t="str">
        <f>IFERROR(VLOOKUP($A18,TableHandbook[],8,FALSE),"")</f>
        <v/>
      </c>
      <c r="J18" s="190" t="str">
        <f>IFERROR(VLOOKUP($A18,TableHandbook[],9,FALSE),"")</f>
        <v/>
      </c>
      <c r="K18" s="191" t="str">
        <f>IFERROR(VLOOKUP($A18,TableHandbook[],10,FALSE),"")</f>
        <v/>
      </c>
      <c r="L18" s="57"/>
      <c r="M18" s="101">
        <v>9</v>
      </c>
      <c r="N18" s="102"/>
      <c r="O18" s="102"/>
    </row>
    <row r="19" spans="1:15" ht="18" customHeight="1" x14ac:dyDescent="0.25">
      <c r="A19"/>
      <c r="B19"/>
      <c r="C19"/>
      <c r="D19"/>
      <c r="E19"/>
      <c r="F19"/>
      <c r="G19"/>
      <c r="H19"/>
      <c r="I19"/>
      <c r="J19"/>
      <c r="K19"/>
      <c r="L19"/>
      <c r="M19" s="101"/>
    </row>
    <row r="20" spans="1:15" ht="32.25" customHeight="1" x14ac:dyDescent="0.25">
      <c r="A20" s="235" t="s">
        <v>31</v>
      </c>
      <c r="B20" s="235"/>
      <c r="C20" s="235"/>
      <c r="D20" s="235"/>
      <c r="E20" s="235"/>
      <c r="F20" s="235"/>
      <c r="G20" s="235"/>
      <c r="H20" s="235"/>
      <c r="I20" s="235"/>
      <c r="J20" s="235"/>
      <c r="K20" s="235"/>
      <c r="L20" s="235"/>
    </row>
    <row r="21" spans="1:15" s="140" customFormat="1" ht="24.95" customHeight="1" x14ac:dyDescent="0.3">
      <c r="A21" s="54" t="s">
        <v>32</v>
      </c>
      <c r="B21" s="54"/>
      <c r="C21" s="54"/>
      <c r="D21" s="55"/>
      <c r="E21" s="55"/>
      <c r="F21" s="55"/>
      <c r="G21" s="55"/>
      <c r="H21" s="55"/>
      <c r="I21" s="55"/>
      <c r="J21" s="55"/>
      <c r="K21" s="55"/>
      <c r="L21" s="55"/>
      <c r="M21" s="139"/>
      <c r="N21" s="139"/>
      <c r="O21" s="139"/>
    </row>
    <row r="22" spans="1:15" ht="15" customHeight="1" x14ac:dyDescent="0.25">
      <c r="A22" s="141" t="s">
        <v>33</v>
      </c>
      <c r="B22" s="141"/>
      <c r="C22" s="141"/>
      <c r="D22" s="141"/>
      <c r="E22" s="142"/>
      <c r="F22" s="122"/>
      <c r="G22" s="143"/>
      <c r="H22" s="143"/>
      <c r="I22" s="143"/>
      <c r="J22" s="143"/>
      <c r="K22" s="143"/>
      <c r="L22" s="143" t="s">
        <v>34</v>
      </c>
    </row>
  </sheetData>
  <sheetProtection formatCells="0"/>
  <mergeCells count="2">
    <mergeCell ref="A2:D2"/>
    <mergeCell ref="A20:L20"/>
  </mergeCells>
  <conditionalFormatting sqref="A8:L18">
    <cfRule type="expression" dxfId="15" priority="2">
      <formula>$A8=""</formula>
    </cfRule>
  </conditionalFormatting>
  <conditionalFormatting sqref="D4:D5">
    <cfRule type="containsText" dxfId="14" priority="3" operator="containsText" text="Choose">
      <formula>NOT(ISERROR(SEARCH("Choose",D4)))</formula>
    </cfRule>
  </conditionalFormatting>
  <conditionalFormatting sqref="H8:K18">
    <cfRule type="expression" dxfId="13" priority="1">
      <formula>$E8=H$7</formula>
    </cfRule>
  </conditionalFormatting>
  <dataValidations count="1">
    <dataValidation type="list" allowBlank="1" showInputMessage="1" showErrorMessage="1" sqref="L10 L13 L16" xr:uid="{00000000-0002-0000-0200-000000000000}"/>
  </dataValidations>
  <hyperlinks>
    <hyperlink ref="A21:L21" r:id="rId1" display="If you have any queries about your course, please contact Curtin Connect." xr:uid="{00000000-0004-0000-0200-000000000000}"/>
  </hyperlinks>
  <printOptions horizontalCentered="1"/>
  <pageMargins left="0.31496062992125984" right="0.31496062992125984" top="0.39370078740157483" bottom="0.39370078740157483" header="0.19685039370078741" footer="0.19685039370078741"/>
  <pageSetup paperSize="9" scale="93" orientation="landscape"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1000000}">
          <x14:formula1>
            <xm:f>Unitsets!$A$13:$A$17</xm:f>
          </x14:formula1>
          <xm:sqref>D5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Q37"/>
  <sheetViews>
    <sheetView zoomScale="85" zoomScaleNormal="85" workbookViewId="0">
      <selection activeCell="D5" sqref="D5"/>
    </sheetView>
  </sheetViews>
  <sheetFormatPr defaultRowHeight="15.75" x14ac:dyDescent="0.25"/>
  <cols>
    <col min="1" max="1" width="65.875" style="13" bestFit="1" customWidth="1"/>
    <col min="2" max="2" width="11.375" style="9" bestFit="1" customWidth="1"/>
    <col min="3" max="3" width="10.75" style="9" bestFit="1" customWidth="1"/>
    <col min="4" max="4" width="19.375" style="9" bestFit="1" customWidth="1"/>
    <col min="5" max="5" width="14.25" style="9" bestFit="1" customWidth="1"/>
    <col min="6" max="6" width="15.25" style="9" bestFit="1" customWidth="1"/>
    <col min="7" max="7" width="19.375" style="9" bestFit="1" customWidth="1"/>
    <col min="8" max="8" width="16.5" style="9" customWidth="1"/>
    <col min="9" max="9" width="7.625" style="9" customWidth="1"/>
    <col min="10" max="10" width="14.25" style="9" bestFit="1" customWidth="1"/>
    <col min="11" max="11" width="3.625" customWidth="1"/>
    <col min="12" max="12" width="10.25" bestFit="1" customWidth="1"/>
    <col min="13" max="13" width="13.625" bestFit="1" customWidth="1"/>
    <col min="14" max="14" width="11.375" bestFit="1" customWidth="1"/>
    <col min="15" max="15" width="14" bestFit="1" customWidth="1"/>
    <col min="16" max="16" width="5" bestFit="1" customWidth="1"/>
    <col min="17" max="17" width="14" bestFit="1" customWidth="1"/>
    <col min="18" max="18" width="5" bestFit="1" customWidth="1"/>
    <col min="19" max="19" width="14" bestFit="1" customWidth="1"/>
    <col min="20" max="20" width="5" bestFit="1" customWidth="1"/>
    <col min="21" max="21" width="12.125" bestFit="1" customWidth="1"/>
    <col min="22" max="22" width="5" bestFit="1" customWidth="1"/>
    <col min="23" max="23" width="12.5" bestFit="1" customWidth="1"/>
    <col min="24" max="24" width="5" bestFit="1" customWidth="1"/>
    <col min="25" max="25" width="12.5" bestFit="1" customWidth="1"/>
    <col min="26" max="26" width="5" bestFit="1" customWidth="1"/>
    <col min="27" max="27" width="12.5" bestFit="1" customWidth="1"/>
    <col min="28" max="28" width="5.25" bestFit="1" customWidth="1"/>
    <col min="29" max="29" width="15" bestFit="1" customWidth="1"/>
    <col min="30" max="30" width="5.25" bestFit="1" customWidth="1"/>
    <col min="31" max="31" width="15.25" bestFit="1" customWidth="1"/>
    <col min="32" max="32" width="5.25" bestFit="1" customWidth="1"/>
    <col min="33" max="33" width="15.25" bestFit="1" customWidth="1"/>
    <col min="34" max="34" width="5.25" bestFit="1" customWidth="1"/>
    <col min="35" max="35" width="15.25" bestFit="1" customWidth="1"/>
    <col min="36" max="36" width="6.625" customWidth="1"/>
    <col min="37" max="37" width="4.375" customWidth="1"/>
    <col min="38" max="38" width="34.5" bestFit="1" customWidth="1"/>
    <col min="40" max="40" width="20.875" bestFit="1" customWidth="1"/>
  </cols>
  <sheetData>
    <row r="1" spans="1:43" x14ac:dyDescent="0.25">
      <c r="A1" s="15" t="s">
        <v>37</v>
      </c>
      <c r="B1" s="16"/>
      <c r="C1" s="16"/>
      <c r="D1" s="16"/>
    </row>
    <row r="2" spans="1:43" x14ac:dyDescent="0.25">
      <c r="L2" s="23"/>
      <c r="M2" s="11"/>
      <c r="N2" s="11"/>
      <c r="O2" s="11"/>
      <c r="P2" s="11"/>
      <c r="Q2" s="11"/>
      <c r="R2" s="11"/>
      <c r="S2" s="11"/>
      <c r="T2" s="11"/>
      <c r="U2" s="11"/>
      <c r="V2" s="11"/>
      <c r="W2" s="11"/>
      <c r="X2" s="11"/>
      <c r="Y2" s="11"/>
      <c r="Z2" s="11"/>
      <c r="AA2" s="11"/>
      <c r="AB2" s="11"/>
      <c r="AC2" s="11"/>
      <c r="AD2" s="11"/>
      <c r="AE2" s="11"/>
      <c r="AF2" s="11"/>
      <c r="AG2" s="11"/>
      <c r="AH2" s="12"/>
      <c r="AI2" s="11"/>
      <c r="AJ2" s="12"/>
      <c r="AK2" s="21"/>
      <c r="AL2" s="21"/>
      <c r="AM2" s="21"/>
      <c r="AN2" s="21"/>
      <c r="AO2" s="21"/>
      <c r="AP2" s="21"/>
      <c r="AQ2" s="21"/>
    </row>
    <row r="3" spans="1:43" x14ac:dyDescent="0.25">
      <c r="J3" s="51" t="s">
        <v>38</v>
      </c>
      <c r="K3" s="1">
        <v>1</v>
      </c>
      <c r="L3" s="153"/>
      <c r="M3" s="154" t="s">
        <v>39</v>
      </c>
      <c r="N3" s="153"/>
      <c r="O3" s="154" t="s">
        <v>40</v>
      </c>
      <c r="P3" s="153"/>
      <c r="Q3" s="154" t="s">
        <v>41</v>
      </c>
      <c r="R3" s="153"/>
      <c r="S3" s="154" t="s">
        <v>42</v>
      </c>
      <c r="T3" s="153"/>
      <c r="U3" s="154" t="s">
        <v>43</v>
      </c>
      <c r="V3" s="153"/>
      <c r="W3" s="154" t="s">
        <v>44</v>
      </c>
      <c r="X3" s="153"/>
      <c r="Y3" s="154" t="s">
        <v>45</v>
      </c>
      <c r="Z3" s="153"/>
      <c r="AA3" s="154" t="s">
        <v>46</v>
      </c>
      <c r="AB3" s="153"/>
      <c r="AC3" s="155" t="s">
        <v>47</v>
      </c>
      <c r="AD3" s="153"/>
      <c r="AE3" s="155" t="s">
        <v>48</v>
      </c>
      <c r="AF3" s="153"/>
      <c r="AG3" s="155" t="s">
        <v>49</v>
      </c>
      <c r="AH3" s="27"/>
      <c r="AI3" s="28" t="s">
        <v>50</v>
      </c>
      <c r="AJ3" s="24"/>
      <c r="AK3" s="21"/>
      <c r="AL3" s="21"/>
      <c r="AM3" s="21"/>
      <c r="AN3" s="21"/>
      <c r="AO3" s="21"/>
      <c r="AP3" s="21"/>
      <c r="AQ3" s="21"/>
    </row>
    <row r="4" spans="1:43" x14ac:dyDescent="0.25">
      <c r="B4"/>
      <c r="C4"/>
      <c r="D4"/>
      <c r="E4"/>
      <c r="F4"/>
      <c r="G4"/>
      <c r="H4"/>
      <c r="K4" s="19">
        <v>2</v>
      </c>
      <c r="L4" s="30" t="s">
        <v>51</v>
      </c>
      <c r="M4" s="46" t="s">
        <v>52</v>
      </c>
      <c r="N4" s="30" t="s">
        <v>53</v>
      </c>
      <c r="O4" s="46" t="s">
        <v>54</v>
      </c>
      <c r="P4" s="30" t="s">
        <v>55</v>
      </c>
      <c r="Q4" s="72" t="str">
        <f>M4</f>
        <v>URDE5030</v>
      </c>
      <c r="R4" s="30" t="s">
        <v>56</v>
      </c>
      <c r="S4" s="72" t="str">
        <f>O4</f>
        <v>URDE5014</v>
      </c>
      <c r="T4" s="30" t="s">
        <v>51</v>
      </c>
      <c r="U4" s="46" t="s">
        <v>57</v>
      </c>
      <c r="V4" s="30" t="s">
        <v>53</v>
      </c>
      <c r="W4" s="46" t="s">
        <v>64</v>
      </c>
      <c r="X4" s="30" t="s">
        <v>55</v>
      </c>
      <c r="Y4" s="46" t="s">
        <v>57</v>
      </c>
      <c r="Z4" s="232" t="s">
        <v>56</v>
      </c>
      <c r="AA4" s="46" t="s">
        <v>58</v>
      </c>
      <c r="AB4" s="30" t="s">
        <v>51</v>
      </c>
      <c r="AC4" s="42" t="s">
        <v>59</v>
      </c>
      <c r="AD4" s="30" t="s">
        <v>53</v>
      </c>
      <c r="AE4" s="42" t="s">
        <v>60</v>
      </c>
      <c r="AF4" s="30" t="s">
        <v>55</v>
      </c>
      <c r="AG4" s="42" t="s">
        <v>61</v>
      </c>
      <c r="AH4" s="156" t="s">
        <v>56</v>
      </c>
      <c r="AI4" s="157" t="s">
        <v>60</v>
      </c>
      <c r="AJ4" s="1"/>
      <c r="AK4" s="21"/>
      <c r="AL4" s="21"/>
      <c r="AM4" s="21"/>
      <c r="AN4" s="21"/>
      <c r="AO4" s="21"/>
      <c r="AP4" s="21"/>
      <c r="AQ4" s="21"/>
    </row>
    <row r="5" spans="1:43" x14ac:dyDescent="0.25">
      <c r="K5" s="19">
        <v>3</v>
      </c>
      <c r="L5" s="44" t="s">
        <v>51</v>
      </c>
      <c r="M5" s="162" t="s">
        <v>57</v>
      </c>
      <c r="N5" s="44" t="s">
        <v>53</v>
      </c>
      <c r="O5" s="162" t="s">
        <v>62</v>
      </c>
      <c r="P5" s="44" t="s">
        <v>55</v>
      </c>
      <c r="Q5" s="163" t="str">
        <f t="shared" ref="Q5:S7" si="0">M5</f>
        <v>GEOG5000</v>
      </c>
      <c r="R5" s="44" t="s">
        <v>56</v>
      </c>
      <c r="S5" s="163" t="str">
        <f t="shared" si="0"/>
        <v>URDE5031</v>
      </c>
      <c r="T5" s="44" t="s">
        <v>51</v>
      </c>
      <c r="U5" s="162" t="s">
        <v>63</v>
      </c>
      <c r="V5" s="44" t="s">
        <v>53</v>
      </c>
      <c r="W5" s="162" t="s">
        <v>246</v>
      </c>
      <c r="X5" s="44" t="s">
        <v>55</v>
      </c>
      <c r="Y5" s="162" t="s">
        <v>246</v>
      </c>
      <c r="Z5" s="233" t="s">
        <v>56</v>
      </c>
      <c r="AA5" s="162" t="s">
        <v>246</v>
      </c>
      <c r="AB5" s="44" t="s">
        <v>51</v>
      </c>
      <c r="AC5" s="164" t="s">
        <v>65</v>
      </c>
      <c r="AD5" s="44" t="s">
        <v>53</v>
      </c>
      <c r="AE5" s="164" t="s">
        <v>66</v>
      </c>
      <c r="AF5" s="44" t="s">
        <v>55</v>
      </c>
      <c r="AG5" s="164" t="s">
        <v>65</v>
      </c>
      <c r="AH5" s="160" t="s">
        <v>56</v>
      </c>
      <c r="AI5" s="45" t="s">
        <v>66</v>
      </c>
      <c r="AJ5" s="1"/>
      <c r="AK5" s="21"/>
      <c r="AL5" s="21"/>
      <c r="AM5" s="21"/>
      <c r="AN5" s="21"/>
      <c r="AO5" s="21"/>
      <c r="AP5" s="21"/>
      <c r="AQ5" s="21"/>
    </row>
    <row r="6" spans="1:43" x14ac:dyDescent="0.25">
      <c r="A6" s="9" t="s">
        <v>67</v>
      </c>
      <c r="B6" s="13" t="s">
        <v>0</v>
      </c>
      <c r="C6" s="9" t="s">
        <v>68</v>
      </c>
      <c r="D6" s="9" t="s">
        <v>69</v>
      </c>
      <c r="E6" s="9" t="s">
        <v>70</v>
      </c>
      <c r="F6" s="9" t="s">
        <v>71</v>
      </c>
      <c r="G6" s="9" t="s">
        <v>72</v>
      </c>
      <c r="H6" s="9" t="s">
        <v>73</v>
      </c>
      <c r="K6" s="19">
        <v>4</v>
      </c>
      <c r="L6" s="30" t="s">
        <v>53</v>
      </c>
      <c r="M6" s="46" t="s">
        <v>54</v>
      </c>
      <c r="N6" s="30" t="s">
        <v>55</v>
      </c>
      <c r="O6" s="46" t="s">
        <v>52</v>
      </c>
      <c r="P6" s="30" t="s">
        <v>56</v>
      </c>
      <c r="Q6" s="72" t="str">
        <f t="shared" si="0"/>
        <v>URDE5014</v>
      </c>
      <c r="R6" s="30" t="s">
        <v>51</v>
      </c>
      <c r="S6" s="72" t="str">
        <f t="shared" si="0"/>
        <v>URDE5030</v>
      </c>
      <c r="T6" s="30" t="s">
        <v>53</v>
      </c>
      <c r="U6" s="46" t="s">
        <v>58</v>
      </c>
      <c r="V6" s="30" t="s">
        <v>55</v>
      </c>
      <c r="W6" s="46" t="s">
        <v>57</v>
      </c>
      <c r="X6" s="30" t="s">
        <v>56</v>
      </c>
      <c r="Y6" s="46" t="s">
        <v>58</v>
      </c>
      <c r="Z6" s="232" t="s">
        <v>51</v>
      </c>
      <c r="AA6" s="46" t="s">
        <v>63</v>
      </c>
      <c r="AB6" s="30" t="s">
        <v>53</v>
      </c>
      <c r="AC6" s="42" t="s">
        <v>60</v>
      </c>
      <c r="AD6" s="30" t="s">
        <v>55</v>
      </c>
      <c r="AE6" s="42" t="s">
        <v>61</v>
      </c>
      <c r="AF6" s="30" t="s">
        <v>56</v>
      </c>
      <c r="AG6" s="42" t="s">
        <v>60</v>
      </c>
      <c r="AH6" s="156" t="s">
        <v>51</v>
      </c>
      <c r="AI6" s="157" t="s">
        <v>59</v>
      </c>
      <c r="AJ6" s="1"/>
      <c r="AK6" s="6"/>
      <c r="AL6" s="21"/>
      <c r="AM6" s="21"/>
      <c r="AN6" s="21"/>
      <c r="AO6" s="21"/>
      <c r="AP6" s="21"/>
      <c r="AQ6" s="21"/>
    </row>
    <row r="7" spans="1:43" x14ac:dyDescent="0.25">
      <c r="A7" s="9" t="s">
        <v>35</v>
      </c>
      <c r="B7" s="213" t="s">
        <v>74</v>
      </c>
      <c r="C7" s="213" t="s">
        <v>75</v>
      </c>
      <c r="D7" s="214">
        <v>42736</v>
      </c>
      <c r="E7" s="213">
        <v>2</v>
      </c>
      <c r="F7" s="214">
        <v>42736</v>
      </c>
      <c r="G7" s="10" t="s">
        <v>76</v>
      </c>
      <c r="H7" s="213" t="s">
        <v>77</v>
      </c>
      <c r="I7" s="10"/>
      <c r="K7" s="19">
        <v>5</v>
      </c>
      <c r="L7" s="44" t="s">
        <v>53</v>
      </c>
      <c r="M7" s="162" t="s">
        <v>62</v>
      </c>
      <c r="N7" s="44" t="s">
        <v>55</v>
      </c>
      <c r="O7" s="162" t="s">
        <v>57</v>
      </c>
      <c r="P7" s="44" t="s">
        <v>56</v>
      </c>
      <c r="Q7" s="163" t="str">
        <f t="shared" si="0"/>
        <v>URDE5031</v>
      </c>
      <c r="R7" s="44" t="s">
        <v>51</v>
      </c>
      <c r="S7" s="163" t="str">
        <f t="shared" si="0"/>
        <v>GEOG5000</v>
      </c>
      <c r="T7" s="44" t="s">
        <v>53</v>
      </c>
      <c r="U7" s="162" t="s">
        <v>64</v>
      </c>
      <c r="V7" s="44" t="s">
        <v>55</v>
      </c>
      <c r="W7" s="162" t="s">
        <v>246</v>
      </c>
      <c r="X7" s="44" t="s">
        <v>56</v>
      </c>
      <c r="Y7" s="162" t="s">
        <v>246</v>
      </c>
      <c r="Z7" s="233" t="s">
        <v>51</v>
      </c>
      <c r="AA7" s="162" t="s">
        <v>246</v>
      </c>
      <c r="AB7" s="44" t="s">
        <v>53</v>
      </c>
      <c r="AC7" s="164" t="s">
        <v>66</v>
      </c>
      <c r="AD7" s="44" t="s">
        <v>55</v>
      </c>
      <c r="AE7" s="164" t="s">
        <v>65</v>
      </c>
      <c r="AF7" s="44" t="s">
        <v>56</v>
      </c>
      <c r="AG7" s="164" t="s">
        <v>66</v>
      </c>
      <c r="AH7" s="160" t="s">
        <v>51</v>
      </c>
      <c r="AI7" s="45" t="s">
        <v>65</v>
      </c>
      <c r="AJ7" s="1"/>
      <c r="AK7" s="6"/>
      <c r="AL7" s="5"/>
      <c r="AM7" s="6"/>
      <c r="AN7" s="5"/>
      <c r="AO7" s="6"/>
      <c r="AP7" s="6"/>
    </row>
    <row r="8" spans="1:43" x14ac:dyDescent="0.25">
      <c r="A8" s="9" t="s">
        <v>78</v>
      </c>
      <c r="B8" s="213" t="s">
        <v>79</v>
      </c>
      <c r="C8" s="213" t="s">
        <v>80</v>
      </c>
      <c r="D8" s="214">
        <v>44197</v>
      </c>
      <c r="E8" s="213">
        <v>1</v>
      </c>
      <c r="F8" s="214">
        <v>44197</v>
      </c>
      <c r="G8" s="10" t="s">
        <v>76</v>
      </c>
      <c r="H8" s="215" t="s">
        <v>77</v>
      </c>
      <c r="I8" s="10"/>
      <c r="K8" s="19">
        <v>6</v>
      </c>
      <c r="L8" s="30"/>
      <c r="M8" s="157"/>
      <c r="N8" s="30"/>
      <c r="O8" s="157"/>
      <c r="P8" s="30"/>
      <c r="Q8" s="157"/>
      <c r="R8" s="30"/>
      <c r="S8" s="157"/>
      <c r="T8" s="30"/>
      <c r="U8" s="157"/>
      <c r="V8" s="30" t="s">
        <v>56</v>
      </c>
      <c r="W8" s="157" t="s">
        <v>58</v>
      </c>
      <c r="X8" s="30" t="s">
        <v>51</v>
      </c>
      <c r="Y8" s="46" t="s">
        <v>63</v>
      </c>
      <c r="Z8" s="232" t="s">
        <v>53</v>
      </c>
      <c r="AA8" s="46" t="s">
        <v>64</v>
      </c>
      <c r="AB8" s="156" t="s">
        <v>55</v>
      </c>
      <c r="AC8" s="42" t="s">
        <v>81</v>
      </c>
      <c r="AD8" s="156" t="s">
        <v>56</v>
      </c>
      <c r="AE8" s="42" t="s">
        <v>82</v>
      </c>
      <c r="AF8" s="156" t="s">
        <v>51</v>
      </c>
      <c r="AG8" s="42" t="s">
        <v>59</v>
      </c>
      <c r="AH8" s="156" t="s">
        <v>53</v>
      </c>
      <c r="AI8" s="157" t="s">
        <v>83</v>
      </c>
      <c r="AJ8" s="1"/>
      <c r="AK8" s="25"/>
      <c r="AL8" s="5"/>
      <c r="AM8" s="6"/>
      <c r="AN8" s="5"/>
      <c r="AO8" s="20"/>
      <c r="AP8" s="6"/>
    </row>
    <row r="9" spans="1:43" x14ac:dyDescent="0.25">
      <c r="A9" s="9" t="s">
        <v>36</v>
      </c>
      <c r="B9" s="213" t="s">
        <v>84</v>
      </c>
      <c r="C9" s="213" t="s">
        <v>80</v>
      </c>
      <c r="D9" s="214">
        <v>42552</v>
      </c>
      <c r="E9" s="213">
        <v>2</v>
      </c>
      <c r="F9" s="214">
        <v>45292</v>
      </c>
      <c r="G9" s="10" t="s">
        <v>76</v>
      </c>
      <c r="H9" s="213" t="s">
        <v>77</v>
      </c>
      <c r="I9" s="10"/>
      <c r="K9" s="19">
        <v>7</v>
      </c>
      <c r="L9" s="44"/>
      <c r="M9" s="45"/>
      <c r="N9" s="44"/>
      <c r="O9" s="45"/>
      <c r="P9" s="44"/>
      <c r="Q9" s="45"/>
      <c r="R9" s="44"/>
      <c r="S9" s="45"/>
      <c r="T9" s="44"/>
      <c r="U9" s="45"/>
      <c r="V9" s="44" t="s">
        <v>56</v>
      </c>
      <c r="W9" s="45" t="s">
        <v>246</v>
      </c>
      <c r="X9" s="44" t="s">
        <v>51</v>
      </c>
      <c r="Y9" s="162" t="s">
        <v>246</v>
      </c>
      <c r="Z9" s="233" t="s">
        <v>53</v>
      </c>
      <c r="AA9" s="162" t="s">
        <v>246</v>
      </c>
      <c r="AB9" s="160" t="s">
        <v>55</v>
      </c>
      <c r="AC9" s="164" t="s">
        <v>61</v>
      </c>
      <c r="AD9" s="160" t="s">
        <v>56</v>
      </c>
      <c r="AE9" s="164" t="s">
        <v>85</v>
      </c>
      <c r="AF9" s="160" t="s">
        <v>51</v>
      </c>
      <c r="AG9" s="164" t="s">
        <v>81</v>
      </c>
      <c r="AH9" s="160" t="s">
        <v>53</v>
      </c>
      <c r="AI9" s="45" t="s">
        <v>85</v>
      </c>
      <c r="AJ9" s="1"/>
      <c r="AO9" s="6"/>
      <c r="AP9" s="6"/>
    </row>
    <row r="10" spans="1:43" x14ac:dyDescent="0.25">
      <c r="A10" s="9" t="s">
        <v>11</v>
      </c>
      <c r="B10" s="213" t="s">
        <v>86</v>
      </c>
      <c r="C10" s="213" t="s">
        <v>80</v>
      </c>
      <c r="D10" s="214">
        <v>44562</v>
      </c>
      <c r="E10" s="215">
        <v>5</v>
      </c>
      <c r="F10" s="216">
        <v>45474</v>
      </c>
      <c r="G10" s="10" t="s">
        <v>87</v>
      </c>
      <c r="H10" s="213" t="s">
        <v>77</v>
      </c>
      <c r="I10" s="10"/>
      <c r="K10" s="19">
        <v>8</v>
      </c>
      <c r="L10" s="30"/>
      <c r="M10" s="157"/>
      <c r="N10" s="30"/>
      <c r="O10" s="157"/>
      <c r="P10" s="30"/>
      <c r="Q10" s="157"/>
      <c r="R10" s="30"/>
      <c r="S10" s="157"/>
      <c r="T10" s="30"/>
      <c r="U10" s="157"/>
      <c r="V10" s="30" t="s">
        <v>51</v>
      </c>
      <c r="W10" s="157" t="s">
        <v>63</v>
      </c>
      <c r="X10" s="30" t="s">
        <v>53</v>
      </c>
      <c r="Y10" s="46" t="s">
        <v>64</v>
      </c>
      <c r="Z10" s="232" t="s">
        <v>55</v>
      </c>
      <c r="AA10" s="46" t="s">
        <v>57</v>
      </c>
      <c r="AB10" s="156" t="s">
        <v>56</v>
      </c>
      <c r="AC10" s="42" t="s">
        <v>82</v>
      </c>
      <c r="AD10" s="156" t="s">
        <v>51</v>
      </c>
      <c r="AE10" s="42" t="s">
        <v>59</v>
      </c>
      <c r="AF10" s="156" t="s">
        <v>53</v>
      </c>
      <c r="AG10" s="42" t="s">
        <v>83</v>
      </c>
      <c r="AH10" s="156" t="s">
        <v>55</v>
      </c>
      <c r="AI10" s="157" t="s">
        <v>81</v>
      </c>
      <c r="AJ10" s="1"/>
      <c r="AK10" s="25"/>
      <c r="AO10" s="6"/>
      <c r="AP10" s="6"/>
    </row>
    <row r="11" spans="1:43" x14ac:dyDescent="0.25">
      <c r="K11" s="19">
        <v>9</v>
      </c>
      <c r="L11" s="44"/>
      <c r="M11" s="45"/>
      <c r="N11" s="44"/>
      <c r="O11" s="45"/>
      <c r="P11" s="44"/>
      <c r="Q11" s="45"/>
      <c r="R11" s="44"/>
      <c r="S11" s="45"/>
      <c r="T11" s="44"/>
      <c r="U11" s="45"/>
      <c r="V11" s="44" t="s">
        <v>51</v>
      </c>
      <c r="W11" s="45" t="s">
        <v>246</v>
      </c>
      <c r="X11" s="44" t="s">
        <v>53</v>
      </c>
      <c r="Y11" s="162" t="s">
        <v>246</v>
      </c>
      <c r="Z11" s="233" t="s">
        <v>55</v>
      </c>
      <c r="AA11" s="162" t="s">
        <v>246</v>
      </c>
      <c r="AB11" s="160" t="s">
        <v>56</v>
      </c>
      <c r="AC11" s="164" t="s">
        <v>85</v>
      </c>
      <c r="AD11" s="160" t="s">
        <v>51</v>
      </c>
      <c r="AE11" s="164" t="s">
        <v>81</v>
      </c>
      <c r="AF11" s="160" t="s">
        <v>53</v>
      </c>
      <c r="AG11" s="164" t="s">
        <v>85</v>
      </c>
      <c r="AH11" s="160" t="s">
        <v>55</v>
      </c>
      <c r="AI11" s="45" t="s">
        <v>61</v>
      </c>
      <c r="AJ11" s="1"/>
      <c r="AK11" s="26"/>
      <c r="AO11" s="6"/>
      <c r="AP11" s="6"/>
    </row>
    <row r="12" spans="1:43" x14ac:dyDescent="0.25">
      <c r="K12" s="19">
        <v>10</v>
      </c>
      <c r="L12" s="30"/>
      <c r="M12" s="157"/>
      <c r="N12" s="30"/>
      <c r="O12" s="157"/>
      <c r="P12" s="30"/>
      <c r="Q12" s="157"/>
      <c r="R12" s="30"/>
      <c r="S12" s="157"/>
      <c r="T12" s="30"/>
      <c r="U12" s="157"/>
      <c r="V12" s="30"/>
      <c r="W12" s="157"/>
      <c r="X12" s="30"/>
      <c r="Y12" s="157"/>
      <c r="Z12" s="30"/>
      <c r="AA12" s="157"/>
      <c r="AB12" s="30" t="s">
        <v>88</v>
      </c>
      <c r="AC12" s="165" t="s">
        <v>89</v>
      </c>
      <c r="AD12" s="30" t="s">
        <v>90</v>
      </c>
      <c r="AE12" s="42" t="s">
        <v>83</v>
      </c>
      <c r="AF12" s="30" t="s">
        <v>91</v>
      </c>
      <c r="AG12" s="165" t="s">
        <v>89</v>
      </c>
      <c r="AH12" s="156" t="s">
        <v>92</v>
      </c>
      <c r="AI12" s="157" t="s">
        <v>82</v>
      </c>
      <c r="AJ12" s="2"/>
      <c r="AO12" s="6"/>
      <c r="AP12" s="6"/>
    </row>
    <row r="13" spans="1:43" x14ac:dyDescent="0.25">
      <c r="A13" s="14" t="s">
        <v>14</v>
      </c>
      <c r="B13" s="17" t="s">
        <v>93</v>
      </c>
      <c r="C13" s="9" t="s">
        <v>94</v>
      </c>
      <c r="D13" s="9" t="s">
        <v>95</v>
      </c>
      <c r="E13" s="9" t="s">
        <v>96</v>
      </c>
      <c r="K13" s="19">
        <v>11</v>
      </c>
      <c r="L13" s="44"/>
      <c r="M13" s="45"/>
      <c r="N13" s="44"/>
      <c r="O13" s="45"/>
      <c r="P13" s="44"/>
      <c r="Q13" s="45"/>
      <c r="R13" s="44"/>
      <c r="S13" s="45"/>
      <c r="T13" s="44"/>
      <c r="U13" s="45"/>
      <c r="V13" s="44"/>
      <c r="W13" s="45"/>
      <c r="X13" s="44"/>
      <c r="Y13" s="45"/>
      <c r="Z13" s="44"/>
      <c r="AA13" s="45"/>
      <c r="AB13" s="44" t="s">
        <v>88</v>
      </c>
      <c r="AC13" s="166" t="s">
        <v>97</v>
      </c>
      <c r="AD13" s="44" t="s">
        <v>90</v>
      </c>
      <c r="AE13" s="158" t="s">
        <v>98</v>
      </c>
      <c r="AF13" s="44" t="s">
        <v>91</v>
      </c>
      <c r="AG13" s="166" t="s">
        <v>97</v>
      </c>
      <c r="AH13" s="160" t="s">
        <v>92</v>
      </c>
      <c r="AI13" s="167" t="s">
        <v>98</v>
      </c>
      <c r="AJ13" s="2"/>
      <c r="AO13" s="6"/>
      <c r="AP13" s="6"/>
    </row>
    <row r="14" spans="1:43" x14ac:dyDescent="0.25">
      <c r="A14" s="9" t="s">
        <v>99</v>
      </c>
      <c r="B14" s="10" t="s">
        <v>23</v>
      </c>
      <c r="C14" s="10" t="s">
        <v>24</v>
      </c>
      <c r="D14" s="10" t="s">
        <v>25</v>
      </c>
      <c r="E14" s="10" t="s">
        <v>26</v>
      </c>
      <c r="K14" s="19">
        <v>12</v>
      </c>
      <c r="L14" s="30"/>
      <c r="M14" s="157"/>
      <c r="N14" s="30"/>
      <c r="O14" s="157"/>
      <c r="P14" s="30"/>
      <c r="Q14" s="157"/>
      <c r="R14" s="30"/>
      <c r="S14" s="157"/>
      <c r="T14" s="30"/>
      <c r="U14" s="157"/>
      <c r="V14" s="30"/>
      <c r="W14" s="157"/>
      <c r="X14" s="30"/>
      <c r="Y14" s="157"/>
      <c r="Z14" s="30"/>
      <c r="AA14" s="157"/>
      <c r="AB14" s="30" t="s">
        <v>90</v>
      </c>
      <c r="AC14" s="42" t="s">
        <v>83</v>
      </c>
      <c r="AD14" s="30" t="s">
        <v>91</v>
      </c>
      <c r="AE14" s="168" t="s">
        <v>89</v>
      </c>
      <c r="AF14" s="30" t="s">
        <v>92</v>
      </c>
      <c r="AG14" s="42" t="s">
        <v>82</v>
      </c>
      <c r="AH14" s="156" t="s">
        <v>88</v>
      </c>
      <c r="AI14" s="169" t="s">
        <v>89</v>
      </c>
      <c r="AJ14" s="2"/>
      <c r="AO14" s="6"/>
      <c r="AP14" s="6"/>
    </row>
    <row r="15" spans="1:43" x14ac:dyDescent="0.25">
      <c r="A15" s="9" t="s">
        <v>100</v>
      </c>
      <c r="B15" s="10" t="s">
        <v>24</v>
      </c>
      <c r="C15" s="10" t="s">
        <v>25</v>
      </c>
      <c r="D15" s="10" t="s">
        <v>26</v>
      </c>
      <c r="E15" s="10" t="s">
        <v>23</v>
      </c>
      <c r="K15" s="19">
        <v>13</v>
      </c>
      <c r="L15" s="44"/>
      <c r="M15" s="45"/>
      <c r="N15" s="44"/>
      <c r="O15" s="45"/>
      <c r="P15" s="44"/>
      <c r="Q15" s="45"/>
      <c r="R15" s="44"/>
      <c r="S15" s="45"/>
      <c r="T15" s="44"/>
      <c r="U15" s="45"/>
      <c r="V15" s="44"/>
      <c r="W15" s="45"/>
      <c r="X15" s="44"/>
      <c r="Y15" s="45"/>
      <c r="Z15" s="44"/>
      <c r="AA15" s="45"/>
      <c r="AB15" s="44" t="s">
        <v>90</v>
      </c>
      <c r="AC15" s="158" t="s">
        <v>98</v>
      </c>
      <c r="AD15" s="44" t="s">
        <v>91</v>
      </c>
      <c r="AE15" s="159" t="s">
        <v>97</v>
      </c>
      <c r="AF15" s="44" t="s">
        <v>92</v>
      </c>
      <c r="AG15" s="158" t="s">
        <v>98</v>
      </c>
      <c r="AH15" s="160" t="s">
        <v>88</v>
      </c>
      <c r="AI15" s="161" t="s">
        <v>97</v>
      </c>
      <c r="AJ15" s="2"/>
      <c r="AK15" s="6"/>
      <c r="AO15" s="6"/>
      <c r="AP15" s="6"/>
    </row>
    <row r="16" spans="1:43" x14ac:dyDescent="0.25">
      <c r="A16" s="9" t="s">
        <v>101</v>
      </c>
      <c r="B16" s="10" t="s">
        <v>25</v>
      </c>
      <c r="C16" s="10" t="s">
        <v>26</v>
      </c>
      <c r="D16" s="10" t="s">
        <v>23</v>
      </c>
      <c r="E16" s="10" t="s">
        <v>24</v>
      </c>
      <c r="M16" s="226" t="s">
        <v>102</v>
      </c>
      <c r="N16" s="227"/>
      <c r="O16" s="226" t="s">
        <v>102</v>
      </c>
      <c r="P16" s="227"/>
      <c r="Q16" s="226" t="s">
        <v>102</v>
      </c>
      <c r="R16" s="227"/>
      <c r="S16" s="226" t="s">
        <v>102</v>
      </c>
      <c r="T16" s="62"/>
      <c r="U16" s="62"/>
      <c r="V16" s="62"/>
      <c r="W16" s="62"/>
      <c r="X16" s="62"/>
      <c r="Y16" s="62"/>
      <c r="Z16" s="62"/>
      <c r="AA16" s="62"/>
      <c r="AC16" s="29" t="s">
        <v>103</v>
      </c>
      <c r="AE16" s="29" t="s">
        <v>103</v>
      </c>
      <c r="AG16" s="29" t="s">
        <v>103</v>
      </c>
      <c r="AI16" s="29" t="s">
        <v>103</v>
      </c>
      <c r="AJ16" s="2"/>
      <c r="AK16" s="6"/>
      <c r="AL16" s="5"/>
      <c r="AM16" s="6"/>
      <c r="AN16" s="8"/>
      <c r="AO16" s="6"/>
      <c r="AP16" s="6"/>
    </row>
    <row r="17" spans="1:42" ht="22.5" x14ac:dyDescent="0.25">
      <c r="A17" s="9" t="s">
        <v>104</v>
      </c>
      <c r="B17" s="10" t="s">
        <v>26</v>
      </c>
      <c r="C17" s="10" t="s">
        <v>23</v>
      </c>
      <c r="D17" s="10" t="s">
        <v>24</v>
      </c>
      <c r="E17" s="10" t="s">
        <v>25</v>
      </c>
      <c r="M17" s="19"/>
      <c r="N17" s="19"/>
      <c r="O17" s="19"/>
      <c r="P17" s="19"/>
      <c r="Q17" s="19"/>
      <c r="R17" s="19"/>
      <c r="S17" s="19"/>
      <c r="T17" s="19"/>
      <c r="U17" s="19"/>
      <c r="V17" s="19"/>
      <c r="W17" s="19"/>
      <c r="X17" s="19"/>
      <c r="Y17" s="19"/>
      <c r="Z17" s="19"/>
      <c r="AA17" s="19"/>
      <c r="AB17" s="19"/>
      <c r="AC17" s="228" t="s">
        <v>105</v>
      </c>
      <c r="AD17" s="228"/>
      <c r="AE17" s="228" t="s">
        <v>105</v>
      </c>
      <c r="AF17" s="228"/>
      <c r="AG17" s="228" t="s">
        <v>105</v>
      </c>
      <c r="AH17" s="228"/>
      <c r="AI17" s="228" t="s">
        <v>105</v>
      </c>
      <c r="AJ17" s="2"/>
      <c r="AK17" s="6"/>
      <c r="AL17" s="5"/>
      <c r="AM17" s="6"/>
      <c r="AN17" s="8"/>
      <c r="AO17" s="6"/>
      <c r="AP17" s="6"/>
    </row>
    <row r="18" spans="1:42" x14ac:dyDescent="0.25">
      <c r="C18"/>
      <c r="F18" s="18"/>
      <c r="G18" s="18"/>
      <c r="H18" s="18"/>
      <c r="I18" s="18"/>
      <c r="M18" s="19"/>
      <c r="N18" s="19"/>
      <c r="O18" s="19"/>
      <c r="P18" s="19"/>
      <c r="Q18" s="19"/>
      <c r="R18" s="19"/>
      <c r="S18" s="19"/>
      <c r="T18" s="19"/>
      <c r="U18" s="19"/>
      <c r="V18" s="19"/>
      <c r="W18" s="19"/>
      <c r="X18" s="19"/>
      <c r="Y18" s="19"/>
      <c r="Z18" s="19"/>
      <c r="AA18" s="19"/>
      <c r="AB18" s="19"/>
      <c r="AC18" s="19"/>
      <c r="AD18" s="19"/>
      <c r="AE18" s="19"/>
      <c r="AF18" s="19"/>
      <c r="AG18" s="19"/>
      <c r="AH18" s="2"/>
      <c r="AI18" s="1"/>
      <c r="AJ18" s="2"/>
      <c r="AK18" s="6"/>
      <c r="AL18" s="5"/>
      <c r="AM18" s="6"/>
      <c r="AN18" s="8"/>
      <c r="AO18" s="6"/>
      <c r="AP18" s="6"/>
    </row>
    <row r="19" spans="1:42" x14ac:dyDescent="0.25">
      <c r="A19"/>
      <c r="B19"/>
      <c r="C19"/>
      <c r="M19" s="19"/>
      <c r="N19" s="19"/>
      <c r="O19" s="19"/>
      <c r="P19" s="19"/>
      <c r="Q19" s="19"/>
      <c r="R19" s="19"/>
      <c r="S19" s="19"/>
      <c r="T19" s="19"/>
      <c r="U19" s="19"/>
      <c r="V19" s="19"/>
      <c r="W19" s="19"/>
      <c r="X19" s="19"/>
      <c r="Y19" s="19"/>
      <c r="Z19" s="19"/>
      <c r="AA19" s="19"/>
      <c r="AB19" s="19"/>
      <c r="AC19" s="52"/>
      <c r="AD19" s="19"/>
      <c r="AE19" s="19"/>
      <c r="AF19" s="19"/>
      <c r="AG19" s="19"/>
      <c r="AH19" s="2"/>
      <c r="AI19" s="1"/>
      <c r="AJ19" s="2"/>
      <c r="AL19" s="5"/>
      <c r="AM19" s="6"/>
      <c r="AN19" s="7"/>
      <c r="AO19" s="6"/>
      <c r="AP19" s="20"/>
    </row>
    <row r="20" spans="1:42" ht="16.5" thickBot="1" x14ac:dyDescent="0.3">
      <c r="A20" s="5" t="s">
        <v>109</v>
      </c>
      <c r="C20" s="68">
        <v>45555</v>
      </c>
      <c r="M20" s="19"/>
      <c r="N20" s="19"/>
      <c r="O20" s="19"/>
      <c r="P20" s="19"/>
      <c r="Q20" s="19"/>
      <c r="R20" s="19"/>
      <c r="S20" s="19"/>
      <c r="T20" s="19"/>
      <c r="U20" s="19"/>
      <c r="V20" s="19"/>
      <c r="W20" s="19"/>
      <c r="X20" s="19"/>
      <c r="Y20" s="19"/>
      <c r="Z20" s="19"/>
      <c r="AA20" s="19"/>
      <c r="AB20" s="19"/>
      <c r="AC20" s="19"/>
      <c r="AD20" s="19"/>
      <c r="AE20" s="19"/>
      <c r="AF20" s="19"/>
      <c r="AG20" s="19"/>
      <c r="AH20" s="2"/>
      <c r="AI20" s="1"/>
      <c r="AJ20" s="2"/>
    </row>
    <row r="21" spans="1:42" x14ac:dyDescent="0.25">
      <c r="A21" s="5" t="s">
        <v>111</v>
      </c>
      <c r="B21"/>
      <c r="C21" s="68">
        <v>45555</v>
      </c>
      <c r="J21" s="51" t="s">
        <v>106</v>
      </c>
      <c r="K21" s="1">
        <v>1</v>
      </c>
      <c r="L21" s="170" t="s">
        <v>74</v>
      </c>
      <c r="M21" s="171" t="s">
        <v>84</v>
      </c>
      <c r="N21" s="172" t="s">
        <v>86</v>
      </c>
      <c r="P21" s="19"/>
      <c r="Q21" s="19"/>
      <c r="R21" s="19"/>
      <c r="S21" s="19"/>
      <c r="T21" s="19"/>
      <c r="U21" s="19"/>
      <c r="V21" s="19"/>
      <c r="W21" s="19"/>
      <c r="X21" s="19"/>
      <c r="Y21" s="19"/>
      <c r="Z21" s="19"/>
      <c r="AA21" s="19"/>
      <c r="AB21" s="19"/>
      <c r="AC21" s="19"/>
      <c r="AD21" s="19"/>
      <c r="AE21" s="19"/>
      <c r="AF21" s="19"/>
      <c r="AG21" s="19"/>
      <c r="AH21" s="19"/>
      <c r="AI21" s="2"/>
      <c r="AJ21" s="2"/>
    </row>
    <row r="22" spans="1:42" x14ac:dyDescent="0.25">
      <c r="A22" s="5" t="s">
        <v>113</v>
      </c>
      <c r="B22"/>
      <c r="C22" s="68">
        <v>45555</v>
      </c>
      <c r="K22" s="1">
        <v>2</v>
      </c>
      <c r="L22" s="173" t="s">
        <v>107</v>
      </c>
      <c r="M22" s="174" t="s">
        <v>107</v>
      </c>
      <c r="N22" s="229" t="s">
        <v>235</v>
      </c>
      <c r="O22" t="s">
        <v>244</v>
      </c>
      <c r="P22" s="19"/>
      <c r="Q22" s="19"/>
      <c r="R22" s="19"/>
      <c r="S22" s="19"/>
      <c r="T22" s="19"/>
      <c r="U22" s="19"/>
      <c r="V22" s="19"/>
      <c r="W22" s="19"/>
      <c r="X22" s="19"/>
      <c r="Y22" s="19"/>
      <c r="Z22" s="19"/>
      <c r="AA22" s="19"/>
      <c r="AB22" s="19"/>
      <c r="AC22" s="19"/>
      <c r="AD22" s="19"/>
      <c r="AE22" s="19"/>
      <c r="AF22" s="19"/>
      <c r="AG22" s="19"/>
      <c r="AH22" s="19"/>
      <c r="AI22" s="2"/>
      <c r="AJ22" s="2"/>
    </row>
    <row r="23" spans="1:42" x14ac:dyDescent="0.25">
      <c r="A23" s="5" t="s">
        <v>115</v>
      </c>
      <c r="B23"/>
      <c r="C23" s="68">
        <v>45555</v>
      </c>
      <c r="K23" s="1">
        <v>3</v>
      </c>
      <c r="L23" s="176"/>
      <c r="M23" s="10"/>
      <c r="N23" s="229" t="s">
        <v>237</v>
      </c>
      <c r="O23" t="s">
        <v>244</v>
      </c>
      <c r="AJ23" s="2"/>
    </row>
    <row r="24" spans="1:42" x14ac:dyDescent="0.25">
      <c r="A24" s="5" t="s">
        <v>117</v>
      </c>
      <c r="B24" s="5"/>
      <c r="C24" s="68">
        <v>45575</v>
      </c>
      <c r="K24" s="1">
        <v>4</v>
      </c>
      <c r="L24" s="176"/>
      <c r="M24" s="10"/>
      <c r="N24" s="229" t="s">
        <v>238</v>
      </c>
      <c r="O24" t="s">
        <v>244</v>
      </c>
      <c r="AJ24" s="2"/>
    </row>
    <row r="25" spans="1:42" x14ac:dyDescent="0.25">
      <c r="A25" s="5" t="s">
        <v>119</v>
      </c>
      <c r="B25" s="5"/>
      <c r="C25" s="68">
        <v>45575</v>
      </c>
      <c r="K25" s="1">
        <v>5</v>
      </c>
      <c r="L25" s="176"/>
      <c r="M25" s="10"/>
      <c r="N25" s="229" t="s">
        <v>236</v>
      </c>
      <c r="O25" t="s">
        <v>244</v>
      </c>
      <c r="AJ25" s="1"/>
      <c r="AK25" s="2"/>
    </row>
    <row r="26" spans="1:42" x14ac:dyDescent="0.25">
      <c r="A26" s="5" t="s">
        <v>121</v>
      </c>
      <c r="C26" s="68">
        <v>45575</v>
      </c>
      <c r="K26" s="1">
        <v>6</v>
      </c>
      <c r="L26" s="176"/>
      <c r="M26" s="10"/>
      <c r="N26" s="175" t="s">
        <v>116</v>
      </c>
      <c r="AJ26" s="1"/>
      <c r="AK26" s="2"/>
    </row>
    <row r="27" spans="1:42" x14ac:dyDescent="0.25">
      <c r="A27" s="5" t="s">
        <v>123</v>
      </c>
      <c r="C27" s="68">
        <v>45601</v>
      </c>
      <c r="K27" s="1">
        <v>7</v>
      </c>
      <c r="L27" s="176"/>
      <c r="M27" s="10"/>
      <c r="N27" s="175" t="s">
        <v>118</v>
      </c>
      <c r="AK27" s="9"/>
    </row>
    <row r="28" spans="1:42" x14ac:dyDescent="0.25">
      <c r="A28" s="5" t="s">
        <v>125</v>
      </c>
      <c r="C28" s="68">
        <v>45601</v>
      </c>
      <c r="K28" s="1">
        <v>8</v>
      </c>
      <c r="L28" s="176"/>
      <c r="M28" s="10"/>
      <c r="N28" s="175" t="s">
        <v>120</v>
      </c>
      <c r="AK28" s="9"/>
    </row>
    <row r="29" spans="1:42" x14ac:dyDescent="0.25">
      <c r="C29"/>
      <c r="K29" s="1">
        <v>9</v>
      </c>
      <c r="L29" s="176"/>
      <c r="M29" s="10"/>
      <c r="N29" s="175" t="s">
        <v>122</v>
      </c>
      <c r="AK29" s="9"/>
    </row>
    <row r="30" spans="1:42" x14ac:dyDescent="0.25">
      <c r="A30" s="231" t="s">
        <v>245</v>
      </c>
      <c r="K30" s="1">
        <v>10</v>
      </c>
      <c r="L30" s="176"/>
      <c r="M30" s="10"/>
      <c r="N30" s="175" t="s">
        <v>124</v>
      </c>
    </row>
    <row r="31" spans="1:42" ht="16.5" thickBot="1" x14ac:dyDescent="0.3">
      <c r="K31" s="1">
        <v>11</v>
      </c>
      <c r="L31" s="177"/>
      <c r="M31" s="178"/>
      <c r="N31" s="179"/>
    </row>
    <row r="32" spans="1:42" x14ac:dyDescent="0.25">
      <c r="L32" s="9"/>
      <c r="M32" s="9"/>
      <c r="N32" s="20"/>
      <c r="AK32" s="9"/>
    </row>
    <row r="34" ht="15.75" customHeight="1" x14ac:dyDescent="0.25"/>
    <row r="36" ht="15.75" customHeight="1" x14ac:dyDescent="0.25"/>
    <row r="37" ht="15.75" customHeight="1" x14ac:dyDescent="0.25"/>
  </sheetData>
  <pageMargins left="0.7" right="0.7" top="0.75" bottom="0.75" header="0.3" footer="0.3"/>
  <pageSetup paperSize="9" orientation="portrait" r:id="rId1"/>
  <tableParts count="2">
    <tablePart r:id="rId2"/>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O77"/>
  <sheetViews>
    <sheetView zoomScale="85" zoomScaleNormal="85" workbookViewId="0">
      <selection activeCell="D5" sqref="D5"/>
    </sheetView>
  </sheetViews>
  <sheetFormatPr defaultRowHeight="15.75" x14ac:dyDescent="0.25"/>
  <cols>
    <col min="1" max="1" width="11.75" bestFit="1" customWidth="1"/>
    <col min="2" max="2" width="6.25" style="3" bestFit="1" customWidth="1"/>
    <col min="3" max="3" width="9.375" bestFit="1" customWidth="1"/>
    <col min="4" max="4" width="41.625" bestFit="1" customWidth="1"/>
    <col min="5" max="5" width="9.375" style="3" bestFit="1" customWidth="1"/>
    <col min="6" max="6" width="27.75" bestFit="1" customWidth="1"/>
    <col min="7" max="8" width="5.75" bestFit="1" customWidth="1"/>
    <col min="9" max="10" width="5.75" style="3" bestFit="1" customWidth="1"/>
    <col min="11" max="11" width="41.125" style="3" bestFit="1" customWidth="1"/>
    <col min="12" max="13" width="5.75" style="3" bestFit="1" customWidth="1"/>
    <col min="14" max="14" width="5.75" bestFit="1" customWidth="1"/>
    <col min="15" max="15" width="10.125" customWidth="1"/>
    <col min="16" max="16" width="13.75" bestFit="1" customWidth="1"/>
  </cols>
  <sheetData>
    <row r="1" spans="1:15" x14ac:dyDescent="0.25">
      <c r="A1" s="22">
        <f>COLUMN()</f>
        <v>1</v>
      </c>
      <c r="B1" s="22">
        <f>COLUMN()</f>
        <v>2</v>
      </c>
      <c r="C1" s="22">
        <f>COLUMN()</f>
        <v>3</v>
      </c>
      <c r="D1" s="22">
        <f>COLUMN()</f>
        <v>4</v>
      </c>
      <c r="E1" s="22">
        <f>COLUMN()</f>
        <v>5</v>
      </c>
      <c r="F1" s="22">
        <f>COLUMN()</f>
        <v>6</v>
      </c>
      <c r="G1" s="22">
        <f>COLUMN()</f>
        <v>7</v>
      </c>
      <c r="H1" s="22">
        <f>COLUMN()</f>
        <v>8</v>
      </c>
      <c r="I1" s="22">
        <f>COLUMN()</f>
        <v>9</v>
      </c>
      <c r="J1" s="22">
        <f>COLUMN()</f>
        <v>10</v>
      </c>
      <c r="K1" s="22">
        <f>COLUMN()</f>
        <v>11</v>
      </c>
      <c r="L1" s="22">
        <f>COLUMN()</f>
        <v>12</v>
      </c>
      <c r="M1" s="22">
        <f>COLUMN()</f>
        <v>13</v>
      </c>
      <c r="N1" s="22">
        <f>COLUMN()</f>
        <v>14</v>
      </c>
    </row>
    <row r="2" spans="1:15" ht="69" x14ac:dyDescent="0.25">
      <c r="A2" s="13" t="s">
        <v>0</v>
      </c>
      <c r="B2" s="13" t="s">
        <v>1</v>
      </c>
      <c r="C2" s="13" t="s">
        <v>2</v>
      </c>
      <c r="D2" s="13" t="s">
        <v>126</v>
      </c>
      <c r="E2" s="13" t="s">
        <v>5</v>
      </c>
      <c r="F2" s="225" t="s">
        <v>240</v>
      </c>
      <c r="G2" s="180" t="s">
        <v>23</v>
      </c>
      <c r="H2" s="180" t="s">
        <v>24</v>
      </c>
      <c r="I2" s="180" t="s">
        <v>25</v>
      </c>
      <c r="J2" s="180" t="s">
        <v>26</v>
      </c>
      <c r="K2" s="13" t="s">
        <v>127</v>
      </c>
      <c r="L2" s="180" t="s">
        <v>74</v>
      </c>
      <c r="M2" s="180" t="s">
        <v>84</v>
      </c>
      <c r="N2" s="180" t="s">
        <v>86</v>
      </c>
      <c r="O2" s="4"/>
    </row>
    <row r="3" spans="1:15" x14ac:dyDescent="0.25">
      <c r="A3" s="9" t="s">
        <v>97</v>
      </c>
      <c r="B3" s="10"/>
      <c r="C3" s="10"/>
      <c r="D3" s="9" t="s">
        <v>128</v>
      </c>
      <c r="E3" s="10"/>
      <c r="F3" s="49"/>
      <c r="G3" s="50" t="str">
        <f>IFERROR(IF(VLOOKUP(TableHandbook[[#This Row],[UDC]],TableAvailabilities[],2,FALSE)&gt;0,"Y",""),"")</f>
        <v/>
      </c>
      <c r="H3" s="50" t="str">
        <f>IFERROR(IF(VLOOKUP(TableHandbook[[#This Row],[UDC]],TableAvailabilities[],3,FALSE)&gt;0,"Y",""),"")</f>
        <v/>
      </c>
      <c r="I3" s="50" t="str">
        <f>IFERROR(IF(VLOOKUP(TableHandbook[[#This Row],[UDC]],TableAvailabilities[],4,FALSE)&gt;0,"Y",""),"")</f>
        <v/>
      </c>
      <c r="J3" s="50" t="str">
        <f>IFERROR(IF(VLOOKUP(TableHandbook[[#This Row],[UDC]],TableAvailabilities[],5,FALSE)&gt;0,"Y",""),"")</f>
        <v/>
      </c>
      <c r="K3" s="181"/>
      <c r="L3" s="182" t="str">
        <f>IFERROR(VLOOKUP(TableHandbook[[#This Row],[UDC]],TableOCDEVPLN[],7,FALSE),"")</f>
        <v/>
      </c>
      <c r="M3" s="182" t="str">
        <f>IFERROR(VLOOKUP(TableHandbook[[#This Row],[UDC]],TableOCGEOG1[],7,FALSE),"")</f>
        <v/>
      </c>
      <c r="N3" s="182" t="str">
        <f>IFERROR(VLOOKUP(TableHandbook[[#This Row],[UDC]],TableOMURPLAN2[],7,FALSE),"")</f>
        <v/>
      </c>
      <c r="O3" s="4"/>
    </row>
    <row r="4" spans="1:15" x14ac:dyDescent="0.25">
      <c r="A4" s="9" t="s">
        <v>107</v>
      </c>
      <c r="B4" s="10"/>
      <c r="C4" s="10"/>
      <c r="D4" s="9" t="s">
        <v>129</v>
      </c>
      <c r="E4" s="10"/>
      <c r="F4" s="49"/>
      <c r="G4" s="50" t="str">
        <f>IFERROR(IF(VLOOKUP(TableHandbook[[#This Row],[UDC]],TableAvailabilities[],2,FALSE)&gt;0,"Y",""),"")</f>
        <v/>
      </c>
      <c r="H4" s="50" t="str">
        <f>IFERROR(IF(VLOOKUP(TableHandbook[[#This Row],[UDC]],TableAvailabilities[],3,FALSE)&gt;0,"Y",""),"")</f>
        <v/>
      </c>
      <c r="I4" s="50" t="str">
        <f>IFERROR(IF(VLOOKUP(TableHandbook[[#This Row],[UDC]],TableAvailabilities[],4,FALSE)&gt;0,"Y",""),"")</f>
        <v/>
      </c>
      <c r="J4" s="50" t="str">
        <f>IFERROR(IF(VLOOKUP(TableHandbook[[#This Row],[UDC]],TableAvailabilities[],5,FALSE)&gt;0,"Y",""),"")</f>
        <v/>
      </c>
      <c r="K4" s="181"/>
      <c r="L4" s="182" t="str">
        <f>IFERROR(VLOOKUP(TableHandbook[[#This Row],[UDC]],TableOCDEVPLN[],7,FALSE),"")</f>
        <v/>
      </c>
      <c r="M4" s="182" t="str">
        <f>IFERROR(VLOOKUP(TableHandbook[[#This Row],[UDC]],TableOCGEOG1[],7,FALSE),"")</f>
        <v/>
      </c>
      <c r="N4" s="182" t="str">
        <f>IFERROR(VLOOKUP(TableHandbook[[#This Row],[UDC]],TableOMURPLAN2[],7,FALSE),"")</f>
        <v/>
      </c>
    </row>
    <row r="5" spans="1:15" x14ac:dyDescent="0.25">
      <c r="A5" s="9" t="s">
        <v>57</v>
      </c>
      <c r="B5" s="10">
        <v>1</v>
      </c>
      <c r="C5" s="10" t="s">
        <v>130</v>
      </c>
      <c r="D5" s="9" t="s">
        <v>131</v>
      </c>
      <c r="E5" s="10">
        <v>25</v>
      </c>
      <c r="F5" s="49" t="s">
        <v>132</v>
      </c>
      <c r="G5" s="50" t="str">
        <f>IFERROR(IF(VLOOKUP(TableHandbook[[#This Row],[UDC]],TableAvailabilities[],2,FALSE)&gt;0,"Y",""),"")</f>
        <v>Y</v>
      </c>
      <c r="H5" s="50" t="str">
        <f>IFERROR(IF(VLOOKUP(TableHandbook[[#This Row],[UDC]],TableAvailabilities[],3,FALSE)&gt;0,"Y",""),"")</f>
        <v/>
      </c>
      <c r="I5" s="50" t="str">
        <f>IFERROR(IF(VLOOKUP(TableHandbook[[#This Row],[UDC]],TableAvailabilities[],4,FALSE)&gt;0,"Y",""),"")</f>
        <v>Y</v>
      </c>
      <c r="J5" s="50" t="str">
        <f>IFERROR(IF(VLOOKUP(TableHandbook[[#This Row],[UDC]],TableAvailabilities[],5,FALSE)&gt;0,"Y",""),"")</f>
        <v/>
      </c>
      <c r="K5" s="181"/>
      <c r="L5" s="182" t="str">
        <f>IFERROR(VLOOKUP(TableHandbook[[#This Row],[UDC]],TableOCDEVPLN[],7,FALSE),"")</f>
        <v>Core</v>
      </c>
      <c r="M5" s="182" t="str">
        <f>IFERROR(VLOOKUP(TableHandbook[[#This Row],[UDC]],TableOCGEOG1[],7,FALSE),"")</f>
        <v>Core</v>
      </c>
      <c r="N5" s="182" t="str">
        <f>IFERROR(VLOOKUP(TableHandbook[[#This Row],[UDC]],TableOMURPLAN2[],7,FALSE),"")</f>
        <v/>
      </c>
    </row>
    <row r="6" spans="1:15" x14ac:dyDescent="0.25">
      <c r="A6" s="9" t="s">
        <v>58</v>
      </c>
      <c r="B6" s="10">
        <v>1</v>
      </c>
      <c r="C6" s="10" t="s">
        <v>133</v>
      </c>
      <c r="D6" s="9" t="s">
        <v>134</v>
      </c>
      <c r="E6" s="10">
        <v>25</v>
      </c>
      <c r="F6" s="49" t="s">
        <v>132</v>
      </c>
      <c r="G6" s="50" t="str">
        <f>IFERROR(IF(VLOOKUP(TableHandbook[[#This Row],[UDC]],TableAvailabilities[],2,FALSE)&gt;0,"Y",""),"")</f>
        <v/>
      </c>
      <c r="H6" s="50" t="str">
        <f>IFERROR(IF(VLOOKUP(TableHandbook[[#This Row],[UDC]],TableAvailabilities[],3,FALSE)&gt;0,"Y",""),"")</f>
        <v>Y</v>
      </c>
      <c r="I6" s="50" t="str">
        <f>IFERROR(IF(VLOOKUP(TableHandbook[[#This Row],[UDC]],TableAvailabilities[],4,FALSE)&gt;0,"Y",""),"")</f>
        <v/>
      </c>
      <c r="J6" s="50" t="str">
        <f>IFERROR(IF(VLOOKUP(TableHandbook[[#This Row],[UDC]],TableAvailabilities[],5,FALSE)&gt;0,"Y",""),"")</f>
        <v>Y</v>
      </c>
      <c r="K6" s="181"/>
      <c r="L6" s="182" t="str">
        <f>IFERROR(VLOOKUP(TableHandbook[[#This Row],[UDC]],TableOCDEVPLN[],7,FALSE),"")</f>
        <v/>
      </c>
      <c r="M6" s="182" t="str">
        <f>IFERROR(VLOOKUP(TableHandbook[[#This Row],[UDC]],TableOCGEOG1[],7,FALSE),"")</f>
        <v>Core</v>
      </c>
      <c r="N6" s="182" t="str">
        <f>IFERROR(VLOOKUP(TableHandbook[[#This Row],[UDC]],TableOMURPLAN2[],7,FALSE),"")</f>
        <v/>
      </c>
    </row>
    <row r="7" spans="1:15" x14ac:dyDescent="0.25">
      <c r="A7" s="9" t="s">
        <v>64</v>
      </c>
      <c r="B7" s="10">
        <v>1</v>
      </c>
      <c r="C7" s="10" t="s">
        <v>135</v>
      </c>
      <c r="D7" s="9" t="s">
        <v>136</v>
      </c>
      <c r="E7" s="10">
        <v>25</v>
      </c>
      <c r="F7" s="49" t="s">
        <v>132</v>
      </c>
      <c r="G7" s="50" t="str">
        <f>IFERROR(IF(VLOOKUP(TableHandbook[[#This Row],[UDC]],TableAvailabilities[],2,FALSE)&gt;0,"Y",""),"")</f>
        <v/>
      </c>
      <c r="H7" s="50" t="str">
        <f>IFERROR(IF(VLOOKUP(TableHandbook[[#This Row],[UDC]],TableAvailabilities[],3,FALSE)&gt;0,"Y",""),"")</f>
        <v>Y</v>
      </c>
      <c r="I7" s="50" t="str">
        <f>IFERROR(IF(VLOOKUP(TableHandbook[[#This Row],[UDC]],TableAvailabilities[],4,FALSE)&gt;0,"Y",""),"")</f>
        <v/>
      </c>
      <c r="J7" s="50" t="str">
        <f>IFERROR(IF(VLOOKUP(TableHandbook[[#This Row],[UDC]],TableAvailabilities[],5,FALSE)&gt;0,"Y",""),"")</f>
        <v/>
      </c>
      <c r="K7" s="181"/>
      <c r="L7" s="182" t="str">
        <f>IFERROR(VLOOKUP(TableHandbook[[#This Row],[UDC]],TableOCDEVPLN[],7,FALSE),"")</f>
        <v/>
      </c>
      <c r="M7" s="182" t="str">
        <f>IFERROR(VLOOKUP(TableHandbook[[#This Row],[UDC]],TableOCGEOG1[],7,FALSE),"")</f>
        <v>Core</v>
      </c>
      <c r="N7" s="182" t="str">
        <f>IFERROR(VLOOKUP(TableHandbook[[#This Row],[UDC]],TableOMURPLAN2[],7,FALSE),"")</f>
        <v/>
      </c>
    </row>
    <row r="8" spans="1:15" x14ac:dyDescent="0.25">
      <c r="A8" s="9" t="s">
        <v>63</v>
      </c>
      <c r="B8" s="10">
        <v>2</v>
      </c>
      <c r="C8" s="10" t="s">
        <v>137</v>
      </c>
      <c r="D8" s="9" t="s">
        <v>138</v>
      </c>
      <c r="E8" s="10">
        <v>25</v>
      </c>
      <c r="F8" s="49" t="s">
        <v>132</v>
      </c>
      <c r="G8" s="50" t="str">
        <f>IFERROR(IF(VLOOKUP(TableHandbook[[#This Row],[UDC]],TableAvailabilities[],2,FALSE)&gt;0,"Y",""),"")</f>
        <v>Y</v>
      </c>
      <c r="H8" s="50" t="str">
        <f>IFERROR(IF(VLOOKUP(TableHandbook[[#This Row],[UDC]],TableAvailabilities[],3,FALSE)&gt;0,"Y",""),"")</f>
        <v/>
      </c>
      <c r="I8" s="50" t="str">
        <f>IFERROR(IF(VLOOKUP(TableHandbook[[#This Row],[UDC]],TableAvailabilities[],4,FALSE)&gt;0,"Y",""),"")</f>
        <v/>
      </c>
      <c r="J8" s="50" t="str">
        <f>IFERROR(IF(VLOOKUP(TableHandbook[[#This Row],[UDC]],TableAvailabilities[],5,FALSE)&gt;0,"Y",""),"")</f>
        <v/>
      </c>
      <c r="K8" s="181"/>
      <c r="L8" s="182" t="str">
        <f>IFERROR(VLOOKUP(TableHandbook[[#This Row],[UDC]],TableOCDEVPLN[],7,FALSE),"")</f>
        <v/>
      </c>
      <c r="M8" s="182" t="str">
        <f>IFERROR(VLOOKUP(TableHandbook[[#This Row],[UDC]],TableOCGEOG1[],7,FALSE),"")</f>
        <v>Core</v>
      </c>
      <c r="N8" s="182" t="str">
        <f>IFERROR(VLOOKUP(TableHandbook[[#This Row],[UDC]],TableOMURPLAN2[],7,FALSE),"")</f>
        <v/>
      </c>
    </row>
    <row r="9" spans="1:15" x14ac:dyDescent="0.25">
      <c r="A9" s="9" t="s">
        <v>98</v>
      </c>
      <c r="B9" s="10">
        <v>0</v>
      </c>
      <c r="C9" s="10"/>
      <c r="D9" s="9" t="s">
        <v>139</v>
      </c>
      <c r="E9" s="10">
        <v>25</v>
      </c>
      <c r="F9" s="49" t="s">
        <v>140</v>
      </c>
      <c r="G9" s="50" t="str">
        <f>IFERROR(IF(VLOOKUP(TableHandbook[[#This Row],[UDC]],TableAvailabilities[],2,FALSE)&gt;0,"Y",""),"")</f>
        <v/>
      </c>
      <c r="H9" s="50" t="str">
        <f>IFERROR(IF(VLOOKUP(TableHandbook[[#This Row],[UDC]],TableAvailabilities[],3,FALSE)&gt;0,"Y",""),"")</f>
        <v/>
      </c>
      <c r="I9" s="50" t="str">
        <f>IFERROR(IF(VLOOKUP(TableHandbook[[#This Row],[UDC]],TableAvailabilities[],4,FALSE)&gt;0,"Y",""),"")</f>
        <v/>
      </c>
      <c r="J9" s="50" t="str">
        <f>IFERROR(IF(VLOOKUP(TableHandbook[[#This Row],[UDC]],TableAvailabilities[],5,FALSE)&gt;0,"Y",""),"")</f>
        <v/>
      </c>
      <c r="K9" s="181"/>
      <c r="L9" s="182" t="str">
        <f>IFERROR(VLOOKUP(TableHandbook[[#This Row],[UDC]],TableOCDEVPLN[],7,FALSE),"")</f>
        <v/>
      </c>
      <c r="M9" s="182" t="str">
        <f>IFERROR(VLOOKUP(TableHandbook[[#This Row],[UDC]],TableOCGEOG1[],7,FALSE),"")</f>
        <v/>
      </c>
      <c r="N9" s="182" t="str">
        <f>IFERROR(VLOOKUP(TableHandbook[[#This Row],[UDC]],TableOMURPLAN2[],7,FALSE),"")</f>
        <v>Option</v>
      </c>
    </row>
    <row r="10" spans="1:15" x14ac:dyDescent="0.25">
      <c r="A10" s="9" t="s">
        <v>235</v>
      </c>
      <c r="B10" s="10">
        <v>1</v>
      </c>
      <c r="C10" s="10" t="s">
        <v>235</v>
      </c>
      <c r="D10" s="9" t="s">
        <v>142</v>
      </c>
      <c r="E10" s="10">
        <v>25</v>
      </c>
      <c r="F10" s="49" t="s">
        <v>132</v>
      </c>
      <c r="G10" s="50" t="str">
        <f>IFERROR(IF(VLOOKUP(TableHandbook[[#This Row],[UDC]],TableAvailabilities[],2,FALSE)&gt;0,"Y",""),"")</f>
        <v>Y</v>
      </c>
      <c r="H10" s="50" t="str">
        <f>IFERROR(IF(VLOOKUP(TableHandbook[[#This Row],[UDC]],TableAvailabilities[],3,FALSE)&gt;0,"Y",""),"")</f>
        <v/>
      </c>
      <c r="I10" s="50" t="str">
        <f>IFERROR(IF(VLOOKUP(TableHandbook[[#This Row],[UDC]],TableAvailabilities[],4,FALSE)&gt;0,"Y",""),"")</f>
        <v>Y</v>
      </c>
      <c r="J10" s="50" t="str">
        <f>IFERROR(IF(VLOOKUP(TableHandbook[[#This Row],[UDC]],TableAvailabilities[],5,FALSE)&gt;0,"Y",""),"")</f>
        <v/>
      </c>
      <c r="K10" s="181" t="s">
        <v>242</v>
      </c>
      <c r="L10" s="182" t="str">
        <f>IFERROR(VLOOKUP(TableHandbook[[#This Row],[UDC]],TableOCDEVPLN[],7,FALSE),"")</f>
        <v/>
      </c>
      <c r="M10" s="182" t="str">
        <f>IFERROR(VLOOKUP(TableHandbook[[#This Row],[UDC]],TableOCGEOG1[],7,FALSE),"")</f>
        <v/>
      </c>
      <c r="N10" s="182" t="str">
        <f>IFERROR(VLOOKUP(TableHandbook[[#This Row],[UDC]],TableOMURPLAN2[],7,FALSE),"")</f>
        <v/>
      </c>
    </row>
    <row r="11" spans="1:15" x14ac:dyDescent="0.25">
      <c r="A11" s="9" t="s">
        <v>237</v>
      </c>
      <c r="B11" s="10">
        <v>2</v>
      </c>
      <c r="C11" s="10" t="s">
        <v>237</v>
      </c>
      <c r="D11" s="9" t="s">
        <v>150</v>
      </c>
      <c r="E11" s="10">
        <v>25</v>
      </c>
      <c r="F11" s="49" t="s">
        <v>132</v>
      </c>
      <c r="G11" s="50" t="str">
        <f>IFERROR(IF(VLOOKUP(TableHandbook[[#This Row],[UDC]],TableAvailabilities[],2,FALSE)&gt;0,"Y",""),"")</f>
        <v/>
      </c>
      <c r="H11" s="50" t="str">
        <f>IFERROR(IF(VLOOKUP(TableHandbook[[#This Row],[UDC]],TableAvailabilities[],3,FALSE)&gt;0,"Y",""),"")</f>
        <v>Y</v>
      </c>
      <c r="I11" s="50" t="str">
        <f>IFERROR(IF(VLOOKUP(TableHandbook[[#This Row],[UDC]],TableAvailabilities[],4,FALSE)&gt;0,"Y",""),"")</f>
        <v/>
      </c>
      <c r="J11" s="50" t="str">
        <f>IFERROR(IF(VLOOKUP(TableHandbook[[#This Row],[UDC]],TableAvailabilities[],5,FALSE)&gt;0,"Y",""),"")</f>
        <v>Y</v>
      </c>
      <c r="K11" s="181" t="s">
        <v>242</v>
      </c>
      <c r="L11" s="182" t="str">
        <f>IFERROR(VLOOKUP(TableHandbook[[#This Row],[UDC]],TableOCDEVPLN[],7,FALSE),"")</f>
        <v/>
      </c>
      <c r="M11" s="182" t="str">
        <f>IFERROR(VLOOKUP(TableHandbook[[#This Row],[UDC]],TableOCGEOG1[],7,FALSE),"")</f>
        <v/>
      </c>
      <c r="N11" s="182" t="str">
        <f>IFERROR(VLOOKUP(TableHandbook[[#This Row],[UDC]],TableOMURPLAN2[],7,FALSE),"")</f>
        <v/>
      </c>
    </row>
    <row r="12" spans="1:15" x14ac:dyDescent="0.25">
      <c r="A12" s="9" t="s">
        <v>238</v>
      </c>
      <c r="B12" s="10">
        <v>1</v>
      </c>
      <c r="C12" s="10" t="s">
        <v>238</v>
      </c>
      <c r="D12" s="9" t="s">
        <v>146</v>
      </c>
      <c r="E12" s="10">
        <v>25</v>
      </c>
      <c r="F12" s="220" t="s">
        <v>147</v>
      </c>
      <c r="G12" s="50" t="str">
        <f>IFERROR(IF(VLOOKUP(TableHandbook[[#This Row],[UDC]],TableAvailabilities[],2,FALSE)&gt;0,"Y",""),"")</f>
        <v/>
      </c>
      <c r="H12" s="50" t="str">
        <f>IFERROR(IF(VLOOKUP(TableHandbook[[#This Row],[UDC]],TableAvailabilities[],3,FALSE)&gt;0,"Y",""),"")</f>
        <v>Y</v>
      </c>
      <c r="I12" s="50" t="str">
        <f>IFERROR(IF(VLOOKUP(TableHandbook[[#This Row],[UDC]],TableAvailabilities[],4,FALSE)&gt;0,"Y",""),"")</f>
        <v/>
      </c>
      <c r="J12" s="50" t="str">
        <f>IFERROR(IF(VLOOKUP(TableHandbook[[#This Row],[UDC]],TableAvailabilities[],5,FALSE)&gt;0,"Y",""),"")</f>
        <v>Y</v>
      </c>
      <c r="K12" s="181" t="s">
        <v>243</v>
      </c>
      <c r="L12" s="182" t="str">
        <f>IFERROR(VLOOKUP(TableHandbook[[#This Row],[UDC]],TableOCDEVPLN[],7,FALSE),"")</f>
        <v/>
      </c>
      <c r="M12" s="182" t="str">
        <f>IFERROR(VLOOKUP(TableHandbook[[#This Row],[UDC]],TableOCGEOG1[],7,FALSE),"")</f>
        <v/>
      </c>
      <c r="N12" s="182" t="str">
        <f>IFERROR(VLOOKUP(TableHandbook[[#This Row],[UDC]],TableOMURPLAN2[],7,FALSE),"")</f>
        <v/>
      </c>
    </row>
    <row r="13" spans="1:15" x14ac:dyDescent="0.25">
      <c r="A13" s="9" t="s">
        <v>236</v>
      </c>
      <c r="B13" s="10">
        <v>1</v>
      </c>
      <c r="C13" s="10" t="s">
        <v>236</v>
      </c>
      <c r="D13" s="9" t="s">
        <v>144</v>
      </c>
      <c r="E13" s="10">
        <v>25</v>
      </c>
      <c r="F13" s="49" t="s">
        <v>132</v>
      </c>
      <c r="G13" s="50" t="str">
        <f>IFERROR(IF(VLOOKUP(TableHandbook[[#This Row],[UDC]],TableAvailabilities[],2,FALSE)&gt;0,"Y",""),"")</f>
        <v>Y</v>
      </c>
      <c r="H13" s="50" t="str">
        <f>IFERROR(IF(VLOOKUP(TableHandbook[[#This Row],[UDC]],TableAvailabilities[],3,FALSE)&gt;0,"Y",""),"")</f>
        <v/>
      </c>
      <c r="I13" s="50" t="str">
        <f>IFERROR(IF(VLOOKUP(TableHandbook[[#This Row],[UDC]],TableAvailabilities[],4,FALSE)&gt;0,"Y",""),"")</f>
        <v>Y</v>
      </c>
      <c r="J13" s="50" t="str">
        <f>IFERROR(IF(VLOOKUP(TableHandbook[[#This Row],[UDC]],TableAvailabilities[],5,FALSE)&gt;0,"Y",""),"")</f>
        <v/>
      </c>
      <c r="K13" s="181" t="s">
        <v>242</v>
      </c>
      <c r="L13" s="182" t="str">
        <f>IFERROR(VLOOKUP(TableHandbook[[#This Row],[UDC]],TableOCDEVPLN[],7,FALSE),"")</f>
        <v/>
      </c>
      <c r="M13" s="182" t="str">
        <f>IFERROR(VLOOKUP(TableHandbook[[#This Row],[UDC]],TableOCGEOG1[],7,FALSE),"")</f>
        <v/>
      </c>
      <c r="N13" s="182" t="str">
        <f>IFERROR(VLOOKUP(TableHandbook[[#This Row],[UDC]],TableOMURPLAN2[],7,FALSE),"")</f>
        <v/>
      </c>
    </row>
    <row r="14" spans="1:15" x14ac:dyDescent="0.25">
      <c r="A14" s="9" t="s">
        <v>108</v>
      </c>
      <c r="B14" s="10">
        <v>2</v>
      </c>
      <c r="C14" s="10" t="s">
        <v>141</v>
      </c>
      <c r="D14" s="9" t="s">
        <v>142</v>
      </c>
      <c r="E14" s="10">
        <v>25</v>
      </c>
      <c r="F14" s="49" t="s">
        <v>132</v>
      </c>
      <c r="G14" s="50" t="str">
        <f>IFERROR(IF(VLOOKUP(TableHandbook[[#This Row],[UDC]],TableAvailabilities[],2,FALSE)&gt;0,"Y",""),"")</f>
        <v/>
      </c>
      <c r="H14" s="50" t="str">
        <f>IFERROR(IF(VLOOKUP(TableHandbook[[#This Row],[UDC]],TableAvailabilities[],3,FALSE)&gt;0,"Y",""),"")</f>
        <v/>
      </c>
      <c r="I14" s="50" t="str">
        <f>IFERROR(IF(VLOOKUP(TableHandbook[[#This Row],[UDC]],TableAvailabilities[],4,FALSE)&gt;0,"Y",""),"")</f>
        <v/>
      </c>
      <c r="J14" s="50" t="str">
        <f>IFERROR(IF(VLOOKUP(TableHandbook[[#This Row],[UDC]],TableAvailabilities[],5,FALSE)&gt;0,"Y",""),"")</f>
        <v/>
      </c>
      <c r="K14" s="181"/>
      <c r="L14" s="182" t="str">
        <f>IFERROR(VLOOKUP(TableHandbook[[#This Row],[UDC]],TableOCDEVPLN[],7,FALSE),"")</f>
        <v/>
      </c>
      <c r="M14" s="182" t="str">
        <f>IFERROR(VLOOKUP(TableHandbook[[#This Row],[UDC]],TableOCGEOG1[],7,FALSE),"")</f>
        <v/>
      </c>
      <c r="N14" s="182" t="str">
        <f>IFERROR(VLOOKUP(TableHandbook[[#This Row],[UDC]],TableOMURPLAN2[],7,FALSE),"")</f>
        <v>Option</v>
      </c>
    </row>
    <row r="15" spans="1:15" x14ac:dyDescent="0.25">
      <c r="A15" s="9" t="s">
        <v>110</v>
      </c>
      <c r="B15" s="10">
        <v>1</v>
      </c>
      <c r="C15" s="10" t="s">
        <v>143</v>
      </c>
      <c r="D15" s="9" t="s">
        <v>144</v>
      </c>
      <c r="E15" s="10">
        <v>25</v>
      </c>
      <c r="F15" s="49" t="s">
        <v>132</v>
      </c>
      <c r="G15" s="50" t="str">
        <f>IFERROR(IF(VLOOKUP(TableHandbook[[#This Row],[UDC]],TableAvailabilities[],2,FALSE)&gt;0,"Y",""),"")</f>
        <v/>
      </c>
      <c r="H15" s="50" t="str">
        <f>IFERROR(IF(VLOOKUP(TableHandbook[[#This Row],[UDC]],TableAvailabilities[],3,FALSE)&gt;0,"Y",""),"")</f>
        <v/>
      </c>
      <c r="I15" s="50" t="str">
        <f>IFERROR(IF(VLOOKUP(TableHandbook[[#This Row],[UDC]],TableAvailabilities[],4,FALSE)&gt;0,"Y",""),"")</f>
        <v/>
      </c>
      <c r="J15" s="50" t="str">
        <f>IFERROR(IF(VLOOKUP(TableHandbook[[#This Row],[UDC]],TableAvailabilities[],5,FALSE)&gt;0,"Y",""),"")</f>
        <v/>
      </c>
      <c r="K15" s="181"/>
      <c r="L15" s="182" t="str">
        <f>IFERROR(VLOOKUP(TableHandbook[[#This Row],[UDC]],TableOCDEVPLN[],7,FALSE),"")</f>
        <v/>
      </c>
      <c r="M15" s="182" t="str">
        <f>IFERROR(VLOOKUP(TableHandbook[[#This Row],[UDC]],TableOCGEOG1[],7,FALSE),"")</f>
        <v/>
      </c>
      <c r="N15" s="182" t="str">
        <f>IFERROR(VLOOKUP(TableHandbook[[#This Row],[UDC]],TableOMURPLAN2[],7,FALSE),"")</f>
        <v>Option</v>
      </c>
    </row>
    <row r="16" spans="1:15" x14ac:dyDescent="0.25">
      <c r="A16" s="9" t="s">
        <v>112</v>
      </c>
      <c r="B16" s="10">
        <v>1</v>
      </c>
      <c r="C16" s="10" t="s">
        <v>145</v>
      </c>
      <c r="D16" s="9" t="s">
        <v>146</v>
      </c>
      <c r="E16" s="10">
        <v>25</v>
      </c>
      <c r="F16" s="220" t="s">
        <v>147</v>
      </c>
      <c r="G16" s="50" t="str">
        <f>IFERROR(IF(VLOOKUP(TableHandbook[[#This Row],[UDC]],TableAvailabilities[],2,FALSE)&gt;0,"Y",""),"")</f>
        <v/>
      </c>
      <c r="H16" s="50" t="str">
        <f>IFERROR(IF(VLOOKUP(TableHandbook[[#This Row],[UDC]],TableAvailabilities[],3,FALSE)&gt;0,"Y",""),"")</f>
        <v/>
      </c>
      <c r="I16" s="50" t="str">
        <f>IFERROR(IF(VLOOKUP(TableHandbook[[#This Row],[UDC]],TableAvailabilities[],4,FALSE)&gt;0,"Y",""),"")</f>
        <v/>
      </c>
      <c r="J16" s="50" t="str">
        <f>IFERROR(IF(VLOOKUP(TableHandbook[[#This Row],[UDC]],TableAvailabilities[],5,FALSE)&gt;0,"Y",""),"")</f>
        <v/>
      </c>
      <c r="K16" s="181" t="s">
        <v>148</v>
      </c>
      <c r="L16" s="182" t="str">
        <f>IFERROR(VLOOKUP(TableHandbook[[#This Row],[UDC]],TableOCDEVPLN[],7,FALSE),"")</f>
        <v/>
      </c>
      <c r="M16" s="182" t="str">
        <f>IFERROR(VLOOKUP(TableHandbook[[#This Row],[UDC]],TableOCGEOG1[],7,FALSE),"")</f>
        <v/>
      </c>
      <c r="N16" s="182" t="str">
        <f>IFERROR(VLOOKUP(TableHandbook[[#This Row],[UDC]],TableOMURPLAN2[],7,FALSE),"")</f>
        <v>Option</v>
      </c>
    </row>
    <row r="17" spans="1:14" x14ac:dyDescent="0.25">
      <c r="A17" s="9" t="s">
        <v>114</v>
      </c>
      <c r="B17" s="10">
        <v>2</v>
      </c>
      <c r="C17" s="10" t="s">
        <v>149</v>
      </c>
      <c r="D17" s="9" t="s">
        <v>150</v>
      </c>
      <c r="E17" s="10">
        <v>25</v>
      </c>
      <c r="F17" s="49" t="s">
        <v>132</v>
      </c>
      <c r="G17" s="50" t="str">
        <f>IFERROR(IF(VLOOKUP(TableHandbook[[#This Row],[UDC]],TableAvailabilities[],2,FALSE)&gt;0,"Y",""),"")</f>
        <v/>
      </c>
      <c r="H17" s="50" t="str">
        <f>IFERROR(IF(VLOOKUP(TableHandbook[[#This Row],[UDC]],TableAvailabilities[],3,FALSE)&gt;0,"Y",""),"")</f>
        <v/>
      </c>
      <c r="I17" s="50" t="str">
        <f>IFERROR(IF(VLOOKUP(TableHandbook[[#This Row],[UDC]],TableAvailabilities[],4,FALSE)&gt;0,"Y",""),"")</f>
        <v/>
      </c>
      <c r="J17" s="50" t="str">
        <f>IFERROR(IF(VLOOKUP(TableHandbook[[#This Row],[UDC]],TableAvailabilities[],5,FALSE)&gt;0,"Y",""),"")</f>
        <v/>
      </c>
      <c r="K17" s="181"/>
      <c r="L17" s="182" t="str">
        <f>IFERROR(VLOOKUP(TableHandbook[[#This Row],[UDC]],TableOCDEVPLN[],7,FALSE),"")</f>
        <v/>
      </c>
      <c r="M17" s="182" t="str">
        <f>IFERROR(VLOOKUP(TableHandbook[[#This Row],[UDC]],TableOCGEOG1[],7,FALSE),"")</f>
        <v/>
      </c>
      <c r="N17" s="182" t="str">
        <f>IFERROR(VLOOKUP(TableHandbook[[#This Row],[UDC]],TableOMURPLAN2[],7,FALSE),"")</f>
        <v>Option</v>
      </c>
    </row>
    <row r="18" spans="1:14" x14ac:dyDescent="0.25">
      <c r="A18" s="9" t="s">
        <v>116</v>
      </c>
      <c r="B18" s="10">
        <v>2</v>
      </c>
      <c r="C18" s="10" t="s">
        <v>151</v>
      </c>
      <c r="D18" s="9" t="s">
        <v>152</v>
      </c>
      <c r="E18" s="10">
        <v>25</v>
      </c>
      <c r="F18" s="49" t="s">
        <v>132</v>
      </c>
      <c r="G18" s="50" t="str">
        <f>IFERROR(IF(VLOOKUP(TableHandbook[[#This Row],[UDC]],TableAvailabilities[],2,FALSE)&gt;0,"Y",""),"")</f>
        <v/>
      </c>
      <c r="H18" s="50" t="str">
        <f>IFERROR(IF(VLOOKUP(TableHandbook[[#This Row],[UDC]],TableAvailabilities[],3,FALSE)&gt;0,"Y",""),"")</f>
        <v>Y</v>
      </c>
      <c r="I18" s="50" t="str">
        <f>IFERROR(IF(VLOOKUP(TableHandbook[[#This Row],[UDC]],TableAvailabilities[],4,FALSE)&gt;0,"Y",""),"")</f>
        <v/>
      </c>
      <c r="J18" s="50" t="str">
        <f>IFERROR(IF(VLOOKUP(TableHandbook[[#This Row],[UDC]],TableAvailabilities[],5,FALSE)&gt;0,"Y",""),"")</f>
        <v>Y</v>
      </c>
      <c r="K18" s="181"/>
      <c r="L18" s="182" t="str">
        <f>IFERROR(VLOOKUP(TableHandbook[[#This Row],[UDC]],TableOCDEVPLN[],7,FALSE),"")</f>
        <v/>
      </c>
      <c r="M18" s="182" t="str">
        <f>IFERROR(VLOOKUP(TableHandbook[[#This Row],[UDC]],TableOCGEOG1[],7,FALSE),"")</f>
        <v/>
      </c>
      <c r="N18" s="182" t="str">
        <f>IFERROR(VLOOKUP(TableHandbook[[#This Row],[UDC]],TableOMURPLAN2[],7,FALSE),"")</f>
        <v>Option</v>
      </c>
    </row>
    <row r="19" spans="1:14" x14ac:dyDescent="0.25">
      <c r="A19" s="9" t="s">
        <v>118</v>
      </c>
      <c r="B19" s="10">
        <v>1</v>
      </c>
      <c r="C19" s="10" t="s">
        <v>153</v>
      </c>
      <c r="D19" s="9" t="s">
        <v>154</v>
      </c>
      <c r="E19" s="10">
        <v>25</v>
      </c>
      <c r="F19" s="49" t="s">
        <v>132</v>
      </c>
      <c r="G19" s="50" t="str">
        <f>IFERROR(IF(VLOOKUP(TableHandbook[[#This Row],[UDC]],TableAvailabilities[],2,FALSE)&gt;0,"Y",""),"")</f>
        <v>Y</v>
      </c>
      <c r="H19" s="50" t="str">
        <f>IFERROR(IF(VLOOKUP(TableHandbook[[#This Row],[UDC]],TableAvailabilities[],3,FALSE)&gt;0,"Y",""),"")</f>
        <v/>
      </c>
      <c r="I19" s="50" t="str">
        <f>IFERROR(IF(VLOOKUP(TableHandbook[[#This Row],[UDC]],TableAvailabilities[],4,FALSE)&gt;0,"Y",""),"")</f>
        <v>Y</v>
      </c>
      <c r="J19" s="50" t="str">
        <f>IFERROR(IF(VLOOKUP(TableHandbook[[#This Row],[UDC]],TableAvailabilities[],5,FALSE)&gt;0,"Y",""),"")</f>
        <v/>
      </c>
      <c r="K19" s="181"/>
      <c r="L19" s="182" t="str">
        <f>IFERROR(VLOOKUP(TableHandbook[[#This Row],[UDC]],TableOCDEVPLN[],7,FALSE),"")</f>
        <v/>
      </c>
      <c r="M19" s="182" t="str">
        <f>IFERROR(VLOOKUP(TableHandbook[[#This Row],[UDC]],TableOCGEOG1[],7,FALSE),"")</f>
        <v/>
      </c>
      <c r="N19" s="182" t="str">
        <f>IFERROR(VLOOKUP(TableHandbook[[#This Row],[UDC]],TableOMURPLAN2[],7,FALSE),"")</f>
        <v>Option</v>
      </c>
    </row>
    <row r="20" spans="1:14" x14ac:dyDescent="0.25">
      <c r="A20" s="9" t="s">
        <v>120</v>
      </c>
      <c r="B20" s="10">
        <v>2</v>
      </c>
      <c r="C20" s="10" t="s">
        <v>155</v>
      </c>
      <c r="D20" s="9" t="s">
        <v>156</v>
      </c>
      <c r="E20" s="10">
        <v>25</v>
      </c>
      <c r="F20" s="49" t="s">
        <v>132</v>
      </c>
      <c r="G20" s="50" t="str">
        <f>IFERROR(IF(VLOOKUP(TableHandbook[[#This Row],[UDC]],TableAvailabilities[],2,FALSE)&gt;0,"Y",""),"")</f>
        <v/>
      </c>
      <c r="H20" s="50" t="str">
        <f>IFERROR(IF(VLOOKUP(TableHandbook[[#This Row],[UDC]],TableAvailabilities[],3,FALSE)&gt;0,"Y",""),"")</f>
        <v>Y</v>
      </c>
      <c r="I20" s="50" t="str">
        <f>IFERROR(IF(VLOOKUP(TableHandbook[[#This Row],[UDC]],TableAvailabilities[],4,FALSE)&gt;0,"Y",""),"")</f>
        <v/>
      </c>
      <c r="J20" s="50" t="str">
        <f>IFERROR(IF(VLOOKUP(TableHandbook[[#This Row],[UDC]],TableAvailabilities[],5,FALSE)&gt;0,"Y",""),"")</f>
        <v>Y</v>
      </c>
      <c r="K20" s="181"/>
      <c r="L20" s="182" t="str">
        <f>IFERROR(VLOOKUP(TableHandbook[[#This Row],[UDC]],TableOCDEVPLN[],7,FALSE),"")</f>
        <v/>
      </c>
      <c r="M20" s="182" t="str">
        <f>IFERROR(VLOOKUP(TableHandbook[[#This Row],[UDC]],TableOCGEOG1[],7,FALSE),"")</f>
        <v/>
      </c>
      <c r="N20" s="182" t="str">
        <f>IFERROR(VLOOKUP(TableHandbook[[#This Row],[UDC]],TableOMURPLAN2[],7,FALSE),"")</f>
        <v>Option</v>
      </c>
    </row>
    <row r="21" spans="1:14" x14ac:dyDescent="0.25">
      <c r="A21" s="9" t="s">
        <v>122</v>
      </c>
      <c r="B21" s="10">
        <v>1</v>
      </c>
      <c r="C21" s="10" t="s">
        <v>157</v>
      </c>
      <c r="D21" s="9" t="s">
        <v>158</v>
      </c>
      <c r="E21" s="10">
        <v>25</v>
      </c>
      <c r="F21" s="49" t="s">
        <v>132</v>
      </c>
      <c r="G21" s="50" t="str">
        <f>IFERROR(IF(VLOOKUP(TableHandbook[[#This Row],[UDC]],TableAvailabilities[],2,FALSE)&gt;0,"Y",""),"")</f>
        <v/>
      </c>
      <c r="H21" s="50" t="str">
        <f>IFERROR(IF(VLOOKUP(TableHandbook[[#This Row],[UDC]],TableAvailabilities[],3,FALSE)&gt;0,"Y",""),"")</f>
        <v/>
      </c>
      <c r="I21" s="50" t="str">
        <f>IFERROR(IF(VLOOKUP(TableHandbook[[#This Row],[UDC]],TableAvailabilities[],4,FALSE)&gt;0,"Y",""),"")</f>
        <v/>
      </c>
      <c r="J21" s="50" t="str">
        <f>IFERROR(IF(VLOOKUP(TableHandbook[[#This Row],[UDC]],TableAvailabilities[],5,FALSE)&gt;0,"Y",""),"")</f>
        <v>Y</v>
      </c>
      <c r="K21" s="181"/>
      <c r="L21" s="182" t="str">
        <f>IFERROR(VLOOKUP(TableHandbook[[#This Row],[UDC]],TableOCDEVPLN[],7,FALSE),"")</f>
        <v/>
      </c>
      <c r="M21" s="182" t="str">
        <f>IFERROR(VLOOKUP(TableHandbook[[#This Row],[UDC]],TableOCGEOG1[],7,FALSE),"")</f>
        <v/>
      </c>
      <c r="N21" s="182" t="str">
        <f>IFERROR(VLOOKUP(TableHandbook[[#This Row],[UDC]],TableOMURPLAN2[],7,FALSE),"")</f>
        <v>Option</v>
      </c>
    </row>
    <row r="22" spans="1:14" x14ac:dyDescent="0.25">
      <c r="A22" s="9" t="s">
        <v>124</v>
      </c>
      <c r="B22" s="10">
        <v>1</v>
      </c>
      <c r="C22" s="10" t="s">
        <v>159</v>
      </c>
      <c r="D22" s="9" t="s">
        <v>160</v>
      </c>
      <c r="E22" s="10">
        <v>25</v>
      </c>
      <c r="F22" s="49" t="s">
        <v>132</v>
      </c>
      <c r="G22" s="50" t="str">
        <f>IFERROR(IF(VLOOKUP(TableHandbook[[#This Row],[UDC]],TableAvailabilities[],2,FALSE)&gt;0,"Y",""),"")</f>
        <v>Y</v>
      </c>
      <c r="H22" s="50" t="str">
        <f>IFERROR(IF(VLOOKUP(TableHandbook[[#This Row],[UDC]],TableAvailabilities[],3,FALSE)&gt;0,"Y",""),"")</f>
        <v/>
      </c>
      <c r="I22" s="50" t="str">
        <f>IFERROR(IF(VLOOKUP(TableHandbook[[#This Row],[UDC]],TableAvailabilities[],4,FALSE)&gt;0,"Y",""),"")</f>
        <v>Y</v>
      </c>
      <c r="J22" s="50" t="str">
        <f>IFERROR(IF(VLOOKUP(TableHandbook[[#This Row],[UDC]],TableAvailabilities[],5,FALSE)&gt;0,"Y",""),"")</f>
        <v/>
      </c>
      <c r="K22" s="181"/>
      <c r="L22" s="182" t="str">
        <f>IFERROR(VLOOKUP(TableHandbook[[#This Row],[UDC]],TableOCDEVPLN[],7,FALSE),"")</f>
        <v/>
      </c>
      <c r="M22" s="182" t="str">
        <f>IFERROR(VLOOKUP(TableHandbook[[#This Row],[UDC]],TableOCGEOG1[],7,FALSE),"")</f>
        <v/>
      </c>
      <c r="N22" s="182" t="str">
        <f>IFERROR(VLOOKUP(TableHandbook[[#This Row],[UDC]],TableOMURPLAN2[],7,FALSE),"")</f>
        <v>Option</v>
      </c>
    </row>
    <row r="23" spans="1:14" x14ac:dyDescent="0.25">
      <c r="A23" s="9" t="s">
        <v>61</v>
      </c>
      <c r="B23" s="10">
        <v>1</v>
      </c>
      <c r="C23" s="10" t="s">
        <v>161</v>
      </c>
      <c r="D23" s="9" t="s">
        <v>162</v>
      </c>
      <c r="E23" s="10">
        <v>25</v>
      </c>
      <c r="F23" s="220" t="s">
        <v>163</v>
      </c>
      <c r="G23" s="50" t="str">
        <f>IFERROR(IF(VLOOKUP(TableHandbook[[#This Row],[UDC]],TableAvailabilities[],2,FALSE)&gt;0,"Y",""),"")</f>
        <v/>
      </c>
      <c r="H23" s="50" t="str">
        <f>IFERROR(IF(VLOOKUP(TableHandbook[[#This Row],[UDC]],TableAvailabilities[],3,FALSE)&gt;0,"Y",""),"")</f>
        <v/>
      </c>
      <c r="I23" s="50" t="str">
        <f>IFERROR(IF(VLOOKUP(TableHandbook[[#This Row],[UDC]],TableAvailabilities[],4,FALSE)&gt;0,"Y",""),"")</f>
        <v>Y</v>
      </c>
      <c r="J23" s="50" t="str">
        <f>IFERROR(IF(VLOOKUP(TableHandbook[[#This Row],[UDC]],TableAvailabilities[],5,FALSE)&gt;0,"Y",""),"")</f>
        <v/>
      </c>
      <c r="K23" s="181" t="s">
        <v>148</v>
      </c>
      <c r="L23" s="182" t="str">
        <f>IFERROR(VLOOKUP(TableHandbook[[#This Row],[UDC]],TableOCDEVPLN[],7,FALSE),"")</f>
        <v/>
      </c>
      <c r="M23" s="182" t="str">
        <f>IFERROR(VLOOKUP(TableHandbook[[#This Row],[UDC]],TableOCGEOG1[],7,FALSE),"")</f>
        <v/>
      </c>
      <c r="N23" s="182" t="str">
        <f>IFERROR(VLOOKUP(TableHandbook[[#This Row],[UDC]],TableOMURPLAN2[],7,FALSE),"")</f>
        <v>Core</v>
      </c>
    </row>
    <row r="24" spans="1:14" x14ac:dyDescent="0.25">
      <c r="A24" s="9" t="s">
        <v>54</v>
      </c>
      <c r="B24" s="10">
        <v>2</v>
      </c>
      <c r="C24" s="10" t="s">
        <v>164</v>
      </c>
      <c r="D24" s="9" t="s">
        <v>165</v>
      </c>
      <c r="E24" s="10">
        <v>25</v>
      </c>
      <c r="F24" s="49" t="s">
        <v>132</v>
      </c>
      <c r="G24" s="50" t="str">
        <f>IFERROR(IF(VLOOKUP(TableHandbook[[#This Row],[UDC]],TableAvailabilities[],2,FALSE)&gt;0,"Y",""),"")</f>
        <v/>
      </c>
      <c r="H24" s="50" t="str">
        <f>IFERROR(IF(VLOOKUP(TableHandbook[[#This Row],[UDC]],TableAvailabilities[],3,FALSE)&gt;0,"Y",""),"")</f>
        <v>Y</v>
      </c>
      <c r="I24" s="50" t="str">
        <f>IFERROR(IF(VLOOKUP(TableHandbook[[#This Row],[UDC]],TableAvailabilities[],4,FALSE)&gt;0,"Y",""),"")</f>
        <v/>
      </c>
      <c r="J24" s="50" t="str">
        <f>IFERROR(IF(VLOOKUP(TableHandbook[[#This Row],[UDC]],TableAvailabilities[],5,FALSE)&gt;0,"Y",""),"")</f>
        <v>Y</v>
      </c>
      <c r="K24" s="181"/>
      <c r="L24" s="182" t="str">
        <f>IFERROR(VLOOKUP(TableHandbook[[#This Row],[UDC]],TableOCDEVPLN[],7,FALSE),"")</f>
        <v>Core</v>
      </c>
      <c r="M24" s="182" t="str">
        <f>IFERROR(VLOOKUP(TableHandbook[[#This Row],[UDC]],TableOCGEOG1[],7,FALSE),"")</f>
        <v/>
      </c>
      <c r="N24" s="182" t="str">
        <f>IFERROR(VLOOKUP(TableHandbook[[#This Row],[UDC]],TableOMURPLAN2[],7,FALSE),"")</f>
        <v/>
      </c>
    </row>
    <row r="25" spans="1:14" x14ac:dyDescent="0.25">
      <c r="A25" s="9" t="s">
        <v>66</v>
      </c>
      <c r="B25" s="10">
        <v>3</v>
      </c>
      <c r="C25" s="10" t="s">
        <v>166</v>
      </c>
      <c r="D25" s="9" t="s">
        <v>167</v>
      </c>
      <c r="E25" s="10">
        <v>25</v>
      </c>
      <c r="F25" s="49" t="s">
        <v>132</v>
      </c>
      <c r="G25" s="50" t="str">
        <f>IFERROR(IF(VLOOKUP(TableHandbook[[#This Row],[UDC]],TableAvailabilities[],2,FALSE)&gt;0,"Y",""),"")</f>
        <v/>
      </c>
      <c r="H25" s="50" t="str">
        <f>IFERROR(IF(VLOOKUP(TableHandbook[[#This Row],[UDC]],TableAvailabilities[],3,FALSE)&gt;0,"Y",""),"")</f>
        <v>Y</v>
      </c>
      <c r="I25" s="50" t="str">
        <f>IFERROR(IF(VLOOKUP(TableHandbook[[#This Row],[UDC]],TableAvailabilities[],4,FALSE)&gt;0,"Y",""),"")</f>
        <v/>
      </c>
      <c r="J25" s="50" t="str">
        <f>IFERROR(IF(VLOOKUP(TableHandbook[[#This Row],[UDC]],TableAvailabilities[],5,FALSE)&gt;0,"Y",""),"")</f>
        <v>Y</v>
      </c>
      <c r="K25" s="181"/>
      <c r="L25" s="182" t="str">
        <f>IFERROR(VLOOKUP(TableHandbook[[#This Row],[UDC]],TableOCDEVPLN[],7,FALSE),"")</f>
        <v/>
      </c>
      <c r="M25" s="182" t="str">
        <f>IFERROR(VLOOKUP(TableHandbook[[#This Row],[UDC]],TableOCGEOG1[],7,FALSE),"")</f>
        <v/>
      </c>
      <c r="N25" s="182" t="str">
        <f>IFERROR(VLOOKUP(TableHandbook[[#This Row],[UDC]],TableOMURPLAN2[],7,FALSE),"")</f>
        <v>Core</v>
      </c>
    </row>
    <row r="26" spans="1:14" x14ac:dyDescent="0.25">
      <c r="A26" s="9" t="s">
        <v>59</v>
      </c>
      <c r="B26" s="10">
        <v>1</v>
      </c>
      <c r="C26" s="10" t="s">
        <v>168</v>
      </c>
      <c r="D26" s="9" t="s">
        <v>169</v>
      </c>
      <c r="E26" s="10">
        <v>25</v>
      </c>
      <c r="F26" s="49" t="s">
        <v>132</v>
      </c>
      <c r="G26" s="50" t="str">
        <f>IFERROR(IF(VLOOKUP(TableHandbook[[#This Row],[UDC]],TableAvailabilities[],2,FALSE)&gt;0,"Y",""),"")</f>
        <v>Y</v>
      </c>
      <c r="H26" s="50" t="str">
        <f>IFERROR(IF(VLOOKUP(TableHandbook[[#This Row],[UDC]],TableAvailabilities[],3,FALSE)&gt;0,"Y",""),"")</f>
        <v/>
      </c>
      <c r="I26" s="50" t="str">
        <f>IFERROR(IF(VLOOKUP(TableHandbook[[#This Row],[UDC]],TableAvailabilities[],4,FALSE)&gt;0,"Y",""),"")</f>
        <v>Y</v>
      </c>
      <c r="J26" s="50" t="str">
        <f>IFERROR(IF(VLOOKUP(TableHandbook[[#This Row],[UDC]],TableAvailabilities[],5,FALSE)&gt;0,"Y",""),"")</f>
        <v/>
      </c>
      <c r="K26" s="181"/>
      <c r="L26" s="182" t="str">
        <f>IFERROR(VLOOKUP(TableHandbook[[#This Row],[UDC]],TableOCDEVPLN[],7,FALSE),"")</f>
        <v/>
      </c>
      <c r="M26" s="182" t="str">
        <f>IFERROR(VLOOKUP(TableHandbook[[#This Row],[UDC]],TableOCGEOG1[],7,FALSE),"")</f>
        <v/>
      </c>
      <c r="N26" s="182" t="str">
        <f>IFERROR(VLOOKUP(TableHandbook[[#This Row],[UDC]],TableOMURPLAN2[],7,FALSE),"")</f>
        <v>Core</v>
      </c>
    </row>
    <row r="27" spans="1:14" x14ac:dyDescent="0.25">
      <c r="A27" s="9" t="s">
        <v>60</v>
      </c>
      <c r="B27" s="10">
        <v>2</v>
      </c>
      <c r="C27" s="10" t="s">
        <v>170</v>
      </c>
      <c r="D27" s="9" t="s">
        <v>171</v>
      </c>
      <c r="E27" s="10">
        <v>25</v>
      </c>
      <c r="F27" s="49" t="s">
        <v>132</v>
      </c>
      <c r="G27" s="50" t="str">
        <f>IFERROR(IF(VLOOKUP(TableHandbook[[#This Row],[UDC]],TableAvailabilities[],2,FALSE)&gt;0,"Y",""),"")</f>
        <v/>
      </c>
      <c r="H27" s="50" t="str">
        <f>IFERROR(IF(VLOOKUP(TableHandbook[[#This Row],[UDC]],TableAvailabilities[],3,FALSE)&gt;0,"Y",""),"")</f>
        <v>Y</v>
      </c>
      <c r="I27" s="50" t="str">
        <f>IFERROR(IF(VLOOKUP(TableHandbook[[#This Row],[UDC]],TableAvailabilities[],4,FALSE)&gt;0,"Y",""),"")</f>
        <v/>
      </c>
      <c r="J27" s="50" t="str">
        <f>IFERROR(IF(VLOOKUP(TableHandbook[[#This Row],[UDC]],TableAvailabilities[],5,FALSE)&gt;0,"Y",""),"")</f>
        <v>Y</v>
      </c>
      <c r="K27" s="181"/>
      <c r="L27" s="182" t="str">
        <f>IFERROR(VLOOKUP(TableHandbook[[#This Row],[UDC]],TableOCDEVPLN[],7,FALSE),"")</f>
        <v/>
      </c>
      <c r="M27" s="182" t="str">
        <f>IFERROR(VLOOKUP(TableHandbook[[#This Row],[UDC]],TableOCGEOG1[],7,FALSE),"")</f>
        <v/>
      </c>
      <c r="N27" s="182" t="str">
        <f>IFERROR(VLOOKUP(TableHandbook[[#This Row],[UDC]],TableOMURPLAN2[],7,FALSE),"")</f>
        <v>Core</v>
      </c>
    </row>
    <row r="28" spans="1:14" x14ac:dyDescent="0.25">
      <c r="A28" s="9" t="s">
        <v>81</v>
      </c>
      <c r="B28" s="10">
        <v>2</v>
      </c>
      <c r="C28" s="10" t="s">
        <v>172</v>
      </c>
      <c r="D28" s="9" t="s">
        <v>173</v>
      </c>
      <c r="E28" s="10">
        <v>25</v>
      </c>
      <c r="F28" s="220" t="s">
        <v>241</v>
      </c>
      <c r="G28" s="50" t="str">
        <f>IFERROR(IF(VLOOKUP(TableHandbook[[#This Row],[UDC]],TableAvailabilities[],2,FALSE)&gt;0,"Y",""),"")</f>
        <v>Y</v>
      </c>
      <c r="H28" s="50" t="str">
        <f>IFERROR(IF(VLOOKUP(TableHandbook[[#This Row],[UDC]],TableAvailabilities[],3,FALSE)&gt;0,"Y",""),"")</f>
        <v/>
      </c>
      <c r="I28" s="50" t="str">
        <f>IFERROR(IF(VLOOKUP(TableHandbook[[#This Row],[UDC]],TableAvailabilities[],4,FALSE)&gt;0,"Y",""),"")</f>
        <v>Y</v>
      </c>
      <c r="J28" s="50" t="str">
        <f>IFERROR(IF(VLOOKUP(TableHandbook[[#This Row],[UDC]],TableAvailabilities[],5,FALSE)&gt;0,"Y",""),"")</f>
        <v/>
      </c>
      <c r="K28" s="181"/>
      <c r="L28" s="182" t="str">
        <f>IFERROR(VLOOKUP(TableHandbook[[#This Row],[UDC]],TableOCDEVPLN[],7,FALSE),"")</f>
        <v/>
      </c>
      <c r="M28" s="182" t="str">
        <f>IFERROR(VLOOKUP(TableHandbook[[#This Row],[UDC]],TableOCGEOG1[],7,FALSE),"")</f>
        <v/>
      </c>
      <c r="N28" s="182" t="str">
        <f>IFERROR(VLOOKUP(TableHandbook[[#This Row],[UDC]],TableOMURPLAN2[],7,FALSE),"")</f>
        <v>Core</v>
      </c>
    </row>
    <row r="29" spans="1:14" x14ac:dyDescent="0.25">
      <c r="A29" s="9" t="s">
        <v>52</v>
      </c>
      <c r="B29" s="10">
        <v>1</v>
      </c>
      <c r="C29" s="10" t="s">
        <v>174</v>
      </c>
      <c r="D29" s="9" t="s">
        <v>175</v>
      </c>
      <c r="E29" s="10">
        <v>25</v>
      </c>
      <c r="F29" s="49" t="s">
        <v>132</v>
      </c>
      <c r="G29" s="50" t="str">
        <f>IFERROR(IF(VLOOKUP(TableHandbook[[#This Row],[UDC]],TableAvailabilities[],2,FALSE)&gt;0,"Y",""),"")</f>
        <v>Y</v>
      </c>
      <c r="H29" s="50" t="str">
        <f>IFERROR(IF(VLOOKUP(TableHandbook[[#This Row],[UDC]],TableAvailabilities[],3,FALSE)&gt;0,"Y",""),"")</f>
        <v/>
      </c>
      <c r="I29" s="50" t="str">
        <f>IFERROR(IF(VLOOKUP(TableHandbook[[#This Row],[UDC]],TableAvailabilities[],4,FALSE)&gt;0,"Y",""),"")</f>
        <v>Y</v>
      </c>
      <c r="J29" s="50" t="str">
        <f>IFERROR(IF(VLOOKUP(TableHandbook[[#This Row],[UDC]],TableAvailabilities[],5,FALSE)&gt;0,"Y",""),"")</f>
        <v/>
      </c>
      <c r="K29" s="181"/>
      <c r="L29" s="182" t="str">
        <f>IFERROR(VLOOKUP(TableHandbook[[#This Row],[UDC]],TableOCDEVPLN[],7,FALSE),"")</f>
        <v>Core</v>
      </c>
      <c r="M29" s="182" t="str">
        <f>IFERROR(VLOOKUP(TableHandbook[[#This Row],[UDC]],TableOCGEOG1[],7,FALSE),"")</f>
        <v/>
      </c>
      <c r="N29" s="182" t="str">
        <f>IFERROR(VLOOKUP(TableHandbook[[#This Row],[UDC]],TableOMURPLAN2[],7,FALSE),"")</f>
        <v/>
      </c>
    </row>
    <row r="30" spans="1:14" x14ac:dyDescent="0.25">
      <c r="A30" s="9" t="s">
        <v>62</v>
      </c>
      <c r="B30" s="10">
        <v>2</v>
      </c>
      <c r="C30" s="10" t="s">
        <v>176</v>
      </c>
      <c r="D30" s="9" t="s">
        <v>177</v>
      </c>
      <c r="E30" s="10">
        <v>25</v>
      </c>
      <c r="F30" s="49" t="s">
        <v>132</v>
      </c>
      <c r="G30" s="50" t="str">
        <f>IFERROR(IF(VLOOKUP(TableHandbook[[#This Row],[UDC]],TableAvailabilities[],2,FALSE)&gt;0,"Y",""),"")</f>
        <v/>
      </c>
      <c r="H30" s="50" t="str">
        <f>IFERROR(IF(VLOOKUP(TableHandbook[[#This Row],[UDC]],TableAvailabilities[],3,FALSE)&gt;0,"Y",""),"")</f>
        <v>Y</v>
      </c>
      <c r="I30" s="50" t="str">
        <f>IFERROR(IF(VLOOKUP(TableHandbook[[#This Row],[UDC]],TableAvailabilities[],4,FALSE)&gt;0,"Y",""),"")</f>
        <v/>
      </c>
      <c r="J30" s="50" t="str">
        <f>IFERROR(IF(VLOOKUP(TableHandbook[[#This Row],[UDC]],TableAvailabilities[],5,FALSE)&gt;0,"Y",""),"")</f>
        <v>Y</v>
      </c>
      <c r="K30" s="181"/>
      <c r="L30" s="182" t="str">
        <f>IFERROR(VLOOKUP(TableHandbook[[#This Row],[UDC]],TableOCDEVPLN[],7,FALSE),"")</f>
        <v>Core</v>
      </c>
      <c r="M30" s="182" t="str">
        <f>IFERROR(VLOOKUP(TableHandbook[[#This Row],[UDC]],TableOCGEOG1[],7,FALSE),"")</f>
        <v/>
      </c>
      <c r="N30" s="182" t="str">
        <f>IFERROR(VLOOKUP(TableHandbook[[#This Row],[UDC]],TableOMURPLAN2[],7,FALSE),"")</f>
        <v/>
      </c>
    </row>
    <row r="31" spans="1:14" x14ac:dyDescent="0.25">
      <c r="A31" s="9" t="s">
        <v>83</v>
      </c>
      <c r="B31" s="10">
        <v>1</v>
      </c>
      <c r="C31" s="10" t="s">
        <v>178</v>
      </c>
      <c r="D31" s="9" t="s">
        <v>179</v>
      </c>
      <c r="E31" s="10">
        <v>25</v>
      </c>
      <c r="F31" s="49" t="s">
        <v>132</v>
      </c>
      <c r="G31" s="50" t="str">
        <f>IFERROR(IF(VLOOKUP(TableHandbook[[#This Row],[UDC]],TableAvailabilities[],2,FALSE)&gt;0,"Y",""),"")</f>
        <v/>
      </c>
      <c r="H31" s="50" t="str">
        <f>IFERROR(IF(VLOOKUP(TableHandbook[[#This Row],[UDC]],TableAvailabilities[],3,FALSE)&gt;0,"Y",""),"")</f>
        <v>Y</v>
      </c>
      <c r="I31" s="50" t="str">
        <f>IFERROR(IF(VLOOKUP(TableHandbook[[#This Row],[UDC]],TableAvailabilities[],4,FALSE)&gt;0,"Y",""),"")</f>
        <v/>
      </c>
      <c r="J31" s="50" t="str">
        <f>IFERROR(IF(VLOOKUP(TableHandbook[[#This Row],[UDC]],TableAvailabilities[],5,FALSE)&gt;0,"Y",""),"")</f>
        <v/>
      </c>
      <c r="K31" s="181"/>
      <c r="L31" s="182" t="str">
        <f>IFERROR(VLOOKUP(TableHandbook[[#This Row],[UDC]],TableOCDEVPLN[],7,FALSE),"")</f>
        <v/>
      </c>
      <c r="M31" s="182" t="str">
        <f>IFERROR(VLOOKUP(TableHandbook[[#This Row],[UDC]],TableOCGEOG1[],7,FALSE),"")</f>
        <v/>
      </c>
      <c r="N31" s="182" t="str">
        <f>IFERROR(VLOOKUP(TableHandbook[[#This Row],[UDC]],TableOMURPLAN2[],7,FALSE),"")</f>
        <v>Core</v>
      </c>
    </row>
    <row r="32" spans="1:14" x14ac:dyDescent="0.25">
      <c r="A32" s="9" t="s">
        <v>82</v>
      </c>
      <c r="B32" s="10">
        <v>2</v>
      </c>
      <c r="C32" s="10" t="s">
        <v>180</v>
      </c>
      <c r="D32" s="9" t="s">
        <v>181</v>
      </c>
      <c r="E32" s="10">
        <v>25</v>
      </c>
      <c r="F32" s="49" t="s">
        <v>132</v>
      </c>
      <c r="G32" s="50" t="str">
        <f>IFERROR(IF(VLOOKUP(TableHandbook[[#This Row],[UDC]],TableAvailabilities[],2,FALSE)&gt;0,"Y",""),"")</f>
        <v/>
      </c>
      <c r="H32" s="50" t="str">
        <f>IFERROR(IF(VLOOKUP(TableHandbook[[#This Row],[UDC]],TableAvailabilities[],3,FALSE)&gt;0,"Y",""),"")</f>
        <v/>
      </c>
      <c r="I32" s="50" t="str">
        <f>IFERROR(IF(VLOOKUP(TableHandbook[[#This Row],[UDC]],TableAvailabilities[],4,FALSE)&gt;0,"Y",""),"")</f>
        <v/>
      </c>
      <c r="J32" s="50" t="str">
        <f>IFERROR(IF(VLOOKUP(TableHandbook[[#This Row],[UDC]],TableAvailabilities[],5,FALSE)&gt;0,"Y",""),"")</f>
        <v>Y</v>
      </c>
      <c r="K32" s="181"/>
      <c r="L32" s="182" t="str">
        <f>IFERROR(VLOOKUP(TableHandbook[[#This Row],[UDC]],TableOCDEVPLN[],7,FALSE),"")</f>
        <v/>
      </c>
      <c r="M32" s="182" t="str">
        <f>IFERROR(VLOOKUP(TableHandbook[[#This Row],[UDC]],TableOCGEOG1[],7,FALSE),"")</f>
        <v/>
      </c>
      <c r="N32" s="182" t="str">
        <f>IFERROR(VLOOKUP(TableHandbook[[#This Row],[UDC]],TableOMURPLAN2[],7,FALSE),"")</f>
        <v>Core</v>
      </c>
    </row>
    <row r="33" spans="1:14" x14ac:dyDescent="0.25">
      <c r="A33" s="9" t="s">
        <v>85</v>
      </c>
      <c r="B33" s="10">
        <v>1</v>
      </c>
      <c r="C33" s="10" t="s">
        <v>182</v>
      </c>
      <c r="D33" s="9" t="s">
        <v>183</v>
      </c>
      <c r="E33" s="10">
        <v>25</v>
      </c>
      <c r="F33" s="49" t="s">
        <v>132</v>
      </c>
      <c r="G33" s="50" t="str">
        <f>IFERROR(IF(VLOOKUP(TableHandbook[[#This Row],[UDC]],TableAvailabilities[],2,FALSE)&gt;0,"Y",""),"")</f>
        <v/>
      </c>
      <c r="H33" s="50" t="str">
        <f>IFERROR(IF(VLOOKUP(TableHandbook[[#This Row],[UDC]],TableAvailabilities[],3,FALSE)&gt;0,"Y",""),"")</f>
        <v>Y</v>
      </c>
      <c r="I33" s="50" t="str">
        <f>IFERROR(IF(VLOOKUP(TableHandbook[[#This Row],[UDC]],TableAvailabilities[],4,FALSE)&gt;0,"Y",""),"")</f>
        <v/>
      </c>
      <c r="J33" s="50" t="str">
        <f>IFERROR(IF(VLOOKUP(TableHandbook[[#This Row],[UDC]],TableAvailabilities[],5,FALSE)&gt;0,"Y",""),"")</f>
        <v>Y</v>
      </c>
      <c r="K33" s="181"/>
      <c r="L33" s="182" t="str">
        <f>IFERROR(VLOOKUP(TableHandbook[[#This Row],[UDC]],TableOCDEVPLN[],7,FALSE),"")</f>
        <v/>
      </c>
      <c r="M33" s="182" t="str">
        <f>IFERROR(VLOOKUP(TableHandbook[[#This Row],[UDC]],TableOCGEOG1[],7,FALSE),"")</f>
        <v/>
      </c>
      <c r="N33" s="182" t="str">
        <f>IFERROR(VLOOKUP(TableHandbook[[#This Row],[UDC]],TableOMURPLAN2[],7,FALSE),"")</f>
        <v>Core</v>
      </c>
    </row>
    <row r="34" spans="1:14" x14ac:dyDescent="0.25">
      <c r="A34" s="9" t="s">
        <v>89</v>
      </c>
      <c r="B34" s="10">
        <v>1</v>
      </c>
      <c r="C34" s="10" t="s">
        <v>184</v>
      </c>
      <c r="D34" s="9" t="s">
        <v>185</v>
      </c>
      <c r="E34" s="10">
        <v>50</v>
      </c>
      <c r="F34" s="220" t="s">
        <v>172</v>
      </c>
      <c r="G34" s="50" t="str">
        <f>IFERROR(IF(VLOOKUP(TableHandbook[[#This Row],[UDC]],TableAvailabilities[],2,FALSE)&gt;0,"Y",""),"")</f>
        <v>Y</v>
      </c>
      <c r="H34" s="50" t="str">
        <f>IFERROR(IF(VLOOKUP(TableHandbook[[#This Row],[UDC]],TableAvailabilities[],3,FALSE)&gt;0,"Y",""),"")</f>
        <v/>
      </c>
      <c r="I34" s="50" t="str">
        <f>IFERROR(IF(VLOOKUP(TableHandbook[[#This Row],[UDC]],TableAvailabilities[],4,FALSE)&gt;0,"Y",""),"")</f>
        <v>Y</v>
      </c>
      <c r="J34" s="50" t="str">
        <f>IFERROR(IF(VLOOKUP(TableHandbook[[#This Row],[UDC]],TableAvailabilities[],5,FALSE)&gt;0,"Y",""),"")</f>
        <v/>
      </c>
      <c r="K34" s="181"/>
      <c r="L34" s="182" t="str">
        <f>IFERROR(VLOOKUP(TableHandbook[[#This Row],[UDC]],TableOCDEVPLN[],7,FALSE),"")</f>
        <v/>
      </c>
      <c r="M34" s="182" t="str">
        <f>IFERROR(VLOOKUP(TableHandbook[[#This Row],[UDC]],TableOCGEOG1[],7,FALSE),"")</f>
        <v/>
      </c>
      <c r="N34" s="182" t="str">
        <f>IFERROR(VLOOKUP(TableHandbook[[#This Row],[UDC]],TableOMURPLAN2[],7,FALSE),"")</f>
        <v>Core</v>
      </c>
    </row>
    <row r="35" spans="1:14" x14ac:dyDescent="0.25">
      <c r="A35" s="9" t="s">
        <v>65</v>
      </c>
      <c r="B35" s="10">
        <v>1</v>
      </c>
      <c r="C35" s="10" t="s">
        <v>186</v>
      </c>
      <c r="D35" s="9" t="s">
        <v>187</v>
      </c>
      <c r="E35" s="10">
        <v>25</v>
      </c>
      <c r="F35" s="49" t="s">
        <v>132</v>
      </c>
      <c r="G35" s="50" t="str">
        <f>IFERROR(IF(VLOOKUP(TableHandbook[[#This Row],[UDC]],TableAvailabilities[],2,FALSE)&gt;0,"Y",""),"")</f>
        <v>Y</v>
      </c>
      <c r="H35" s="50" t="str">
        <f>IFERROR(IF(VLOOKUP(TableHandbook[[#This Row],[UDC]],TableAvailabilities[],3,FALSE)&gt;0,"Y",""),"")</f>
        <v/>
      </c>
      <c r="I35" s="50" t="str">
        <f>IFERROR(IF(VLOOKUP(TableHandbook[[#This Row],[UDC]],TableAvailabilities[],4,FALSE)&gt;0,"Y",""),"")</f>
        <v>Y</v>
      </c>
      <c r="J35" s="50" t="str">
        <f>IFERROR(IF(VLOOKUP(TableHandbook[[#This Row],[UDC]],TableAvailabilities[],5,FALSE)&gt;0,"Y",""),"")</f>
        <v/>
      </c>
      <c r="K35" s="181"/>
      <c r="L35" s="182" t="str">
        <f>IFERROR(VLOOKUP(TableHandbook[[#This Row],[UDC]],TableOCDEVPLN[],7,FALSE),"")</f>
        <v/>
      </c>
      <c r="M35" s="182" t="str">
        <f>IFERROR(VLOOKUP(TableHandbook[[#This Row],[UDC]],TableOCGEOG1[],7,FALSE),"")</f>
        <v/>
      </c>
      <c r="N35" s="182" t="str">
        <f>IFERROR(VLOOKUP(TableHandbook[[#This Row],[UDC]],TableOMURPLAN2[],7,FALSE),"")</f>
        <v>Core</v>
      </c>
    </row>
    <row r="36" spans="1:14" x14ac:dyDescent="0.25">
      <c r="B36"/>
      <c r="E36"/>
    </row>
    <row r="37" spans="1:14" x14ac:dyDescent="0.25">
      <c r="B37"/>
      <c r="E37"/>
    </row>
    <row r="38" spans="1:14" x14ac:dyDescent="0.25">
      <c r="B38"/>
      <c r="E38"/>
    </row>
    <row r="39" spans="1:14" x14ac:dyDescent="0.25">
      <c r="B39"/>
      <c r="E39"/>
    </row>
    <row r="40" spans="1:14" x14ac:dyDescent="0.25">
      <c r="B40"/>
      <c r="E40"/>
    </row>
    <row r="41" spans="1:14" x14ac:dyDescent="0.25">
      <c r="B41"/>
      <c r="E41"/>
    </row>
    <row r="42" spans="1:14" x14ac:dyDescent="0.25">
      <c r="B42"/>
      <c r="E42"/>
    </row>
    <row r="43" spans="1:14" x14ac:dyDescent="0.25">
      <c r="B43"/>
      <c r="E43"/>
    </row>
    <row r="44" spans="1:14" x14ac:dyDescent="0.25">
      <c r="B44"/>
      <c r="E44"/>
    </row>
    <row r="45" spans="1:14" x14ac:dyDescent="0.25">
      <c r="B45"/>
      <c r="E45"/>
    </row>
    <row r="46" spans="1:14" x14ac:dyDescent="0.25">
      <c r="B46"/>
      <c r="E46"/>
    </row>
    <row r="47" spans="1:14" x14ac:dyDescent="0.25">
      <c r="B47"/>
      <c r="E47"/>
    </row>
    <row r="48" spans="1:14" x14ac:dyDescent="0.25">
      <c r="B48"/>
      <c r="E48"/>
    </row>
    <row r="49" spans="2:5" x14ac:dyDescent="0.25">
      <c r="B49"/>
      <c r="E49"/>
    </row>
    <row r="50" spans="2:5" x14ac:dyDescent="0.25">
      <c r="B50"/>
      <c r="E50"/>
    </row>
    <row r="51" spans="2:5" x14ac:dyDescent="0.25">
      <c r="B51"/>
    </row>
    <row r="52" spans="2:5" x14ac:dyDescent="0.25">
      <c r="B52"/>
    </row>
    <row r="53" spans="2:5" x14ac:dyDescent="0.25">
      <c r="B53"/>
    </row>
    <row r="54" spans="2:5" x14ac:dyDescent="0.25">
      <c r="B54"/>
    </row>
    <row r="55" spans="2:5" x14ac:dyDescent="0.25">
      <c r="B55"/>
    </row>
    <row r="56" spans="2:5" x14ac:dyDescent="0.25">
      <c r="B56"/>
    </row>
    <row r="57" spans="2:5" x14ac:dyDescent="0.25">
      <c r="B57"/>
    </row>
    <row r="58" spans="2:5" x14ac:dyDescent="0.25">
      <c r="B58"/>
    </row>
    <row r="59" spans="2:5" x14ac:dyDescent="0.25">
      <c r="B59"/>
    </row>
    <row r="60" spans="2:5" x14ac:dyDescent="0.25">
      <c r="B60"/>
    </row>
    <row r="61" spans="2:5" x14ac:dyDescent="0.25">
      <c r="B61"/>
    </row>
    <row r="62" spans="2:5" x14ac:dyDescent="0.25">
      <c r="B62"/>
    </row>
    <row r="63" spans="2:5" x14ac:dyDescent="0.25">
      <c r="B63"/>
    </row>
    <row r="64" spans="2:5" x14ac:dyDescent="0.25">
      <c r="B64"/>
    </row>
    <row r="65" spans="2:2" x14ac:dyDescent="0.25">
      <c r="B65"/>
    </row>
    <row r="66" spans="2:2" x14ac:dyDescent="0.25">
      <c r="B66"/>
    </row>
    <row r="67" spans="2:2" x14ac:dyDescent="0.25">
      <c r="B67"/>
    </row>
    <row r="68" spans="2:2" x14ac:dyDescent="0.25">
      <c r="B68"/>
    </row>
    <row r="69" spans="2:2" x14ac:dyDescent="0.25">
      <c r="B69"/>
    </row>
    <row r="70" spans="2:2" x14ac:dyDescent="0.25">
      <c r="B70"/>
    </row>
    <row r="71" spans="2:2" x14ac:dyDescent="0.25">
      <c r="B71"/>
    </row>
    <row r="72" spans="2:2" x14ac:dyDescent="0.25">
      <c r="B72"/>
    </row>
    <row r="73" spans="2:2" x14ac:dyDescent="0.25">
      <c r="B73"/>
    </row>
    <row r="74" spans="2:2" x14ac:dyDescent="0.25">
      <c r="B74"/>
    </row>
    <row r="75" spans="2:2" x14ac:dyDescent="0.25">
      <c r="B75"/>
    </row>
    <row r="76" spans="2:2" x14ac:dyDescent="0.25">
      <c r="B76"/>
    </row>
    <row r="77" spans="2:2" x14ac:dyDescent="0.25">
      <c r="B77"/>
    </row>
  </sheetData>
  <sortState xmlns:xlrd2="http://schemas.microsoft.com/office/spreadsheetml/2017/richdata2" ref="A24:D37">
    <sortCondition ref="A24"/>
  </sortState>
  <pageMargins left="0.7" right="0.7" top="0.75" bottom="0.75" header="0.3" footer="0.3"/>
  <pageSetup paperSize="9" orientation="portrait"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R44"/>
  <sheetViews>
    <sheetView zoomScale="70" zoomScaleNormal="70" workbookViewId="0">
      <selection activeCell="D5" sqref="D5"/>
    </sheetView>
  </sheetViews>
  <sheetFormatPr defaultRowHeight="15.75" x14ac:dyDescent="0.25"/>
  <cols>
    <col min="1" max="1" width="13.5" bestFit="1" customWidth="1"/>
    <col min="2" max="2" width="10" bestFit="1" customWidth="1"/>
    <col min="3" max="3" width="12" bestFit="1" customWidth="1"/>
    <col min="4" max="4" width="54.5" bestFit="1" customWidth="1"/>
    <col min="5" max="5" width="6.25" customWidth="1"/>
    <col min="6" max="6" width="11" bestFit="1" customWidth="1"/>
    <col min="7" max="7" width="18.5" bestFit="1" customWidth="1"/>
    <col min="8" max="8" width="12" bestFit="1" customWidth="1"/>
    <col min="9" max="9" width="14.5" bestFit="1" customWidth="1"/>
    <col min="10" max="10" width="21.125" bestFit="1" customWidth="1"/>
    <col min="11" max="11" width="6.25" bestFit="1" customWidth="1"/>
    <col min="12" max="12" width="54.25" bestFit="1" customWidth="1"/>
    <col min="13" max="13" width="14.375" bestFit="1" customWidth="1"/>
    <col min="14" max="16" width="14.375" customWidth="1"/>
    <col min="17" max="17" width="10.125" bestFit="1" customWidth="1"/>
    <col min="18" max="18" width="7.125" bestFit="1" customWidth="1"/>
  </cols>
  <sheetData>
    <row r="1" spans="1:18" ht="16.5" thickBot="1" x14ac:dyDescent="0.3">
      <c r="F1" s="43"/>
      <c r="G1" s="47" t="s">
        <v>188</v>
      </c>
      <c r="H1" s="218">
        <v>42005</v>
      </c>
      <c r="I1" s="43"/>
      <c r="J1" s="219" t="s">
        <v>74</v>
      </c>
      <c r="K1" s="219" t="s">
        <v>75</v>
      </c>
      <c r="L1" s="43" t="s">
        <v>35</v>
      </c>
      <c r="M1" s="48"/>
      <c r="N1" s="69" t="s">
        <v>189</v>
      </c>
      <c r="O1" s="68">
        <v>45555</v>
      </c>
      <c r="P1" s="217">
        <v>45292</v>
      </c>
    </row>
    <row r="2" spans="1:18" x14ac:dyDescent="0.25">
      <c r="A2" s="31" t="s">
        <v>0</v>
      </c>
      <c r="B2" s="32" t="s">
        <v>190</v>
      </c>
      <c r="C2" s="32" t="s">
        <v>19</v>
      </c>
      <c r="D2" s="32" t="s">
        <v>3</v>
      </c>
      <c r="E2" s="33" t="s">
        <v>191</v>
      </c>
      <c r="F2" s="34" t="s">
        <v>192</v>
      </c>
      <c r="G2" s="34" t="s">
        <v>193</v>
      </c>
      <c r="H2" s="34" t="s">
        <v>194</v>
      </c>
      <c r="I2" s="34" t="s">
        <v>20</v>
      </c>
      <c r="J2" s="34" t="s">
        <v>195</v>
      </c>
      <c r="K2" s="34" t="s">
        <v>1</v>
      </c>
      <c r="L2" s="34" t="s">
        <v>196</v>
      </c>
      <c r="M2" s="34" t="s">
        <v>72</v>
      </c>
      <c r="N2" s="34" t="s">
        <v>197</v>
      </c>
      <c r="O2" s="34" t="s">
        <v>198</v>
      </c>
      <c r="P2" s="34"/>
      <c r="Q2" t="s">
        <v>199</v>
      </c>
      <c r="R2" t="s">
        <v>1</v>
      </c>
    </row>
    <row r="3" spans="1:18" x14ac:dyDescent="0.25">
      <c r="A3" s="35" t="str">
        <f>TableOCDEVPLN[[#This Row],[Study Package Code]]</f>
        <v>URDE5014</v>
      </c>
      <c r="B3" s="41">
        <f>TableOCDEVPLN[[#This Row],[Ver]]</f>
        <v>2</v>
      </c>
      <c r="C3" s="41" t="str">
        <f>LEFT(TableOCDEVPLN[[#This Row],[Structure Line]],6)</f>
        <v>URP540</v>
      </c>
      <c r="D3" s="34" t="str">
        <f>MID(TableOCDEVPLN[[#This Row],[Structure Line]],8,LEN(TableOCDEVPLN[[#This Row],[Structure Line]]))</f>
        <v>Introduction to Planning</v>
      </c>
      <c r="E3" s="36">
        <f>TableOCDEVPLN[[#This Row],[Credit Points]]</f>
        <v>25</v>
      </c>
      <c r="F3" s="34">
        <v>1</v>
      </c>
      <c r="G3" s="34" t="s">
        <v>200</v>
      </c>
      <c r="H3" s="34">
        <v>0</v>
      </c>
      <c r="I3" s="34" t="s">
        <v>201</v>
      </c>
      <c r="J3" s="34" t="s">
        <v>54</v>
      </c>
      <c r="K3" s="34">
        <v>2</v>
      </c>
      <c r="L3" s="34" t="s">
        <v>202</v>
      </c>
      <c r="M3" s="34">
        <v>25</v>
      </c>
      <c r="N3" s="70">
        <v>42552</v>
      </c>
      <c r="O3" s="70"/>
      <c r="P3" s="34"/>
      <c r="Q3" t="s">
        <v>54</v>
      </c>
      <c r="R3">
        <v>2</v>
      </c>
    </row>
    <row r="4" spans="1:18" x14ac:dyDescent="0.25">
      <c r="A4" s="35" t="str">
        <f>TableOCDEVPLN[[#This Row],[Study Package Code]]</f>
        <v>URDE5030</v>
      </c>
      <c r="B4" s="41">
        <f>TableOCDEVPLN[[#This Row],[Ver]]</f>
        <v>1</v>
      </c>
      <c r="C4" s="41" t="str">
        <f>LEFT(TableOCDEVPLN[[#This Row],[Structure Line]],6)</f>
        <v>URP505</v>
      </c>
      <c r="D4" s="34" t="str">
        <f>MID(TableOCDEVPLN[[#This Row],[Structure Line]],8,LEN(TableOCDEVPLN[[#This Row],[Structure Line]]))</f>
        <v>Governance for Planning</v>
      </c>
      <c r="E4" s="36">
        <f>TableOCDEVPLN[[#This Row],[Credit Points]]</f>
        <v>25</v>
      </c>
      <c r="F4" s="34">
        <v>2</v>
      </c>
      <c r="G4" s="34" t="s">
        <v>200</v>
      </c>
      <c r="H4" s="34">
        <v>0</v>
      </c>
      <c r="I4" s="34" t="s">
        <v>201</v>
      </c>
      <c r="J4" s="34" t="s">
        <v>52</v>
      </c>
      <c r="K4" s="34">
        <v>1</v>
      </c>
      <c r="L4" s="34" t="s">
        <v>203</v>
      </c>
      <c r="M4" s="34">
        <v>25</v>
      </c>
      <c r="N4" s="70">
        <v>42736</v>
      </c>
      <c r="O4" s="70"/>
      <c r="P4" s="34"/>
      <c r="Q4" t="s">
        <v>52</v>
      </c>
      <c r="R4">
        <v>1</v>
      </c>
    </row>
    <row r="5" spans="1:18" x14ac:dyDescent="0.25">
      <c r="A5" s="35" t="str">
        <f>TableOCDEVPLN[[#This Row],[Study Package Code]]</f>
        <v>GEOG5000</v>
      </c>
      <c r="B5" s="41">
        <f>TableOCDEVPLN[[#This Row],[Ver]]</f>
        <v>1</v>
      </c>
      <c r="C5" s="41" t="str">
        <f>LEFT(TableOCDEVPLN[[#This Row],[Structure Line]],6)</f>
        <v>GPH510</v>
      </c>
      <c r="D5" s="34" t="str">
        <f>MID(TableOCDEVPLN[[#This Row],[Structure Line]],8,LEN(TableOCDEVPLN[[#This Row],[Structure Line]]))</f>
        <v>Human Geography</v>
      </c>
      <c r="E5" s="36">
        <f>TableOCDEVPLN[[#This Row],[Credit Points]]</f>
        <v>25</v>
      </c>
      <c r="F5" s="34">
        <v>3</v>
      </c>
      <c r="G5" s="34" t="s">
        <v>200</v>
      </c>
      <c r="H5" s="34">
        <v>0</v>
      </c>
      <c r="I5" s="34" t="s">
        <v>201</v>
      </c>
      <c r="J5" s="34" t="s">
        <v>57</v>
      </c>
      <c r="K5" s="34">
        <v>1</v>
      </c>
      <c r="L5" s="34" t="s">
        <v>204</v>
      </c>
      <c r="M5" s="34">
        <v>25</v>
      </c>
      <c r="N5" s="70">
        <v>42005</v>
      </c>
      <c r="O5" s="70"/>
      <c r="P5" s="34"/>
      <c r="Q5" t="s">
        <v>57</v>
      </c>
      <c r="R5">
        <v>1</v>
      </c>
    </row>
    <row r="6" spans="1:18" ht="16.5" thickBot="1" x14ac:dyDescent="0.3">
      <c r="A6" s="37" t="str">
        <f>TableOCDEVPLN[[#This Row],[Study Package Code]]</f>
        <v>URDE5031</v>
      </c>
      <c r="B6" s="38">
        <f>TableOCDEVPLN[[#This Row],[Ver]]</f>
        <v>2</v>
      </c>
      <c r="C6" s="38" t="str">
        <f>LEFT(TableOCDEVPLN[[#This Row],[Structure Line]],6)</f>
        <v>URP515</v>
      </c>
      <c r="D6" s="39" t="str">
        <f>MID(TableOCDEVPLN[[#This Row],[Structure Line]],8,LEN(TableOCDEVPLN[[#This Row],[Structure Line]]))</f>
        <v>Development Outcomes</v>
      </c>
      <c r="E6" s="40">
        <f>TableOCDEVPLN[[#This Row],[Credit Points]]</f>
        <v>25</v>
      </c>
      <c r="F6" s="34">
        <v>4</v>
      </c>
      <c r="G6" s="34" t="s">
        <v>200</v>
      </c>
      <c r="H6" s="34">
        <v>0</v>
      </c>
      <c r="I6" s="34" t="s">
        <v>201</v>
      </c>
      <c r="J6" s="34" t="s">
        <v>62</v>
      </c>
      <c r="K6" s="34">
        <v>2</v>
      </c>
      <c r="L6" s="34" t="s">
        <v>205</v>
      </c>
      <c r="M6" s="34">
        <v>25</v>
      </c>
      <c r="N6" s="70">
        <v>45383</v>
      </c>
      <c r="O6" s="70"/>
      <c r="P6" s="34"/>
      <c r="Q6" t="s">
        <v>62</v>
      </c>
      <c r="R6">
        <v>2</v>
      </c>
    </row>
    <row r="7" spans="1:18" x14ac:dyDescent="0.25">
      <c r="A7" s="34"/>
      <c r="B7" s="41"/>
      <c r="C7" s="41"/>
      <c r="D7" s="34"/>
      <c r="E7" s="41"/>
      <c r="F7" s="34"/>
      <c r="G7" s="34"/>
      <c r="H7" s="34"/>
      <c r="I7" s="34"/>
      <c r="J7" s="34"/>
      <c r="K7" s="34"/>
      <c r="L7" s="34"/>
      <c r="M7" s="34"/>
      <c r="N7" s="34"/>
      <c r="O7" s="34"/>
      <c r="P7" s="34"/>
    </row>
    <row r="8" spans="1:18" ht="16.5" thickBot="1" x14ac:dyDescent="0.3">
      <c r="F8" s="43"/>
      <c r="G8" s="47" t="s">
        <v>188</v>
      </c>
      <c r="H8" s="218">
        <v>44197</v>
      </c>
      <c r="I8" s="43"/>
      <c r="J8" s="219" t="s">
        <v>79</v>
      </c>
      <c r="K8" s="219" t="s">
        <v>80</v>
      </c>
      <c r="L8" s="43" t="s">
        <v>78</v>
      </c>
      <c r="M8" s="48"/>
      <c r="N8" s="69" t="s">
        <v>189</v>
      </c>
      <c r="O8" s="68">
        <v>45555</v>
      </c>
      <c r="P8" s="48"/>
    </row>
    <row r="9" spans="1:18" x14ac:dyDescent="0.25">
      <c r="A9" s="31" t="s">
        <v>0</v>
      </c>
      <c r="B9" s="32" t="s">
        <v>190</v>
      </c>
      <c r="C9" s="32" t="s">
        <v>19</v>
      </c>
      <c r="D9" s="32" t="s">
        <v>3</v>
      </c>
      <c r="E9" s="33" t="s">
        <v>191</v>
      </c>
      <c r="F9" s="34" t="s">
        <v>192</v>
      </c>
      <c r="G9" s="34" t="s">
        <v>193</v>
      </c>
      <c r="H9" s="34" t="s">
        <v>194</v>
      </c>
      <c r="I9" s="34" t="s">
        <v>20</v>
      </c>
      <c r="J9" s="34" t="s">
        <v>195</v>
      </c>
      <c r="K9" s="34" t="s">
        <v>1</v>
      </c>
      <c r="L9" s="34" t="s">
        <v>196</v>
      </c>
      <c r="M9" s="34" t="s">
        <v>72</v>
      </c>
      <c r="N9" s="34" t="s">
        <v>197</v>
      </c>
      <c r="O9" s="34" t="s">
        <v>198</v>
      </c>
      <c r="P9" s="34"/>
      <c r="Q9" t="s">
        <v>199</v>
      </c>
      <c r="R9" t="s">
        <v>1</v>
      </c>
    </row>
    <row r="10" spans="1:18" x14ac:dyDescent="0.25">
      <c r="A10" s="35" t="str">
        <f>TableOCDVPLC1[[#This Row],[Study Package Code]]</f>
        <v>GEOG5000</v>
      </c>
      <c r="B10" s="41">
        <f>TableOCDVPLC1[[#This Row],[Ver]]</f>
        <v>1</v>
      </c>
      <c r="C10" s="41" t="str">
        <f>LEFT(TableOCDVPLC1[[#This Row],[Structure Line]],6)</f>
        <v>GPH510</v>
      </c>
      <c r="D10" s="34" t="str">
        <f>MID(TableOCDVPLC1[[#This Row],[Structure Line]],8,LEN(TableOCDVPLC1[[#This Row],[Structure Line]]))</f>
        <v>Human Geography</v>
      </c>
      <c r="E10" s="36">
        <f>TableOCDVPLC1[[#This Row],[Credit Points]]</f>
        <v>25</v>
      </c>
      <c r="F10" s="34">
        <v>1</v>
      </c>
      <c r="G10" s="34" t="s">
        <v>200</v>
      </c>
      <c r="H10" s="34">
        <v>1</v>
      </c>
      <c r="I10" s="34" t="s">
        <v>201</v>
      </c>
      <c r="J10" s="34" t="s">
        <v>57</v>
      </c>
      <c r="K10" s="34">
        <v>1</v>
      </c>
      <c r="L10" s="34" t="s">
        <v>204</v>
      </c>
      <c r="M10" s="34">
        <v>25</v>
      </c>
      <c r="N10" s="70">
        <v>42005</v>
      </c>
      <c r="O10" s="70"/>
      <c r="P10" s="34"/>
      <c r="Q10" t="s">
        <v>57</v>
      </c>
      <c r="R10">
        <v>1</v>
      </c>
    </row>
    <row r="11" spans="1:18" x14ac:dyDescent="0.25">
      <c r="A11" s="35" t="str">
        <f>TableOCDVPLC1[[#This Row],[Study Package Code]]</f>
        <v>URDE5030</v>
      </c>
      <c r="B11" s="41">
        <f>TableOCDVPLC1[[#This Row],[Ver]]</f>
        <v>1</v>
      </c>
      <c r="C11" s="41" t="str">
        <f>LEFT(TableOCDVPLC1[[#This Row],[Structure Line]],6)</f>
        <v>URP505</v>
      </c>
      <c r="D11" s="34" t="str">
        <f>MID(TableOCDVPLC1[[#This Row],[Structure Line]],8,LEN(TableOCDVPLC1[[#This Row],[Structure Line]]))</f>
        <v>Governance for Planning</v>
      </c>
      <c r="E11" s="36">
        <f>TableOCDVPLC1[[#This Row],[Credit Points]]</f>
        <v>25</v>
      </c>
      <c r="F11" s="34">
        <v>2</v>
      </c>
      <c r="G11" s="34" t="s">
        <v>200</v>
      </c>
      <c r="H11" s="34">
        <v>1</v>
      </c>
      <c r="I11" s="34" t="s">
        <v>201</v>
      </c>
      <c r="J11" s="34" t="s">
        <v>52</v>
      </c>
      <c r="K11" s="34">
        <v>1</v>
      </c>
      <c r="L11" s="34" t="s">
        <v>203</v>
      </c>
      <c r="M11" s="34">
        <v>25</v>
      </c>
      <c r="N11" s="70">
        <v>42736</v>
      </c>
      <c r="O11" s="70"/>
      <c r="P11" s="34"/>
      <c r="Q11" t="s">
        <v>52</v>
      </c>
      <c r="R11">
        <v>1</v>
      </c>
    </row>
    <row r="12" spans="1:18" x14ac:dyDescent="0.25">
      <c r="A12" s="35" t="str">
        <f>TableOCDVPLC1[[#This Row],[Study Package Code]]</f>
        <v>URDE5031</v>
      </c>
      <c r="B12" s="41">
        <f>TableOCDVPLC1[[#This Row],[Ver]]</f>
        <v>2</v>
      </c>
      <c r="C12" s="41" t="str">
        <f>LEFT(TableOCDVPLC1[[#This Row],[Structure Line]],6)</f>
        <v>URP515</v>
      </c>
      <c r="D12" s="34" t="str">
        <f>MID(TableOCDVPLC1[[#This Row],[Structure Line]],8,LEN(TableOCDVPLC1[[#This Row],[Structure Line]]))</f>
        <v>Development Outcomes</v>
      </c>
      <c r="E12" s="36">
        <f>TableOCDVPLC1[[#This Row],[Credit Points]]</f>
        <v>25</v>
      </c>
      <c r="F12" s="34">
        <v>3</v>
      </c>
      <c r="G12" s="34" t="s">
        <v>200</v>
      </c>
      <c r="H12" s="34">
        <v>1</v>
      </c>
      <c r="I12" s="34" t="s">
        <v>201</v>
      </c>
      <c r="J12" s="34" t="s">
        <v>62</v>
      </c>
      <c r="K12" s="34">
        <v>2</v>
      </c>
      <c r="L12" s="34" t="s">
        <v>205</v>
      </c>
      <c r="M12" s="34">
        <v>25</v>
      </c>
      <c r="N12" s="70">
        <v>45383</v>
      </c>
      <c r="O12" s="70"/>
      <c r="P12" s="34"/>
      <c r="Q12" t="s">
        <v>62</v>
      </c>
      <c r="R12">
        <v>2</v>
      </c>
    </row>
    <row r="13" spans="1:18" ht="16.5" thickBot="1" x14ac:dyDescent="0.3">
      <c r="A13" s="37" t="str">
        <f>TableOCDVPLC1[[#This Row],[Study Package Code]]</f>
        <v>URDE5014</v>
      </c>
      <c r="B13" s="38">
        <f>TableOCDVPLC1[[#This Row],[Ver]]</f>
        <v>2</v>
      </c>
      <c r="C13" s="38" t="str">
        <f>LEFT(TableOCDVPLC1[[#This Row],[Structure Line]],6)</f>
        <v>URP540</v>
      </c>
      <c r="D13" s="39" t="str">
        <f>MID(TableOCDVPLC1[[#This Row],[Structure Line]],8,LEN(TableOCDVPLC1[[#This Row],[Structure Line]]))</f>
        <v>Introduction to Planning</v>
      </c>
      <c r="E13" s="40">
        <f>TableOCDVPLC1[[#This Row],[Credit Points]]</f>
        <v>25</v>
      </c>
      <c r="F13" s="34">
        <v>4</v>
      </c>
      <c r="G13" s="34" t="s">
        <v>200</v>
      </c>
      <c r="H13" s="34">
        <v>1</v>
      </c>
      <c r="I13" s="34" t="s">
        <v>201</v>
      </c>
      <c r="J13" s="34" t="s">
        <v>54</v>
      </c>
      <c r="K13" s="34">
        <v>2</v>
      </c>
      <c r="L13" s="34" t="s">
        <v>202</v>
      </c>
      <c r="M13" s="34">
        <v>25</v>
      </c>
      <c r="N13" s="70">
        <v>42552</v>
      </c>
      <c r="O13" s="70"/>
      <c r="P13" s="34"/>
      <c r="Q13" t="s">
        <v>54</v>
      </c>
      <c r="R13">
        <v>2</v>
      </c>
    </row>
    <row r="14" spans="1:18" x14ac:dyDescent="0.25">
      <c r="A14" s="34"/>
      <c r="B14" s="41"/>
      <c r="C14" s="41"/>
      <c r="D14" s="34"/>
      <c r="E14" s="41"/>
      <c r="F14" s="34"/>
      <c r="G14" s="34"/>
      <c r="H14" s="34"/>
      <c r="I14" s="34"/>
      <c r="J14" s="34"/>
      <c r="K14" s="34"/>
      <c r="L14" s="34"/>
      <c r="M14" s="34"/>
      <c r="N14" s="34"/>
      <c r="O14" s="34"/>
      <c r="P14" s="34"/>
    </row>
    <row r="15" spans="1:18" ht="16.5" thickBot="1" x14ac:dyDescent="0.3">
      <c r="F15" s="43"/>
      <c r="G15" s="47" t="s">
        <v>188</v>
      </c>
      <c r="H15" s="218">
        <v>42644</v>
      </c>
      <c r="I15" s="43"/>
      <c r="J15" s="219" t="s">
        <v>84</v>
      </c>
      <c r="K15" s="219" t="s">
        <v>80</v>
      </c>
      <c r="L15" s="43" t="s">
        <v>36</v>
      </c>
      <c r="M15" s="48"/>
      <c r="N15" s="69" t="s">
        <v>189</v>
      </c>
      <c r="O15" s="68">
        <v>45555</v>
      </c>
      <c r="P15" s="48"/>
    </row>
    <row r="16" spans="1:18" x14ac:dyDescent="0.25">
      <c r="A16" s="31" t="s">
        <v>0</v>
      </c>
      <c r="B16" s="32" t="s">
        <v>190</v>
      </c>
      <c r="C16" s="32" t="s">
        <v>19</v>
      </c>
      <c r="D16" s="32" t="s">
        <v>3</v>
      </c>
      <c r="E16" s="33" t="s">
        <v>191</v>
      </c>
      <c r="F16" s="34" t="s">
        <v>192</v>
      </c>
      <c r="G16" s="34" t="s">
        <v>193</v>
      </c>
      <c r="H16" s="34" t="s">
        <v>194</v>
      </c>
      <c r="I16" s="34" t="s">
        <v>20</v>
      </c>
      <c r="J16" s="34" t="s">
        <v>195</v>
      </c>
      <c r="K16" s="34" t="s">
        <v>1</v>
      </c>
      <c r="L16" s="34" t="s">
        <v>196</v>
      </c>
      <c r="M16" s="34" t="s">
        <v>72</v>
      </c>
      <c r="N16" s="34" t="s">
        <v>197</v>
      </c>
      <c r="O16" s="34" t="s">
        <v>198</v>
      </c>
      <c r="P16" s="34"/>
      <c r="Q16" t="s">
        <v>199</v>
      </c>
      <c r="R16" t="s">
        <v>1</v>
      </c>
    </row>
    <row r="17" spans="1:18" x14ac:dyDescent="0.25">
      <c r="A17" s="35" t="str">
        <f>TableOCGEOG1[[#This Row],[Study Package Code]]</f>
        <v>GEOG5000</v>
      </c>
      <c r="B17" s="41">
        <f>TableOCGEOG1[[#This Row],[Ver]]</f>
        <v>1</v>
      </c>
      <c r="C17" s="41" t="str">
        <f>LEFT(TableOCGEOG1[[#This Row],[Structure Line]],6)</f>
        <v>GPH510</v>
      </c>
      <c r="D17" s="34" t="str">
        <f>MID(TableOCGEOG1[[#This Row],[Structure Line]],8,LEN(TableOCGEOG1[[#This Row],[Structure Line]]))</f>
        <v>Human Geography</v>
      </c>
      <c r="E17" s="36">
        <f>TableOCGEOG1[[#This Row],[Credit Points]]</f>
        <v>25</v>
      </c>
      <c r="F17" s="34">
        <v>1</v>
      </c>
      <c r="G17" s="34" t="s">
        <v>200</v>
      </c>
      <c r="H17" s="34">
        <v>1</v>
      </c>
      <c r="I17" s="34" t="s">
        <v>201</v>
      </c>
      <c r="J17" s="34" t="s">
        <v>57</v>
      </c>
      <c r="K17" s="34">
        <v>1</v>
      </c>
      <c r="L17" s="34" t="s">
        <v>204</v>
      </c>
      <c r="M17" s="34">
        <v>25</v>
      </c>
      <c r="N17" s="70">
        <v>42005</v>
      </c>
      <c r="O17" s="70"/>
      <c r="P17" s="34"/>
      <c r="Q17" t="s">
        <v>57</v>
      </c>
      <c r="R17">
        <v>1</v>
      </c>
    </row>
    <row r="18" spans="1:18" x14ac:dyDescent="0.25">
      <c r="A18" s="35" t="str">
        <f>TableOCGEOG1[[#This Row],[Study Package Code]]</f>
        <v>GEOG5002</v>
      </c>
      <c r="B18" s="41">
        <f>TableOCGEOG1[[#This Row],[Ver]]</f>
        <v>1</v>
      </c>
      <c r="C18" s="41" t="str">
        <f>LEFT(TableOCGEOG1[[#This Row],[Structure Line]],6)</f>
        <v>GPH512</v>
      </c>
      <c r="D18" s="34" t="str">
        <f>MID(TableOCGEOG1[[#This Row],[Structure Line]],8,LEN(TableOCGEOG1[[#This Row],[Structure Line]]))</f>
        <v xml:space="preserve"> Physical Geography</v>
      </c>
      <c r="E18" s="36">
        <f>TableOCGEOG1[[#This Row],[Credit Points]]</f>
        <v>25</v>
      </c>
      <c r="F18" s="34">
        <v>2</v>
      </c>
      <c r="G18" s="34" t="s">
        <v>200</v>
      </c>
      <c r="H18" s="34">
        <v>1</v>
      </c>
      <c r="I18" s="34" t="s">
        <v>201</v>
      </c>
      <c r="J18" s="34" t="s">
        <v>58</v>
      </c>
      <c r="K18" s="34">
        <v>1</v>
      </c>
      <c r="L18" s="34" t="s">
        <v>206</v>
      </c>
      <c r="M18" s="34">
        <v>25</v>
      </c>
      <c r="N18" s="70">
        <v>42005</v>
      </c>
      <c r="O18" s="70"/>
      <c r="P18" s="34"/>
      <c r="Q18" t="s">
        <v>58</v>
      </c>
      <c r="R18">
        <v>1</v>
      </c>
    </row>
    <row r="19" spans="1:18" x14ac:dyDescent="0.25">
      <c r="A19" s="35" t="str">
        <f>TableOCGEOG1[[#This Row],[Study Package Code]]</f>
        <v>GEOG5003</v>
      </c>
      <c r="B19" s="41">
        <f>TableOCGEOG1[[#This Row],[Ver]]</f>
        <v>1</v>
      </c>
      <c r="C19" s="41" t="str">
        <f>LEFT(TableOCGEOG1[[#This Row],[Structure Line]],6)</f>
        <v>GPH514</v>
      </c>
      <c r="D19" s="34" t="str">
        <f>MID(TableOCGEOG1[[#This Row],[Structure Line]],8,LEN(TableOCGEOG1[[#This Row],[Structure Line]]))</f>
        <v>Geographies of Food Security</v>
      </c>
      <c r="E19" s="36">
        <f>TableOCGEOG1[[#This Row],[Credit Points]]</f>
        <v>25</v>
      </c>
      <c r="F19" s="34">
        <v>3</v>
      </c>
      <c r="G19" s="34" t="s">
        <v>200</v>
      </c>
      <c r="H19" s="34">
        <v>1</v>
      </c>
      <c r="I19" s="34" t="s">
        <v>201</v>
      </c>
      <c r="J19" s="34" t="s">
        <v>64</v>
      </c>
      <c r="K19" s="34">
        <v>1</v>
      </c>
      <c r="L19" s="34" t="s">
        <v>207</v>
      </c>
      <c r="M19" s="34">
        <v>25</v>
      </c>
      <c r="N19" s="70">
        <v>42005</v>
      </c>
      <c r="O19" s="70"/>
      <c r="P19" s="34"/>
      <c r="Q19" t="s">
        <v>64</v>
      </c>
      <c r="R19">
        <v>1</v>
      </c>
    </row>
    <row r="20" spans="1:18" ht="16.5" thickBot="1" x14ac:dyDescent="0.3">
      <c r="A20" s="37" t="str">
        <f>TableOCGEOG1[[#This Row],[Study Package Code]]</f>
        <v>GEOG5004</v>
      </c>
      <c r="B20" s="38">
        <f>TableOCGEOG1[[#This Row],[Ver]]</f>
        <v>2</v>
      </c>
      <c r="C20" s="38" t="str">
        <f>LEFT(TableOCGEOG1[[#This Row],[Structure Line]],6)</f>
        <v>GPH513</v>
      </c>
      <c r="D20" s="39" t="str">
        <f>MID(TableOCGEOG1[[#This Row],[Structure Line]],8,LEN(TableOCGEOG1[[#This Row],[Structure Line]]))</f>
        <v>Urban Geographies</v>
      </c>
      <c r="E20" s="40">
        <f>TableOCGEOG1[[#This Row],[Credit Points]]</f>
        <v>25</v>
      </c>
      <c r="F20" s="34">
        <v>4</v>
      </c>
      <c r="G20" s="34" t="s">
        <v>200</v>
      </c>
      <c r="H20" s="34">
        <v>1</v>
      </c>
      <c r="I20" s="34" t="s">
        <v>201</v>
      </c>
      <c r="J20" s="34" t="s">
        <v>63</v>
      </c>
      <c r="K20" s="34">
        <v>2</v>
      </c>
      <c r="L20" s="34" t="s">
        <v>208</v>
      </c>
      <c r="M20" s="34">
        <v>25</v>
      </c>
      <c r="N20" s="70">
        <v>44562</v>
      </c>
      <c r="O20" s="70"/>
      <c r="P20" s="34"/>
      <c r="Q20" t="s">
        <v>63</v>
      </c>
      <c r="R20">
        <v>2</v>
      </c>
    </row>
    <row r="21" spans="1:18" x14ac:dyDescent="0.25">
      <c r="A21" s="34"/>
      <c r="B21" s="41"/>
      <c r="C21" s="41"/>
      <c r="D21" s="34"/>
      <c r="E21" s="41"/>
      <c r="F21" s="34"/>
      <c r="G21" s="34"/>
      <c r="H21" s="34"/>
      <c r="I21" s="34"/>
      <c r="J21" s="34"/>
      <c r="K21" s="34"/>
      <c r="L21" s="34"/>
      <c r="M21" s="34"/>
      <c r="N21" s="34"/>
      <c r="O21" s="34"/>
      <c r="P21" s="34"/>
    </row>
    <row r="22" spans="1:18" ht="16.5" thickBot="1" x14ac:dyDescent="0.3">
      <c r="F22" s="43"/>
      <c r="G22" s="47" t="s">
        <v>188</v>
      </c>
      <c r="H22" s="218">
        <v>44562</v>
      </c>
      <c r="I22" s="43"/>
      <c r="J22" s="219" t="s">
        <v>86</v>
      </c>
      <c r="K22" s="219" t="s">
        <v>80</v>
      </c>
      <c r="L22" s="43" t="s">
        <v>11</v>
      </c>
      <c r="M22" s="48"/>
      <c r="N22" s="69" t="s">
        <v>189</v>
      </c>
      <c r="O22" s="68">
        <v>45555</v>
      </c>
      <c r="P22" s="48"/>
    </row>
    <row r="23" spans="1:18" x14ac:dyDescent="0.25">
      <c r="A23" s="31" t="s">
        <v>0</v>
      </c>
      <c r="B23" s="32" t="s">
        <v>190</v>
      </c>
      <c r="C23" s="32" t="s">
        <v>19</v>
      </c>
      <c r="D23" s="32" t="s">
        <v>3</v>
      </c>
      <c r="E23" s="33" t="s">
        <v>191</v>
      </c>
      <c r="F23" s="34" t="s">
        <v>192</v>
      </c>
      <c r="G23" s="34" t="s">
        <v>193</v>
      </c>
      <c r="H23" s="34" t="s">
        <v>194</v>
      </c>
      <c r="I23" s="34" t="s">
        <v>20</v>
      </c>
      <c r="J23" s="34" t="s">
        <v>195</v>
      </c>
      <c r="K23" s="34" t="s">
        <v>1</v>
      </c>
      <c r="L23" s="34" t="s">
        <v>196</v>
      </c>
      <c r="M23" s="34" t="s">
        <v>72</v>
      </c>
      <c r="N23" s="34" t="s">
        <v>197</v>
      </c>
      <c r="O23" s="34" t="s">
        <v>198</v>
      </c>
      <c r="P23" s="34"/>
      <c r="Q23" t="s">
        <v>199</v>
      </c>
      <c r="R23" t="s">
        <v>1</v>
      </c>
    </row>
    <row r="24" spans="1:18" x14ac:dyDescent="0.25">
      <c r="A24" s="35" t="str">
        <f>TableOMURPLAN2[[#This Row],[Study Package Code]]</f>
        <v>Option</v>
      </c>
      <c r="B24" s="41">
        <f>TableOMURPLAN2[[#This Row],[Ver]]</f>
        <v>0</v>
      </c>
      <c r="C24" s="41"/>
      <c r="D24" s="34" t="str">
        <f>TableOMURPLAN2[[#This Row],[Structure Line]]</f>
        <v>Choose an Option</v>
      </c>
      <c r="E24" s="36">
        <f>TableOMURPLAN2[[#This Row],[Credit Points]]</f>
        <v>25</v>
      </c>
      <c r="F24" s="34">
        <v>1</v>
      </c>
      <c r="G24" s="34" t="s">
        <v>98</v>
      </c>
      <c r="H24" s="34">
        <v>0</v>
      </c>
      <c r="I24" s="34" t="s">
        <v>201</v>
      </c>
      <c r="J24" s="34" t="s">
        <v>98</v>
      </c>
      <c r="K24" s="34">
        <v>0</v>
      </c>
      <c r="L24" s="34" t="s">
        <v>209</v>
      </c>
      <c r="M24" s="34">
        <v>25</v>
      </c>
      <c r="N24" s="70"/>
      <c r="O24" s="70"/>
      <c r="P24" s="34"/>
      <c r="Q24" t="s">
        <v>98</v>
      </c>
      <c r="R24">
        <v>0</v>
      </c>
    </row>
    <row r="25" spans="1:18" x14ac:dyDescent="0.25">
      <c r="A25" s="35" t="str">
        <f>TableOMURPLAN2[[#This Row],[Study Package Code]]</f>
        <v>URDE3010</v>
      </c>
      <c r="B25" s="41">
        <f>TableOMURPLAN2[[#This Row],[Ver]]</f>
        <v>1</v>
      </c>
      <c r="C25" s="41" t="str">
        <f>LEFT(TableOMURPLAN2[[#This Row],[Structure Line]],6)</f>
        <v>URP310</v>
      </c>
      <c r="D25" s="34" t="str">
        <f>MID(TableOMURPLAN2[[#This Row],[Structure Line]],8,LEN(TableOMURPLAN2[[#This Row],[Structure Line]]))</f>
        <v>Professional Practice in Urban and Regional Planning 1</v>
      </c>
      <c r="E25" s="36">
        <f>TableOMURPLAN2[[#This Row],[Credit Points]]</f>
        <v>25</v>
      </c>
      <c r="F25" s="34">
        <v>2</v>
      </c>
      <c r="G25" s="34" t="s">
        <v>200</v>
      </c>
      <c r="H25" s="34">
        <v>1</v>
      </c>
      <c r="I25" s="34" t="s">
        <v>201</v>
      </c>
      <c r="J25" s="34" t="s">
        <v>61</v>
      </c>
      <c r="K25" s="34">
        <v>1</v>
      </c>
      <c r="L25" s="34" t="s">
        <v>210</v>
      </c>
      <c r="M25" s="34">
        <v>25</v>
      </c>
      <c r="N25" s="70">
        <v>44562</v>
      </c>
      <c r="O25" s="70"/>
      <c r="P25" s="34"/>
      <c r="Q25" t="s">
        <v>61</v>
      </c>
      <c r="R25">
        <v>1</v>
      </c>
    </row>
    <row r="26" spans="1:18" x14ac:dyDescent="0.25">
      <c r="A26" s="35" t="str">
        <f>TableOMURPLAN2[[#This Row],[Study Package Code]]</f>
        <v>URDE5016</v>
      </c>
      <c r="B26" s="41">
        <f>TableOMURPLAN2[[#This Row],[Ver]]</f>
        <v>1</v>
      </c>
      <c r="C26" s="41" t="str">
        <f>LEFT(TableOMURPLAN2[[#This Row],[Structure Line]],6)</f>
        <v>URP500</v>
      </c>
      <c r="D26" s="34" t="str">
        <f>MID(TableOMURPLAN2[[#This Row],[Structure Line]],8,LEN(TableOMURPLAN2[[#This Row],[Structure Line]]))</f>
        <v>Planning Law</v>
      </c>
      <c r="E26" s="36">
        <f>TableOMURPLAN2[[#This Row],[Credit Points]]</f>
        <v>25</v>
      </c>
      <c r="F26" s="34">
        <v>3</v>
      </c>
      <c r="G26" s="34" t="s">
        <v>200</v>
      </c>
      <c r="H26" s="34">
        <v>1</v>
      </c>
      <c r="I26" s="34" t="s">
        <v>201</v>
      </c>
      <c r="J26" s="34" t="s">
        <v>59</v>
      </c>
      <c r="K26" s="34">
        <v>1</v>
      </c>
      <c r="L26" s="34" t="s">
        <v>211</v>
      </c>
      <c r="M26" s="34">
        <v>25</v>
      </c>
      <c r="N26" s="70">
        <v>42005</v>
      </c>
      <c r="O26" s="70"/>
      <c r="P26" s="34"/>
      <c r="Q26" t="s">
        <v>59</v>
      </c>
      <c r="R26">
        <v>1</v>
      </c>
    </row>
    <row r="27" spans="1:18" x14ac:dyDescent="0.25">
      <c r="A27" s="35" t="str">
        <f>TableOMURPLAN2[[#This Row],[Study Package Code]]</f>
        <v>URDE5017</v>
      </c>
      <c r="B27" s="41">
        <f>TableOMURPLAN2[[#This Row],[Ver]]</f>
        <v>2</v>
      </c>
      <c r="C27" s="41" t="str">
        <f>LEFT(TableOMURPLAN2[[#This Row],[Structure Line]],6)</f>
        <v>URP510</v>
      </c>
      <c r="D27" s="34" t="str">
        <f>MID(TableOMURPLAN2[[#This Row],[Structure Line]],8,LEN(TableOMURPLAN2[[#This Row],[Structure Line]]))</f>
        <v>Planning for Regions</v>
      </c>
      <c r="E27" s="36">
        <f>TableOMURPLAN2[[#This Row],[Credit Points]]</f>
        <v>25</v>
      </c>
      <c r="F27" s="34">
        <v>4</v>
      </c>
      <c r="G27" s="34" t="s">
        <v>200</v>
      </c>
      <c r="H27" s="34">
        <v>1</v>
      </c>
      <c r="I27" s="34" t="s">
        <v>201</v>
      </c>
      <c r="J27" s="34" t="s">
        <v>60</v>
      </c>
      <c r="K27" s="34">
        <v>2</v>
      </c>
      <c r="L27" s="34" t="s">
        <v>212</v>
      </c>
      <c r="M27" s="34">
        <v>25</v>
      </c>
      <c r="N27" s="70">
        <v>44197</v>
      </c>
      <c r="O27" s="70"/>
      <c r="P27" s="34"/>
      <c r="Q27" t="s">
        <v>60</v>
      </c>
      <c r="R27">
        <v>2</v>
      </c>
    </row>
    <row r="28" spans="1:18" x14ac:dyDescent="0.25">
      <c r="A28" s="35" t="str">
        <f>TableOMURPLAN2[[#This Row],[Study Package Code]]</f>
        <v>URDE5015</v>
      </c>
      <c r="B28" s="41">
        <f>TableOMURPLAN2[[#This Row],[Ver]]</f>
        <v>3</v>
      </c>
      <c r="C28" s="41" t="str">
        <f>LEFT(TableOMURPLAN2[[#This Row],[Structure Line]],6)</f>
        <v>URP530</v>
      </c>
      <c r="D28" s="34" t="str">
        <f>MID(TableOMURPLAN2[[#This Row],[Structure Line]],8,LEN(TableOMURPLAN2[[#This Row],[Structure Line]]))</f>
        <v>Planning Theory and Context</v>
      </c>
      <c r="E28" s="36">
        <f>TableOMURPLAN2[[#This Row],[Credit Points]]</f>
        <v>25</v>
      </c>
      <c r="F28" s="34">
        <v>5</v>
      </c>
      <c r="G28" s="34" t="s">
        <v>200</v>
      </c>
      <c r="H28" s="34">
        <v>1</v>
      </c>
      <c r="I28" s="34" t="s">
        <v>201</v>
      </c>
      <c r="J28" s="34" t="s">
        <v>66</v>
      </c>
      <c r="K28" s="34">
        <v>3</v>
      </c>
      <c r="L28" s="34" t="s">
        <v>213</v>
      </c>
      <c r="M28" s="34">
        <v>25</v>
      </c>
      <c r="N28" s="70">
        <v>44562</v>
      </c>
      <c r="O28" s="70"/>
      <c r="P28" s="34"/>
      <c r="Q28" t="s">
        <v>66</v>
      </c>
      <c r="R28">
        <v>3</v>
      </c>
    </row>
    <row r="29" spans="1:18" x14ac:dyDescent="0.25">
      <c r="A29" s="35" t="str">
        <f>TableOMURPLAN2[[#This Row],[Study Package Code]]</f>
        <v>URDE6001</v>
      </c>
      <c r="B29" s="41">
        <f>TableOMURPLAN2[[#This Row],[Ver]]</f>
        <v>1</v>
      </c>
      <c r="C29" s="41" t="str">
        <f>LEFT(TableOMURPLAN2[[#This Row],[Structure Line]],6)</f>
        <v>URP620</v>
      </c>
      <c r="D29" s="34" t="str">
        <f>MID(TableOMURPLAN2[[#This Row],[Structure Line]],8,LEN(TableOMURPLAN2[[#This Row],[Structure Line]]))</f>
        <v>Planning for Housing</v>
      </c>
      <c r="E29" s="36">
        <f>TableOMURPLAN2[[#This Row],[Credit Points]]</f>
        <v>25</v>
      </c>
      <c r="F29" s="34">
        <v>6</v>
      </c>
      <c r="G29" s="34" t="s">
        <v>200</v>
      </c>
      <c r="H29" s="34">
        <v>1</v>
      </c>
      <c r="I29" s="34" t="s">
        <v>201</v>
      </c>
      <c r="J29" s="34" t="s">
        <v>83</v>
      </c>
      <c r="K29" s="34">
        <v>1</v>
      </c>
      <c r="L29" s="34" t="s">
        <v>214</v>
      </c>
      <c r="M29" s="34">
        <v>25</v>
      </c>
      <c r="N29" s="70">
        <v>42005</v>
      </c>
      <c r="O29" s="70"/>
      <c r="P29" s="34"/>
      <c r="Q29" t="s">
        <v>83</v>
      </c>
      <c r="R29">
        <v>1</v>
      </c>
    </row>
    <row r="30" spans="1:18" x14ac:dyDescent="0.25">
      <c r="A30" s="35" t="str">
        <f>TableOMURPLAN2[[#This Row],[Study Package Code]]</f>
        <v>URDE6004</v>
      </c>
      <c r="B30" s="41">
        <f>TableOMURPLAN2[[#This Row],[Ver]]</f>
        <v>1</v>
      </c>
      <c r="C30" s="41" t="str">
        <f>LEFT(TableOMURPLAN2[[#This Row],[Structure Line]],6)</f>
        <v>URP640</v>
      </c>
      <c r="D30" s="34" t="str">
        <f>MID(TableOMURPLAN2[[#This Row],[Structure Line]],8,LEN(TableOMURPLAN2[[#This Row],[Structure Line]]))</f>
        <v>Participatory Planning</v>
      </c>
      <c r="E30" s="36">
        <f>TableOMURPLAN2[[#This Row],[Credit Points]]</f>
        <v>25</v>
      </c>
      <c r="F30" s="34">
        <v>7</v>
      </c>
      <c r="G30" s="34" t="s">
        <v>200</v>
      </c>
      <c r="H30" s="34">
        <v>1</v>
      </c>
      <c r="I30" s="34" t="s">
        <v>201</v>
      </c>
      <c r="J30" s="34" t="s">
        <v>85</v>
      </c>
      <c r="K30" s="34">
        <v>1</v>
      </c>
      <c r="L30" s="34" t="s">
        <v>215</v>
      </c>
      <c r="M30" s="34">
        <v>25</v>
      </c>
      <c r="N30" s="70">
        <v>42005</v>
      </c>
      <c r="O30" s="70"/>
      <c r="P30" s="34"/>
      <c r="Q30" t="s">
        <v>85</v>
      </c>
      <c r="R30">
        <v>1</v>
      </c>
    </row>
    <row r="31" spans="1:18" x14ac:dyDescent="0.25">
      <c r="A31" s="35" t="str">
        <f>TableOMURPLAN2[[#This Row],[Study Package Code]]</f>
        <v>URDE6007</v>
      </c>
      <c r="B31" s="41">
        <f>TableOMURPLAN2[[#This Row],[Ver]]</f>
        <v>1</v>
      </c>
      <c r="C31" s="41" t="str">
        <f>LEFT(TableOMURPLAN2[[#This Row],[Structure Line]],6)</f>
        <v>DBE600</v>
      </c>
      <c r="D31" s="34" t="str">
        <f>MID(TableOMURPLAN2[[#This Row],[Structure Line]],8,LEN(TableOMURPLAN2[[#This Row],[Structure Line]]))</f>
        <v>Design and Built Environment Research Methods</v>
      </c>
      <c r="E31" s="36">
        <f>TableOMURPLAN2[[#This Row],[Credit Points]]</f>
        <v>25</v>
      </c>
      <c r="F31" s="34">
        <v>8</v>
      </c>
      <c r="G31" s="34" t="s">
        <v>200</v>
      </c>
      <c r="H31" s="34">
        <v>1</v>
      </c>
      <c r="I31" s="34" t="s">
        <v>201</v>
      </c>
      <c r="J31" s="34" t="s">
        <v>65</v>
      </c>
      <c r="K31" s="34">
        <v>1</v>
      </c>
      <c r="L31" s="34" t="s">
        <v>216</v>
      </c>
      <c r="M31" s="34">
        <v>25</v>
      </c>
      <c r="N31" s="70">
        <v>44562</v>
      </c>
      <c r="O31" s="70"/>
      <c r="P31" s="34"/>
      <c r="Q31" t="s">
        <v>65</v>
      </c>
      <c r="R31">
        <v>1</v>
      </c>
    </row>
    <row r="32" spans="1:18" x14ac:dyDescent="0.25">
      <c r="A32" s="35" t="str">
        <f>TableOMURPLAN2[[#This Row],[Study Package Code]]</f>
        <v>URDE5020</v>
      </c>
      <c r="B32" s="41">
        <f>TableOMURPLAN2[[#This Row],[Ver]]</f>
        <v>2</v>
      </c>
      <c r="C32" s="41" t="str">
        <f>LEFT(TableOMURPLAN2[[#This Row],[Structure Line]],6)</f>
        <v>URP570</v>
      </c>
      <c r="D32" s="34" t="str">
        <f>MID(TableOMURPLAN2[[#This Row],[Structure Line]],8,LEN(TableOMURPLAN2[[#This Row],[Structure Line]]))</f>
        <v>Planning Dissertation Preparation</v>
      </c>
      <c r="E32" s="36">
        <f>TableOMURPLAN2[[#This Row],[Credit Points]]</f>
        <v>25</v>
      </c>
      <c r="F32" s="34">
        <v>9</v>
      </c>
      <c r="G32" s="34" t="s">
        <v>200</v>
      </c>
      <c r="H32" s="34">
        <v>2</v>
      </c>
      <c r="I32" s="34" t="s">
        <v>201</v>
      </c>
      <c r="J32" s="34" t="s">
        <v>81</v>
      </c>
      <c r="K32" s="34">
        <v>2</v>
      </c>
      <c r="L32" s="34" t="s">
        <v>217</v>
      </c>
      <c r="M32" s="34">
        <v>25</v>
      </c>
      <c r="N32" s="70">
        <v>42186</v>
      </c>
      <c r="O32" s="70"/>
      <c r="P32" s="34"/>
      <c r="Q32" t="s">
        <v>81</v>
      </c>
      <c r="R32">
        <v>2</v>
      </c>
    </row>
    <row r="33" spans="1:18" x14ac:dyDescent="0.25">
      <c r="A33" s="35" t="str">
        <f>TableOMURPLAN2[[#This Row],[Study Package Code]]</f>
        <v>URDE6003</v>
      </c>
      <c r="B33" s="41">
        <f>TableOMURPLAN2[[#This Row],[Ver]]</f>
        <v>2</v>
      </c>
      <c r="C33" s="41" t="str">
        <f>LEFT(TableOMURPLAN2[[#This Row],[Structure Line]],6)</f>
        <v>URP600</v>
      </c>
      <c r="D33" s="34" t="str">
        <f>MID(TableOMURPLAN2[[#This Row],[Structure Line]],8,LEN(TableOMURPLAN2[[#This Row],[Structure Line]]))</f>
        <v>Urban Transport Systems</v>
      </c>
      <c r="E33" s="36">
        <f>TableOMURPLAN2[[#This Row],[Credit Points]]</f>
        <v>25</v>
      </c>
      <c r="F33" s="34">
        <v>10</v>
      </c>
      <c r="G33" s="34" t="s">
        <v>200</v>
      </c>
      <c r="H33" s="34">
        <v>2</v>
      </c>
      <c r="I33" s="34" t="s">
        <v>201</v>
      </c>
      <c r="J33" s="34" t="s">
        <v>82</v>
      </c>
      <c r="K33" s="34">
        <v>2</v>
      </c>
      <c r="L33" s="34" t="s">
        <v>218</v>
      </c>
      <c r="M33" s="34">
        <v>25</v>
      </c>
      <c r="N33" s="70">
        <v>44197</v>
      </c>
      <c r="O33" s="70"/>
      <c r="P33" s="34"/>
      <c r="Q33" t="s">
        <v>82</v>
      </c>
      <c r="R33">
        <v>2</v>
      </c>
    </row>
    <row r="34" spans="1:18" x14ac:dyDescent="0.25">
      <c r="A34" s="35" t="str">
        <f>TableOMURPLAN2[[#This Row],[Study Package Code]]</f>
        <v>URDE6005</v>
      </c>
      <c r="B34" s="41">
        <f>TableOMURPLAN2[[#This Row],[Ver]]</f>
        <v>1</v>
      </c>
      <c r="C34" s="41" t="str">
        <f>LEFT(TableOMURPLAN2[[#This Row],[Structure Line]],6)</f>
        <v>URP650</v>
      </c>
      <c r="D34" s="34" t="str">
        <f>MID(TableOMURPLAN2[[#This Row],[Structure Line]],8,LEN(TableOMURPLAN2[[#This Row],[Structure Line]]))</f>
        <v>Planning Masters Dissertation</v>
      </c>
      <c r="E34" s="36">
        <f>TableOMURPLAN2[[#This Row],[Credit Points]]</f>
        <v>50</v>
      </c>
      <c r="F34" s="34">
        <v>11</v>
      </c>
      <c r="G34" s="34" t="s">
        <v>200</v>
      </c>
      <c r="H34" s="34">
        <v>2</v>
      </c>
      <c r="I34" s="34" t="s">
        <v>201</v>
      </c>
      <c r="J34" s="34" t="s">
        <v>89</v>
      </c>
      <c r="K34" s="34">
        <v>1</v>
      </c>
      <c r="L34" s="34" t="s">
        <v>219</v>
      </c>
      <c r="M34" s="34">
        <v>50</v>
      </c>
      <c r="N34" s="70">
        <v>42736</v>
      </c>
      <c r="O34" s="70"/>
      <c r="P34" s="34"/>
      <c r="Q34" t="s">
        <v>89</v>
      </c>
      <c r="R34">
        <v>1</v>
      </c>
    </row>
    <row r="35" spans="1:18" x14ac:dyDescent="0.25">
      <c r="A35" s="35" t="str">
        <f>TableOMURPLAN2[[#This Row],[Study Package Code]]</f>
        <v>PRJM6013</v>
      </c>
      <c r="B35" s="41">
        <f>TableOMURPLAN2[[#This Row],[Ver]]</f>
        <v>2</v>
      </c>
      <c r="C35" s="41" t="str">
        <f>LEFT(TableOMURPLAN2[[#This Row],[Structure Line]],6)</f>
        <v>PRM500</v>
      </c>
      <c r="D35" s="34" t="str">
        <f>MID(TableOMURPLAN2[[#This Row],[Structure Line]],8,LEN(TableOMURPLAN2[[#This Row],[Structure Line]]))</f>
        <v>Project Management Overview</v>
      </c>
      <c r="E35" s="36">
        <f>TableOMURPLAN2[[#This Row],[Credit Points]]</f>
        <v>25</v>
      </c>
      <c r="F35" s="34">
        <v>1</v>
      </c>
      <c r="G35" s="34" t="s">
        <v>98</v>
      </c>
      <c r="H35" s="34">
        <v>0</v>
      </c>
      <c r="I35" s="34" t="s">
        <v>201</v>
      </c>
      <c r="J35" s="34" t="s">
        <v>108</v>
      </c>
      <c r="K35" s="34">
        <v>2</v>
      </c>
      <c r="L35" s="34" t="s">
        <v>220</v>
      </c>
      <c r="M35" s="34">
        <v>25</v>
      </c>
      <c r="N35" s="70">
        <v>42917</v>
      </c>
      <c r="O35" s="70"/>
      <c r="P35" s="34"/>
      <c r="Q35" t="s">
        <v>108</v>
      </c>
      <c r="R35">
        <v>2</v>
      </c>
    </row>
    <row r="36" spans="1:18" x14ac:dyDescent="0.25">
      <c r="A36" s="35" t="str">
        <f>TableOMURPLAN2[[#This Row],[Study Package Code]]</f>
        <v>PRJM6018</v>
      </c>
      <c r="B36" s="41">
        <f>TableOMURPLAN2[[#This Row],[Ver]]</f>
        <v>1</v>
      </c>
      <c r="C36" s="41" t="str">
        <f>LEFT(TableOMURPLAN2[[#This Row],[Structure Line]],6)</f>
        <v>PRM540</v>
      </c>
      <c r="D36" s="34" t="str">
        <f>MID(TableOMURPLAN2[[#This Row],[Structure Line]],8,LEN(TableOMURPLAN2[[#This Row],[Structure Line]]))</f>
        <v>Project Procurement Management</v>
      </c>
      <c r="E36" s="36">
        <f>TableOMURPLAN2[[#This Row],[Credit Points]]</f>
        <v>25</v>
      </c>
      <c r="F36" s="34">
        <v>1</v>
      </c>
      <c r="G36" s="34" t="s">
        <v>98</v>
      </c>
      <c r="H36" s="34">
        <v>0</v>
      </c>
      <c r="I36" s="34" t="s">
        <v>201</v>
      </c>
      <c r="J36" s="34" t="s">
        <v>110</v>
      </c>
      <c r="K36" s="34">
        <v>1</v>
      </c>
      <c r="L36" s="34" t="s">
        <v>221</v>
      </c>
      <c r="M36" s="34">
        <v>25</v>
      </c>
      <c r="N36" s="70">
        <v>42917</v>
      </c>
      <c r="O36" s="70"/>
      <c r="P36" s="34"/>
      <c r="Q36" t="s">
        <v>110</v>
      </c>
      <c r="R36">
        <v>1</v>
      </c>
    </row>
    <row r="37" spans="1:18" x14ac:dyDescent="0.25">
      <c r="A37" s="35" t="str">
        <f>TableOMURPLAN2[[#This Row],[Study Package Code]]</f>
        <v>PRJM6020</v>
      </c>
      <c r="B37" s="41">
        <f>TableOMURPLAN2[[#This Row],[Ver]]</f>
        <v>1</v>
      </c>
      <c r="C37" s="41" t="str">
        <f>LEFT(TableOMURPLAN2[[#This Row],[Structure Line]],6)</f>
        <v>PRM550</v>
      </c>
      <c r="D37" s="34" t="str">
        <f>MID(TableOMURPLAN2[[#This Row],[Structure Line]],8,LEN(TableOMURPLAN2[[#This Row],[Structure Line]]))</f>
        <v>Project Risk Management</v>
      </c>
      <c r="E37" s="36">
        <f>TableOMURPLAN2[[#This Row],[Credit Points]]</f>
        <v>25</v>
      </c>
      <c r="F37" s="34">
        <v>1</v>
      </c>
      <c r="G37" s="34" t="s">
        <v>98</v>
      </c>
      <c r="H37" s="34">
        <v>0</v>
      </c>
      <c r="I37" s="34" t="s">
        <v>201</v>
      </c>
      <c r="J37" s="34" t="s">
        <v>112</v>
      </c>
      <c r="K37" s="34">
        <v>1</v>
      </c>
      <c r="L37" s="34" t="s">
        <v>222</v>
      </c>
      <c r="M37" s="34">
        <v>25</v>
      </c>
      <c r="N37" s="70">
        <v>42917</v>
      </c>
      <c r="O37" s="70"/>
      <c r="P37" s="34"/>
      <c r="Q37" t="s">
        <v>112</v>
      </c>
      <c r="R37">
        <v>1</v>
      </c>
    </row>
    <row r="38" spans="1:18" x14ac:dyDescent="0.25">
      <c r="A38" s="35" t="str">
        <f>TableOMURPLAN2[[#This Row],[Study Package Code]]</f>
        <v>PRJM6021</v>
      </c>
      <c r="B38" s="41">
        <f>TableOMURPLAN2[[#This Row],[Ver]]</f>
        <v>2</v>
      </c>
      <c r="C38" s="41" t="str">
        <f>LEFT(TableOMURPLAN2[[#This Row],[Structure Line]],6)</f>
        <v>PRM530</v>
      </c>
      <c r="D38" s="34" t="str">
        <f>MID(TableOMURPLAN2[[#This Row],[Structure Line]],8,LEN(TableOMURPLAN2[[#This Row],[Structure Line]]))</f>
        <v>Project Planning and Schedule Management</v>
      </c>
      <c r="E38" s="36">
        <f>TableOMURPLAN2[[#This Row],[Credit Points]]</f>
        <v>25</v>
      </c>
      <c r="F38" s="34">
        <v>1</v>
      </c>
      <c r="G38" s="34" t="s">
        <v>98</v>
      </c>
      <c r="H38" s="34">
        <v>0</v>
      </c>
      <c r="I38" s="34" t="s">
        <v>201</v>
      </c>
      <c r="J38" s="34" t="s">
        <v>114</v>
      </c>
      <c r="K38" s="34">
        <v>2</v>
      </c>
      <c r="L38" s="34" t="s">
        <v>223</v>
      </c>
      <c r="M38" s="34">
        <v>25</v>
      </c>
      <c r="N38" s="70">
        <v>45383</v>
      </c>
      <c r="O38" s="70"/>
      <c r="P38" s="34"/>
      <c r="Q38" t="s">
        <v>114</v>
      </c>
      <c r="R38">
        <v>2</v>
      </c>
    </row>
    <row r="39" spans="1:18" x14ac:dyDescent="0.25">
      <c r="A39" s="35" t="str">
        <f>TableOMURPLAN2[[#This Row],[Study Package Code]]</f>
        <v>SUST5013</v>
      </c>
      <c r="B39" s="41">
        <f>TableOMURPLAN2[[#This Row],[Ver]]</f>
        <v>2</v>
      </c>
      <c r="C39" s="41" t="str">
        <f>LEFT(TableOMURPLAN2[[#This Row],[Structure Line]],6)</f>
        <v>SCP543</v>
      </c>
      <c r="D39" s="34" t="str">
        <f>MID(TableOMURPLAN2[[#This Row],[Structure Line]],8,LEN(TableOMURPLAN2[[#This Row],[Structure Line]]))</f>
        <v>Future Cities</v>
      </c>
      <c r="E39" s="36">
        <f>TableOMURPLAN2[[#This Row],[Credit Points]]</f>
        <v>25</v>
      </c>
      <c r="F39" s="34">
        <v>1</v>
      </c>
      <c r="G39" s="34" t="s">
        <v>98</v>
      </c>
      <c r="H39" s="34">
        <v>0</v>
      </c>
      <c r="I39" s="34" t="s">
        <v>201</v>
      </c>
      <c r="J39" s="34" t="s">
        <v>116</v>
      </c>
      <c r="K39" s="34">
        <v>2</v>
      </c>
      <c r="L39" s="34" t="s">
        <v>224</v>
      </c>
      <c r="M39" s="34">
        <v>25</v>
      </c>
      <c r="N39" s="70">
        <v>44013</v>
      </c>
      <c r="O39" s="70"/>
      <c r="P39" s="34"/>
      <c r="Q39" t="s">
        <v>116</v>
      </c>
      <c r="R39">
        <v>2</v>
      </c>
    </row>
    <row r="40" spans="1:18" x14ac:dyDescent="0.25">
      <c r="A40" s="35" t="str">
        <f>TableOMURPLAN2[[#This Row],[Study Package Code]]</f>
        <v>SUST5016</v>
      </c>
      <c r="B40" s="41">
        <f>TableOMURPLAN2[[#This Row],[Ver]]</f>
        <v>1</v>
      </c>
      <c r="C40" s="41" t="str">
        <f>LEFT(TableOMURPLAN2[[#This Row],[Structure Line]],6)</f>
        <v>SCP547</v>
      </c>
      <c r="D40" s="34" t="str">
        <f>MID(TableOMURPLAN2[[#This Row],[Structure Line]],8,LEN(TableOMURPLAN2[[#This Row],[Structure Line]]))</f>
        <v>Climate Policy</v>
      </c>
      <c r="E40" s="36">
        <f>TableOMURPLAN2[[#This Row],[Credit Points]]</f>
        <v>25</v>
      </c>
      <c r="F40" s="34">
        <v>1</v>
      </c>
      <c r="G40" s="34" t="s">
        <v>98</v>
      </c>
      <c r="H40" s="34">
        <v>0</v>
      </c>
      <c r="I40" s="34" t="s">
        <v>201</v>
      </c>
      <c r="J40" s="34" t="s">
        <v>118</v>
      </c>
      <c r="K40" s="34">
        <v>1</v>
      </c>
      <c r="L40" s="34" t="s">
        <v>225</v>
      </c>
      <c r="M40" s="34">
        <v>25</v>
      </c>
      <c r="N40" s="70">
        <v>42005</v>
      </c>
      <c r="O40" s="70"/>
      <c r="P40" s="34"/>
      <c r="Q40" t="s">
        <v>118</v>
      </c>
      <c r="R40">
        <v>1</v>
      </c>
    </row>
    <row r="41" spans="1:18" x14ac:dyDescent="0.25">
      <c r="A41" s="35" t="str">
        <f>TableOMURPLAN2[[#This Row],[Study Package Code]]</f>
        <v>SUST5019</v>
      </c>
      <c r="B41" s="41">
        <f>TableOMURPLAN2[[#This Row],[Ver]]</f>
        <v>2</v>
      </c>
      <c r="C41" s="41" t="str">
        <f>LEFT(TableOMURPLAN2[[#This Row],[Structure Line]],6)</f>
        <v>SCP548</v>
      </c>
      <c r="D41" s="34" t="str">
        <f>MID(TableOMURPLAN2[[#This Row],[Structure Line]],8,LEN(TableOMURPLAN2[[#This Row],[Structure Line]]))</f>
        <v>People and Planet</v>
      </c>
      <c r="E41" s="36">
        <f>TableOMURPLAN2[[#This Row],[Credit Points]]</f>
        <v>25</v>
      </c>
      <c r="F41" s="34">
        <v>1</v>
      </c>
      <c r="G41" s="34" t="s">
        <v>98</v>
      </c>
      <c r="H41" s="34">
        <v>0</v>
      </c>
      <c r="I41" s="34" t="s">
        <v>201</v>
      </c>
      <c r="J41" s="34" t="s">
        <v>120</v>
      </c>
      <c r="K41" s="34">
        <v>2</v>
      </c>
      <c r="L41" s="34" t="s">
        <v>226</v>
      </c>
      <c r="M41" s="34">
        <v>25</v>
      </c>
      <c r="N41" s="70">
        <v>44013</v>
      </c>
      <c r="O41" s="70"/>
      <c r="P41" s="34"/>
      <c r="Q41" t="s">
        <v>120</v>
      </c>
      <c r="R41">
        <v>2</v>
      </c>
    </row>
    <row r="42" spans="1:18" x14ac:dyDescent="0.25">
      <c r="A42" s="35" t="str">
        <f>TableOMURPLAN2[[#This Row],[Study Package Code]]</f>
        <v>SUST5021</v>
      </c>
      <c r="B42" s="41">
        <f>TableOMURPLAN2[[#This Row],[Ver]]</f>
        <v>1</v>
      </c>
      <c r="C42" s="41" t="str">
        <f>LEFT(TableOMURPLAN2[[#This Row],[Structure Line]],6)</f>
        <v>SCP549</v>
      </c>
      <c r="D42" s="34" t="str">
        <f>MID(TableOMURPLAN2[[#This Row],[Structure Line]],8,LEN(TableOMURPLAN2[[#This Row],[Structure Line]]))</f>
        <v>Sustainability, Climate Change and Economics</v>
      </c>
      <c r="E42" s="36">
        <f>TableOMURPLAN2[[#This Row],[Credit Points]]</f>
        <v>25</v>
      </c>
      <c r="F42" s="34">
        <v>1</v>
      </c>
      <c r="G42" s="34" t="s">
        <v>98</v>
      </c>
      <c r="H42" s="34">
        <v>0</v>
      </c>
      <c r="I42" s="34" t="s">
        <v>201</v>
      </c>
      <c r="J42" s="34" t="s">
        <v>122</v>
      </c>
      <c r="K42" s="34">
        <v>1</v>
      </c>
      <c r="L42" s="34" t="s">
        <v>227</v>
      </c>
      <c r="M42" s="34">
        <v>25</v>
      </c>
      <c r="N42" s="70">
        <v>42736</v>
      </c>
      <c r="O42" s="70"/>
      <c r="P42" s="34"/>
      <c r="Q42" t="s">
        <v>122</v>
      </c>
      <c r="R42">
        <v>1</v>
      </c>
    </row>
    <row r="43" spans="1:18" x14ac:dyDescent="0.25">
      <c r="A43" s="35" t="str">
        <f>TableOMURPLAN2[[#This Row],[Study Package Code]]</f>
        <v>SUST5025</v>
      </c>
      <c r="B43" s="41">
        <f>TableOMURPLAN2[[#This Row],[Ver]]</f>
        <v>1</v>
      </c>
      <c r="C43" s="41" t="str">
        <f>LEFT(TableOMURPLAN2[[#This Row],[Structure Line]],6)</f>
        <v>SCP530</v>
      </c>
      <c r="D43" s="34" t="str">
        <f>MID(TableOMURPLAN2[[#This Row],[Structure Line]],8,LEN(TableOMURPLAN2[[#This Row],[Structure Line]]))</f>
        <v>Sustainable Waste Management</v>
      </c>
      <c r="E43" s="36">
        <f>TableOMURPLAN2[[#This Row],[Credit Points]]</f>
        <v>25</v>
      </c>
      <c r="F43" s="34">
        <v>1</v>
      </c>
      <c r="G43" s="34" t="s">
        <v>98</v>
      </c>
      <c r="H43" s="34">
        <v>0</v>
      </c>
      <c r="I43" s="34" t="s">
        <v>201</v>
      </c>
      <c r="J43" s="34" t="s">
        <v>124</v>
      </c>
      <c r="K43" s="34">
        <v>1</v>
      </c>
      <c r="L43" s="34" t="s">
        <v>228</v>
      </c>
      <c r="M43" s="34">
        <v>25</v>
      </c>
      <c r="N43" s="70">
        <v>44197</v>
      </c>
      <c r="O43" s="70"/>
      <c r="P43" s="34"/>
      <c r="Q43" t="s">
        <v>124</v>
      </c>
      <c r="R43">
        <v>1</v>
      </c>
    </row>
    <row r="44" spans="1:18" ht="16.5" thickBot="1" x14ac:dyDescent="0.3">
      <c r="A44" s="37">
        <f>TableOMURPLAN2[[#This Row],[Study Package Code]]</f>
        <v>0</v>
      </c>
      <c r="B44" s="38">
        <f>TableOMURPLAN2[[#This Row],[Ver]]</f>
        <v>0</v>
      </c>
      <c r="C44" s="38" t="str">
        <f>LEFT(TableOMURPLAN2[[#This Row],[Structure Line]],6)</f>
        <v/>
      </c>
      <c r="D44" s="39" t="str">
        <f>MID(TableOMURPLAN2[[#This Row],[Structure Line]],8,LEN(TableOMURPLAN2[[#This Row],[Structure Line]]))</f>
        <v/>
      </c>
      <c r="E44" s="40">
        <f>TableOMURPLAN2[[#This Row],[Credit Points]]</f>
        <v>0</v>
      </c>
      <c r="F44" s="34"/>
      <c r="G44" s="34"/>
      <c r="H44" s="34"/>
      <c r="I44" s="34"/>
      <c r="J44" s="34"/>
      <c r="K44" s="34"/>
      <c r="L44" s="34"/>
      <c r="M44" s="34"/>
      <c r="N44" s="70"/>
      <c r="O44" s="70"/>
      <c r="P44" s="34"/>
      <c r="Q44" t="s">
        <v>229</v>
      </c>
      <c r="R44">
        <v>1</v>
      </c>
    </row>
  </sheetData>
  <conditionalFormatting sqref="J3:J6">
    <cfRule type="duplicateValues" dxfId="12" priority="10"/>
  </conditionalFormatting>
  <conditionalFormatting sqref="J10:J13">
    <cfRule type="duplicateValues" dxfId="11" priority="7"/>
  </conditionalFormatting>
  <conditionalFormatting sqref="J17:J20">
    <cfRule type="duplicateValues" dxfId="10" priority="4"/>
  </conditionalFormatting>
  <conditionalFormatting sqref="J24:J44">
    <cfRule type="duplicateValues" dxfId="9" priority="1"/>
  </conditionalFormatting>
  <conditionalFormatting sqref="N3:N6">
    <cfRule type="cellIs" dxfId="8" priority="14" operator="greaterThan">
      <formula>$P$1</formula>
    </cfRule>
  </conditionalFormatting>
  <conditionalFormatting sqref="N10:N13">
    <cfRule type="cellIs" dxfId="7" priority="8" operator="greaterThan">
      <formula>$P$1</formula>
    </cfRule>
  </conditionalFormatting>
  <conditionalFormatting sqref="N17:N20">
    <cfRule type="cellIs" dxfId="6" priority="5" operator="greaterThan">
      <formula>$P$1</formula>
    </cfRule>
  </conditionalFormatting>
  <conditionalFormatting sqref="N24:N44">
    <cfRule type="cellIs" dxfId="5" priority="2" operator="greaterThan">
      <formula>$P$1</formula>
    </cfRule>
  </conditionalFormatting>
  <conditionalFormatting sqref="O3:O6">
    <cfRule type="notContainsBlanks" dxfId="4" priority="19">
      <formula>LEN(TRIM(O3))&gt;0</formula>
    </cfRule>
  </conditionalFormatting>
  <conditionalFormatting sqref="O10:O13">
    <cfRule type="notContainsBlanks" dxfId="3" priority="9">
      <formula>LEN(TRIM(O10))&gt;0</formula>
    </cfRule>
  </conditionalFormatting>
  <conditionalFormatting sqref="O17:O20">
    <cfRule type="notContainsBlanks" dxfId="2" priority="6">
      <formula>LEN(TRIM(O17))&gt;0</formula>
    </cfRule>
  </conditionalFormatting>
  <conditionalFormatting sqref="O24:O44">
    <cfRule type="notContainsBlanks" dxfId="1" priority="3">
      <formula>LEN(TRIM(O24))&gt;0</formula>
    </cfRule>
  </conditionalFormatting>
  <conditionalFormatting sqref="Q3:R6 Q10:R13 Q17:R20 Q24:R44">
    <cfRule type="expression" dxfId="0" priority="22">
      <formula>Q3&lt;&gt;J3</formula>
    </cfRule>
  </conditionalFormatting>
  <pageMargins left="0.7" right="0.7" top="0.75" bottom="0.75" header="0.3" footer="0.3"/>
  <pageSetup paperSize="9" orientation="portrait" r:id="rId1"/>
  <tableParts count="8">
    <tablePart r:id="rId2"/>
    <tablePart r:id="rId3"/>
    <tablePart r:id="rId4"/>
    <tablePart r:id="rId5"/>
    <tablePart r:id="rId6"/>
    <tablePart r:id="rId7"/>
    <tablePart r:id="rId8"/>
    <tablePart r:id="rId9"/>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L30"/>
  <sheetViews>
    <sheetView workbookViewId="0">
      <selection activeCell="D5" sqref="D5"/>
    </sheetView>
  </sheetViews>
  <sheetFormatPr defaultRowHeight="15.75" x14ac:dyDescent="0.25"/>
  <cols>
    <col min="1" max="1" width="12.375" bestFit="1" customWidth="1"/>
    <col min="2" max="5" width="5.375" style="66" bestFit="1" customWidth="1"/>
    <col min="6" max="6" width="11.5" bestFit="1" customWidth="1"/>
    <col min="7" max="7" width="10.625" bestFit="1" customWidth="1"/>
    <col min="8" max="8" width="9.75" bestFit="1" customWidth="1"/>
    <col min="9" max="12" width="1.875" bestFit="1" customWidth="1"/>
  </cols>
  <sheetData>
    <row r="1" spans="1:12" x14ac:dyDescent="0.25">
      <c r="F1" s="71" t="s">
        <v>189</v>
      </c>
      <c r="G1" s="230">
        <v>45601</v>
      </c>
    </row>
    <row r="3" spans="1:12" ht="76.5" x14ac:dyDescent="0.25">
      <c r="A3" t="s">
        <v>230</v>
      </c>
      <c r="B3" s="67" t="s">
        <v>231</v>
      </c>
      <c r="C3" s="67" t="s">
        <v>232</v>
      </c>
      <c r="D3" s="67" t="s">
        <v>233</v>
      </c>
      <c r="E3" s="67" t="s">
        <v>234</v>
      </c>
    </row>
    <row r="4" spans="1:12" x14ac:dyDescent="0.25">
      <c r="A4" t="s">
        <v>57</v>
      </c>
      <c r="B4" s="3">
        <v>1</v>
      </c>
      <c r="C4" s="3"/>
      <c r="D4" s="3">
        <v>1</v>
      </c>
      <c r="E4" s="3"/>
      <c r="H4" t="s">
        <v>57</v>
      </c>
      <c r="I4">
        <v>1</v>
      </c>
      <c r="K4">
        <v>1</v>
      </c>
    </row>
    <row r="5" spans="1:12" x14ac:dyDescent="0.25">
      <c r="A5" t="s">
        <v>58</v>
      </c>
      <c r="B5" s="3"/>
      <c r="C5" s="3">
        <v>1</v>
      </c>
      <c r="D5" s="3"/>
      <c r="E5" s="3">
        <v>1</v>
      </c>
      <c r="H5" t="s">
        <v>58</v>
      </c>
      <c r="J5">
        <v>1</v>
      </c>
      <c r="L5">
        <v>1</v>
      </c>
    </row>
    <row r="6" spans="1:12" x14ac:dyDescent="0.25">
      <c r="A6" t="s">
        <v>64</v>
      </c>
      <c r="B6" s="3"/>
      <c r="C6" s="3">
        <v>1</v>
      </c>
      <c r="D6" s="3"/>
      <c r="E6" s="3"/>
      <c r="H6" t="s">
        <v>64</v>
      </c>
      <c r="J6">
        <v>1</v>
      </c>
      <c r="L6">
        <v>1</v>
      </c>
    </row>
    <row r="7" spans="1:12" x14ac:dyDescent="0.25">
      <c r="A7" t="s">
        <v>63</v>
      </c>
      <c r="B7" s="3">
        <v>1</v>
      </c>
      <c r="C7" s="3"/>
      <c r="D7" s="3"/>
      <c r="E7" s="3"/>
      <c r="H7" t="s">
        <v>63</v>
      </c>
      <c r="I7">
        <v>1</v>
      </c>
      <c r="K7">
        <v>1</v>
      </c>
    </row>
    <row r="8" spans="1:12" x14ac:dyDescent="0.25">
      <c r="A8" t="s">
        <v>235</v>
      </c>
      <c r="B8" s="3">
        <v>1</v>
      </c>
      <c r="C8" s="3"/>
      <c r="D8" s="3">
        <v>1</v>
      </c>
      <c r="E8" s="3"/>
      <c r="H8" t="s">
        <v>108</v>
      </c>
      <c r="I8">
        <v>1</v>
      </c>
      <c r="K8">
        <v>1</v>
      </c>
    </row>
    <row r="9" spans="1:12" x14ac:dyDescent="0.25">
      <c r="A9" t="s">
        <v>237</v>
      </c>
      <c r="B9" s="3"/>
      <c r="C9" s="3">
        <v>1</v>
      </c>
      <c r="D9" s="3"/>
      <c r="E9" s="3">
        <v>1</v>
      </c>
      <c r="H9" t="s">
        <v>110</v>
      </c>
      <c r="I9">
        <v>1</v>
      </c>
      <c r="K9">
        <v>1</v>
      </c>
    </row>
    <row r="10" spans="1:12" x14ac:dyDescent="0.25">
      <c r="A10" t="s">
        <v>238</v>
      </c>
      <c r="B10" s="3"/>
      <c r="C10" s="3">
        <v>1</v>
      </c>
      <c r="D10" s="3"/>
      <c r="E10" s="3">
        <v>1</v>
      </c>
      <c r="H10" t="s">
        <v>112</v>
      </c>
      <c r="J10">
        <v>1</v>
      </c>
      <c r="L10">
        <v>1</v>
      </c>
    </row>
    <row r="11" spans="1:12" x14ac:dyDescent="0.25">
      <c r="A11" t="s">
        <v>236</v>
      </c>
      <c r="B11" s="3">
        <v>1</v>
      </c>
      <c r="C11" s="3"/>
      <c r="D11" s="3">
        <v>1</v>
      </c>
      <c r="E11" s="3"/>
      <c r="H11" t="s">
        <v>114</v>
      </c>
      <c r="J11">
        <v>1</v>
      </c>
      <c r="L11">
        <v>1</v>
      </c>
    </row>
    <row r="12" spans="1:12" x14ac:dyDescent="0.25">
      <c r="A12" t="s">
        <v>116</v>
      </c>
      <c r="B12" s="3"/>
      <c r="C12" s="3">
        <v>1</v>
      </c>
      <c r="D12" s="3"/>
      <c r="E12" s="3">
        <v>1</v>
      </c>
      <c r="H12" t="s">
        <v>229</v>
      </c>
    </row>
    <row r="13" spans="1:12" x14ac:dyDescent="0.25">
      <c r="A13" t="s">
        <v>118</v>
      </c>
      <c r="B13" s="3">
        <v>1</v>
      </c>
      <c r="C13" s="3"/>
      <c r="D13" s="3">
        <v>1</v>
      </c>
      <c r="E13" s="3"/>
      <c r="H13" t="s">
        <v>116</v>
      </c>
      <c r="J13">
        <v>1</v>
      </c>
      <c r="L13">
        <v>1</v>
      </c>
    </row>
    <row r="14" spans="1:12" x14ac:dyDescent="0.25">
      <c r="A14" t="s">
        <v>120</v>
      </c>
      <c r="B14" s="3"/>
      <c r="C14" s="3">
        <v>1</v>
      </c>
      <c r="D14" s="3"/>
      <c r="E14" s="3">
        <v>1</v>
      </c>
      <c r="H14" t="s">
        <v>118</v>
      </c>
      <c r="I14">
        <v>1</v>
      </c>
      <c r="K14">
        <v>1</v>
      </c>
    </row>
    <row r="15" spans="1:12" x14ac:dyDescent="0.25">
      <c r="A15" t="s">
        <v>122</v>
      </c>
      <c r="B15" s="3"/>
      <c r="C15" s="3"/>
      <c r="D15" s="3"/>
      <c r="E15" s="3">
        <v>1</v>
      </c>
      <c r="H15" t="s">
        <v>120</v>
      </c>
      <c r="J15">
        <v>1</v>
      </c>
      <c r="L15">
        <v>1</v>
      </c>
    </row>
    <row r="16" spans="1:12" x14ac:dyDescent="0.25">
      <c r="A16" t="s">
        <v>124</v>
      </c>
      <c r="B16" s="3">
        <v>1</v>
      </c>
      <c r="C16" s="3"/>
      <c r="D16" s="3">
        <v>1</v>
      </c>
      <c r="E16" s="3"/>
      <c r="H16" t="s">
        <v>122</v>
      </c>
      <c r="L16">
        <v>1</v>
      </c>
    </row>
    <row r="17" spans="1:12" x14ac:dyDescent="0.25">
      <c r="A17" t="s">
        <v>61</v>
      </c>
      <c r="B17" s="3"/>
      <c r="C17" s="3"/>
      <c r="D17" s="3">
        <v>1</v>
      </c>
      <c r="E17" s="3"/>
      <c r="H17" t="s">
        <v>124</v>
      </c>
      <c r="I17">
        <v>1</v>
      </c>
      <c r="K17">
        <v>1</v>
      </c>
    </row>
    <row r="18" spans="1:12" x14ac:dyDescent="0.25">
      <c r="A18" t="s">
        <v>54</v>
      </c>
      <c r="B18" s="3"/>
      <c r="C18" s="3">
        <v>1</v>
      </c>
      <c r="D18" s="3"/>
      <c r="E18" s="3">
        <v>1</v>
      </c>
      <c r="H18" t="s">
        <v>61</v>
      </c>
      <c r="K18">
        <v>1</v>
      </c>
    </row>
    <row r="19" spans="1:12" x14ac:dyDescent="0.25">
      <c r="A19" t="s">
        <v>66</v>
      </c>
      <c r="B19" s="3"/>
      <c r="C19" s="3">
        <v>1</v>
      </c>
      <c r="D19" s="3"/>
      <c r="E19" s="3">
        <v>1</v>
      </c>
      <c r="H19" t="s">
        <v>54</v>
      </c>
      <c r="J19">
        <v>1</v>
      </c>
      <c r="L19">
        <v>1</v>
      </c>
    </row>
    <row r="20" spans="1:12" x14ac:dyDescent="0.25">
      <c r="A20" t="s">
        <v>59</v>
      </c>
      <c r="B20" s="3">
        <v>1</v>
      </c>
      <c r="C20" s="3"/>
      <c r="D20" s="3">
        <v>1</v>
      </c>
      <c r="E20" s="3"/>
      <c r="H20" t="s">
        <v>66</v>
      </c>
      <c r="J20">
        <v>1</v>
      </c>
      <c r="L20">
        <v>1</v>
      </c>
    </row>
    <row r="21" spans="1:12" x14ac:dyDescent="0.25">
      <c r="A21" t="s">
        <v>60</v>
      </c>
      <c r="B21" s="3"/>
      <c r="C21" s="3">
        <v>1</v>
      </c>
      <c r="D21" s="3"/>
      <c r="E21" s="3">
        <v>1</v>
      </c>
      <c r="H21" t="s">
        <v>59</v>
      </c>
      <c r="I21">
        <v>1</v>
      </c>
      <c r="K21">
        <v>1</v>
      </c>
    </row>
    <row r="22" spans="1:12" x14ac:dyDescent="0.25">
      <c r="A22" t="s">
        <v>81</v>
      </c>
      <c r="B22" s="3">
        <v>1</v>
      </c>
      <c r="C22" s="3"/>
      <c r="D22" s="3">
        <v>1</v>
      </c>
      <c r="E22" s="3"/>
      <c r="H22" t="s">
        <v>60</v>
      </c>
      <c r="J22">
        <v>1</v>
      </c>
      <c r="L22">
        <v>1</v>
      </c>
    </row>
    <row r="23" spans="1:12" x14ac:dyDescent="0.25">
      <c r="A23" t="s">
        <v>52</v>
      </c>
      <c r="B23" s="3">
        <v>1</v>
      </c>
      <c r="C23" s="3"/>
      <c r="D23" s="3">
        <v>1</v>
      </c>
      <c r="E23" s="3"/>
      <c r="H23" t="s">
        <v>81</v>
      </c>
      <c r="I23">
        <v>1</v>
      </c>
      <c r="K23">
        <v>1</v>
      </c>
    </row>
    <row r="24" spans="1:12" x14ac:dyDescent="0.25">
      <c r="A24" t="s">
        <v>62</v>
      </c>
      <c r="B24" s="3"/>
      <c r="C24" s="3">
        <v>1</v>
      </c>
      <c r="D24" s="3"/>
      <c r="E24" s="3">
        <v>1</v>
      </c>
      <c r="H24" t="s">
        <v>52</v>
      </c>
      <c r="I24">
        <v>1</v>
      </c>
      <c r="K24">
        <v>1</v>
      </c>
    </row>
    <row r="25" spans="1:12" x14ac:dyDescent="0.25">
      <c r="A25" t="s">
        <v>83</v>
      </c>
      <c r="B25" s="3"/>
      <c r="C25" s="3">
        <v>1</v>
      </c>
      <c r="D25" s="3"/>
      <c r="E25" s="3"/>
      <c r="H25" t="s">
        <v>62</v>
      </c>
      <c r="J25">
        <v>1</v>
      </c>
      <c r="L25">
        <v>1</v>
      </c>
    </row>
    <row r="26" spans="1:12" x14ac:dyDescent="0.25">
      <c r="A26" t="s">
        <v>82</v>
      </c>
      <c r="B26" s="3"/>
      <c r="C26" s="3"/>
      <c r="D26" s="3"/>
      <c r="E26" s="3">
        <v>1</v>
      </c>
      <c r="H26" t="s">
        <v>83</v>
      </c>
      <c r="J26">
        <v>1</v>
      </c>
    </row>
    <row r="27" spans="1:12" x14ac:dyDescent="0.25">
      <c r="A27" t="s">
        <v>85</v>
      </c>
      <c r="B27" s="3"/>
      <c r="C27" s="3">
        <v>1</v>
      </c>
      <c r="D27" s="3"/>
      <c r="E27" s="3">
        <v>1</v>
      </c>
      <c r="H27" t="s">
        <v>82</v>
      </c>
      <c r="L27">
        <v>1</v>
      </c>
    </row>
    <row r="28" spans="1:12" x14ac:dyDescent="0.25">
      <c r="A28" t="s">
        <v>89</v>
      </c>
      <c r="B28" s="3">
        <v>1</v>
      </c>
      <c r="C28" s="3"/>
      <c r="D28" s="3">
        <v>1</v>
      </c>
      <c r="E28" s="3"/>
      <c r="H28" t="s">
        <v>85</v>
      </c>
      <c r="J28">
        <v>1</v>
      </c>
      <c r="L28">
        <v>1</v>
      </c>
    </row>
    <row r="29" spans="1:12" x14ac:dyDescent="0.25">
      <c r="A29" t="s">
        <v>65</v>
      </c>
      <c r="B29" s="3">
        <v>1</v>
      </c>
      <c r="C29" s="3"/>
      <c r="D29" s="3">
        <v>1</v>
      </c>
      <c r="E29" s="3"/>
      <c r="H29" t="s">
        <v>89</v>
      </c>
      <c r="I29">
        <v>1</v>
      </c>
      <c r="K29">
        <v>1</v>
      </c>
    </row>
    <row r="30" spans="1:12" x14ac:dyDescent="0.25">
      <c r="H30" t="s">
        <v>65</v>
      </c>
      <c r="I30">
        <v>1</v>
      </c>
      <c r="K30">
        <v>1</v>
      </c>
    </row>
  </sheetData>
  <pageMargins left="0.7" right="0.7" top="0.75" bottom="0.75" header="0.3" footer="0.3"/>
  <pageSetup paperSize="9"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2380bd5d-8f09-40a9-a9cb-2482ec2cd2ca">
      <Terms xmlns="http://schemas.microsoft.com/office/infopath/2007/PartnerControls"/>
    </lcf76f155ced4ddcb4097134ff3c332f>
    <TaxCatchAll xmlns="ba69df13-0c3c-4942-8695-6ca01564010c" xsi:nil="true"/>
    <SharedWithUsers xmlns="ba69df13-0c3c-4942-8695-6ca01564010c">
      <UserInfo>
        <DisplayName/>
        <AccountId xsi:nil="true"/>
        <AccountType/>
      </UserInfo>
    </SharedWithUser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7D5A8BA5900D0D41A965F85AF3329359" ma:contentTypeVersion="14" ma:contentTypeDescription="Create a new document." ma:contentTypeScope="" ma:versionID="e30fa786f2c3a37634f87eba21a7c718">
  <xsd:schema xmlns:xsd="http://www.w3.org/2001/XMLSchema" xmlns:xs="http://www.w3.org/2001/XMLSchema" xmlns:p="http://schemas.microsoft.com/office/2006/metadata/properties" xmlns:ns2="2380bd5d-8f09-40a9-a9cb-2482ec2cd2ca" xmlns:ns3="ba69df13-0c3c-4942-8695-6ca01564010c" targetNamespace="http://schemas.microsoft.com/office/2006/metadata/properties" ma:root="true" ma:fieldsID="0bf96c898f675749592802c4b477c09e" ns2:_="" ns3:_="">
    <xsd:import namespace="2380bd5d-8f09-40a9-a9cb-2482ec2cd2ca"/>
    <xsd:import namespace="ba69df13-0c3c-4942-8695-6ca01564010c"/>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SearchProperties" minOccurs="0"/>
                <xsd:element ref="ns2:MediaServiceDateTaken" minOccurs="0"/>
                <xsd:element ref="ns2:MediaServiceOCR" minOccurs="0"/>
                <xsd:element ref="ns2:MediaServiceGenerationTime" minOccurs="0"/>
                <xsd:element ref="ns2:MediaServiceEventHashCode" minOccurs="0"/>
                <xsd:element ref="ns2:MediaServiceObjectDetectorVersion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380bd5d-8f09-40a9-a9cb-2482ec2cd2c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058b0421-3d9b-4d43-8840-b275eef407cc" ma:termSetId="09814cd3-568e-fe90-9814-8d621ff8fb84" ma:anchorId="fba54fb3-c3e1-fe81-a776-ca4b69148c4d" ma:open="true" ma:isKeyword="false">
      <xsd:complexType>
        <xsd:sequence>
          <xsd:element ref="pc:Terms" minOccurs="0" maxOccurs="1"/>
        </xsd:sequence>
      </xsd:complexType>
    </xsd:element>
    <xsd:element name="MediaServiceSearchProperties" ma:index="15" nillable="true" ma:displayName="MediaServiceSearchProperties" ma:hidden="true" ma:internalName="MediaServiceSearchProperties" ma:readOnly="true">
      <xsd:simpleType>
        <xsd:restriction base="dms:Note"/>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a69df13-0c3c-4942-8695-6ca01564010c"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4f6a6e9f-0001-4698-9992-b49f02fb9f95}" ma:internalName="TaxCatchAll" ma:showField="CatchAllData" ma:web="ba69df13-0c3c-4942-8695-6ca01564010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8D9622E-5CA2-422C-A7EF-5AF7D24ED367}">
  <ds:schemaRefs>
    <ds:schemaRef ds:uri="http://schemas.microsoft.com/sharepoint/v3/contenttype/forms"/>
  </ds:schemaRefs>
</ds:datastoreItem>
</file>

<file path=customXml/itemProps2.xml><?xml version="1.0" encoding="utf-8"?>
<ds:datastoreItem xmlns:ds="http://schemas.openxmlformats.org/officeDocument/2006/customXml" ds:itemID="{702FBB4C-6ADF-4262-9F1C-6F0710538C55}">
  <ds:schemaRefs>
    <ds:schemaRef ds:uri="http://purl.org/dc/elements/1.1/"/>
    <ds:schemaRef ds:uri="http://www.w3.org/XML/1998/namespace"/>
    <ds:schemaRef ds:uri="http://schemas.microsoft.com/office/2006/documentManagement/types"/>
    <ds:schemaRef ds:uri="http://purl.org/dc/dcmitype/"/>
    <ds:schemaRef ds:uri="http://schemas.microsoft.com/office/infopath/2007/PartnerControls"/>
    <ds:schemaRef ds:uri="http://schemas.openxmlformats.org/package/2006/metadata/core-properties"/>
    <ds:schemaRef ds:uri="ba69df13-0c3c-4942-8695-6ca01564010c"/>
    <ds:schemaRef ds:uri="2380bd5d-8f09-40a9-a9cb-2482ec2cd2ca"/>
    <ds:schemaRef ds:uri="http://schemas.microsoft.com/office/2006/metadata/properties"/>
    <ds:schemaRef ds:uri="http://purl.org/dc/terms/"/>
  </ds:schemaRefs>
</ds:datastoreItem>
</file>

<file path=customXml/itemProps3.xml><?xml version="1.0" encoding="utf-8"?>
<ds:datastoreItem xmlns:ds="http://schemas.openxmlformats.org/officeDocument/2006/customXml" ds:itemID="{4BF729C1-2A77-4DA5-8EB2-604979B5942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380bd5d-8f09-40a9-a9cb-2482ec2cd2ca"/>
    <ds:schemaRef ds:uri="ba69df13-0c3c-4942-8695-6ca01564010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Masters URP (OUA)</vt:lpstr>
      <vt:lpstr>GC DevPlan (OUA)</vt:lpstr>
      <vt:lpstr>GC Geog (OUA)</vt:lpstr>
      <vt:lpstr>Unitsets</vt:lpstr>
      <vt:lpstr>Handbook</vt:lpstr>
      <vt:lpstr>Structures</vt:lpstr>
      <vt:lpstr>Availabilities</vt:lpstr>
      <vt:lpstr>'GC DevPlan (OUA)'!Print_Area</vt:lpstr>
      <vt:lpstr>'GC Geog (OUA)'!Print_Area</vt:lpstr>
      <vt:lpstr>'Masters URP (OUA)'!Print_Area</vt:lpstr>
      <vt:lpstr>RangeOptions</vt:lpstr>
      <vt:lpstr>RangeUnitsets</vt:lpstr>
    </vt:vector>
  </TitlesOfParts>
  <Manager/>
  <Company>Curtin University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Stephanie Cook</dc:creator>
  <cp:keywords/>
  <dc:description/>
  <cp:lastModifiedBy>Mark Kerr</cp:lastModifiedBy>
  <cp:revision/>
  <cp:lastPrinted>2024-11-26T07:08:55Z</cp:lastPrinted>
  <dcterms:created xsi:type="dcterms:W3CDTF">2022-02-28T04:48:12Z</dcterms:created>
  <dcterms:modified xsi:type="dcterms:W3CDTF">2024-11-26T07:10:27Z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0x0101007D5A8BA5900D0D41A965F85AF3329359</vt:lpwstr>
  </property>
  <property fmtid="{D5CDD505-2E9C-101B-9397-08002B2CF9AE}" pid="3" name="xd_ProgID">
    <vt:lpwstr/>
  </property>
  <property fmtid="{D5CDD505-2E9C-101B-9397-08002B2CF9AE}" pid="4" name="MediaServiceImageTags">
    <vt:lpwstr/>
  </property>
  <property fmtid="{D5CDD505-2E9C-101B-9397-08002B2CF9AE}" pid="5" name="ComplianceAssetId">
    <vt:lpwstr/>
  </property>
  <property fmtid="{D5CDD505-2E9C-101B-9397-08002B2CF9AE}" pid="6" name="TemplateUrl">
    <vt:lpwstr/>
  </property>
  <property fmtid="{D5CDD505-2E9C-101B-9397-08002B2CF9AE}" pid="7" name="_ExtendedDescription">
    <vt:lpwstr/>
  </property>
  <property fmtid="{D5CDD505-2E9C-101B-9397-08002B2CF9AE}" pid="8" name="TriggerFlowInfo">
    <vt:lpwstr/>
  </property>
  <property fmtid="{D5CDD505-2E9C-101B-9397-08002B2CF9AE}" pid="9" name="xd_Signature">
    <vt:bool>false</vt:bool>
  </property>
</Properties>
</file>