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264CE294-3B8B-434E-BE02-EAE695066AC3}" xr6:coauthVersionLast="47" xr6:coauthVersionMax="47" xr10:uidLastSave="{00000000-0000-0000-0000-000000000000}"/>
  <workbookProtection workbookAlgorithmName="SHA-512" workbookHashValue="AY4lztNgy6CrcC6d2mVKGE3UwVVevZJQtjY4rgvX8lwKvDWmpZmHpatWBYX/a2zfzebv2RT6pdhwyYoowyHjdg==" workbookSaltValue="CrAot+L8njnWiCugjghk4A==" workbookSpinCount="100000" lockStructure="1"/>
  <bookViews>
    <workbookView xWindow="-120" yWindow="-120" windowWidth="29040" windowHeight="17520" xr2:uid="{00000000-000D-0000-FFFF-FFFF00000000}"/>
  </bookViews>
  <sheets>
    <sheet name="B-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'B-Architecture Planner'!$A$3:$L$67</definedName>
    <definedName name="RangeSpecSets">Unitsets!$L$33:$S$49</definedName>
    <definedName name="RangeUnitsets">Unitsets!$L$3:$AQ$27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5" l="1"/>
  <c r="G64" i="3"/>
  <c r="H64" i="3"/>
  <c r="I64" i="3"/>
  <c r="J64" i="3"/>
  <c r="L64" i="3"/>
  <c r="M64" i="3"/>
  <c r="N64" i="3"/>
  <c r="O64" i="3"/>
  <c r="P64" i="3"/>
  <c r="G59" i="3"/>
  <c r="H59" i="3"/>
  <c r="I59" i="3"/>
  <c r="J59" i="3"/>
  <c r="L59" i="3"/>
  <c r="M59" i="3"/>
  <c r="N59" i="3"/>
  <c r="O59" i="3"/>
  <c r="P59" i="3"/>
  <c r="D38" i="8"/>
  <c r="C38" i="8"/>
  <c r="D41" i="8"/>
  <c r="G36" i="3"/>
  <c r="H36" i="3"/>
  <c r="I36" i="3"/>
  <c r="J36" i="3"/>
  <c r="L36" i="3"/>
  <c r="M36" i="3"/>
  <c r="O36" i="3"/>
  <c r="P36" i="3"/>
  <c r="G34" i="3"/>
  <c r="H34" i="3"/>
  <c r="I34" i="3"/>
  <c r="J34" i="3"/>
  <c r="L34" i="3"/>
  <c r="M34" i="3"/>
  <c r="O34" i="3"/>
  <c r="P34" i="3"/>
  <c r="J60" i="3"/>
  <c r="J65" i="3"/>
  <c r="I65" i="3"/>
  <c r="H65" i="3"/>
  <c r="G65" i="3"/>
  <c r="J63" i="3"/>
  <c r="I63" i="3"/>
  <c r="H63" i="3"/>
  <c r="G63" i="3"/>
  <c r="J62" i="3"/>
  <c r="I62" i="3"/>
  <c r="H62" i="3"/>
  <c r="G62" i="3"/>
  <c r="J61" i="3"/>
  <c r="I61" i="3"/>
  <c r="H61" i="3"/>
  <c r="G61" i="3"/>
  <c r="I60" i="3"/>
  <c r="H60" i="3"/>
  <c r="G60"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5" i="3"/>
  <c r="I35" i="3"/>
  <c r="H35" i="3"/>
  <c r="G35"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7" i="5" l="1"/>
  <c r="P1" i="3"/>
  <c r="O1" i="3"/>
  <c r="N1" i="3"/>
  <c r="M1" i="3"/>
  <c r="L1" i="3"/>
  <c r="K1" i="3"/>
  <c r="J1" i="3"/>
  <c r="I1" i="3"/>
  <c r="H1" i="3"/>
  <c r="G1" i="3"/>
  <c r="F1" i="3"/>
  <c r="E1" i="3"/>
  <c r="D1" i="3"/>
  <c r="C1" i="3"/>
  <c r="B1" i="3"/>
  <c r="A1" i="3"/>
  <c r="H46" i="5"/>
  <c r="L47" i="5"/>
  <c r="K47" i="5"/>
  <c r="J47" i="5"/>
  <c r="I47" i="5"/>
  <c r="H47" i="5"/>
  <c r="L33" i="5"/>
  <c r="K33" i="5"/>
  <c r="J33" i="5"/>
  <c r="I33" i="5"/>
  <c r="H33" i="5"/>
  <c r="L21" i="5"/>
  <c r="K21" i="5"/>
  <c r="J21" i="5"/>
  <c r="I21" i="5"/>
  <c r="H21" i="5"/>
  <c r="L5" i="5" l="1"/>
  <c r="D3" i="8" l="1"/>
  <c r="D60" i="8" l="1"/>
  <c r="D61" i="8"/>
  <c r="D62" i="8"/>
  <c r="D63" i="8"/>
  <c r="D64" i="8"/>
  <c r="D65" i="8"/>
  <c r="D49" i="8"/>
  <c r="D46" i="8"/>
  <c r="D47" i="8"/>
  <c r="D48" i="8"/>
  <c r="D50" i="8"/>
  <c r="D51" i="8"/>
  <c r="D52" i="8"/>
  <c r="D53" i="8"/>
  <c r="D54" i="8"/>
  <c r="D55" i="8"/>
  <c r="D56" i="8"/>
  <c r="D57" i="8"/>
  <c r="J3" i="3" l="1"/>
  <c r="I3" i="3"/>
  <c r="H3" i="3"/>
  <c r="G3" i="3"/>
  <c r="A54" i="8" l="1"/>
  <c r="A55" i="8"/>
  <c r="A56" i="8"/>
  <c r="A57" i="8"/>
  <c r="B54" i="8"/>
  <c r="B55" i="8"/>
  <c r="B56" i="8"/>
  <c r="B57" i="8"/>
  <c r="C54" i="8"/>
  <c r="C55" i="8"/>
  <c r="C56" i="8"/>
  <c r="C57" i="8"/>
  <c r="E54" i="8"/>
  <c r="E55" i="8"/>
  <c r="E56" i="8"/>
  <c r="E57" i="8"/>
  <c r="D39" i="8" l="1"/>
  <c r="D40" i="8"/>
  <c r="D42" i="8"/>
  <c r="D43" i="8"/>
  <c r="D30" i="8" l="1"/>
  <c r="D31" i="8"/>
  <c r="D32" i="8"/>
  <c r="D33" i="8"/>
  <c r="D34" i="8"/>
  <c r="D35" i="8"/>
  <c r="C64" i="8" l="1"/>
  <c r="C65" i="8"/>
  <c r="C61" i="8"/>
  <c r="C62" i="8"/>
  <c r="C50" i="8"/>
  <c r="C51" i="8"/>
  <c r="C52" i="8"/>
  <c r="C53" i="8"/>
  <c r="C47" i="8"/>
  <c r="C31" i="8"/>
  <c r="C32" i="8"/>
  <c r="C34" i="8"/>
  <c r="C35" i="8"/>
  <c r="C39" i="8"/>
  <c r="C40" i="8"/>
  <c r="C42" i="8"/>
  <c r="C43" i="8"/>
  <c r="C60" i="8"/>
  <c r="C46" i="8"/>
  <c r="C30" i="8"/>
  <c r="D25" i="8" l="1"/>
  <c r="D26" i="8"/>
  <c r="D27" i="8"/>
  <c r="D24" i="8"/>
  <c r="D4" i="8" l="1"/>
  <c r="D5" i="8"/>
  <c r="D6" i="8"/>
  <c r="D7" i="8"/>
  <c r="D8" i="8"/>
  <c r="D9" i="8"/>
  <c r="D10" i="8"/>
  <c r="D11" i="8"/>
  <c r="D12" i="8"/>
  <c r="D13" i="8"/>
  <c r="D14" i="8"/>
  <c r="D15" i="8"/>
  <c r="D16" i="8"/>
  <c r="D17" i="8"/>
  <c r="D18" i="8"/>
  <c r="D19" i="8"/>
  <c r="D20" i="8"/>
  <c r="D21" i="8"/>
  <c r="D22" i="8"/>
  <c r="D23" i="8"/>
  <c r="C4" i="8" l="1"/>
  <c r="C5" i="8"/>
  <c r="C6" i="8"/>
  <c r="C7" i="8"/>
  <c r="C8" i="8"/>
  <c r="C9" i="8"/>
  <c r="C10" i="8"/>
  <c r="C11" i="8"/>
  <c r="C12" i="8"/>
  <c r="C13" i="8"/>
  <c r="C14" i="8"/>
  <c r="C15" i="8"/>
  <c r="C16" i="8"/>
  <c r="C17" i="8"/>
  <c r="C18" i="8"/>
  <c r="C19" i="8"/>
  <c r="C20" i="8"/>
  <c r="C21" i="8"/>
  <c r="C22" i="8"/>
  <c r="C23" i="8"/>
  <c r="L6" i="5" l="1"/>
  <c r="A62" i="5" s="1"/>
  <c r="K62" i="5" l="1"/>
  <c r="B62" i="5"/>
  <c r="J62" i="5"/>
  <c r="I62" i="5"/>
  <c r="H62" i="5"/>
  <c r="D62" i="5"/>
  <c r="G62" i="5"/>
  <c r="F62" i="5"/>
  <c r="C62" i="5"/>
  <c r="A58" i="5"/>
  <c r="A63" i="5"/>
  <c r="A60" i="5"/>
  <c r="A57" i="5"/>
  <c r="A55" i="5"/>
  <c r="A61" i="5"/>
  <c r="A59" i="5"/>
  <c r="A56" i="5"/>
  <c r="A53" i="5"/>
  <c r="A54" i="5"/>
  <c r="A49" i="5"/>
  <c r="A50" i="5"/>
  <c r="A52" i="5"/>
  <c r="A51" i="5"/>
  <c r="K56" i="5" l="1"/>
  <c r="C56" i="5"/>
  <c r="F56" i="5"/>
  <c r="D56" i="5"/>
  <c r="J56" i="5"/>
  <c r="H56" i="5"/>
  <c r="I56" i="5"/>
  <c r="B56" i="5"/>
  <c r="G56" i="5"/>
  <c r="I61" i="5"/>
  <c r="K61" i="5"/>
  <c r="C61" i="5"/>
  <c r="B61" i="5"/>
  <c r="J61" i="5"/>
  <c r="H61" i="5"/>
  <c r="G61" i="5"/>
  <c r="D61" i="5"/>
  <c r="F61" i="5"/>
  <c r="D55" i="5"/>
  <c r="F55" i="5"/>
  <c r="G55" i="5"/>
  <c r="H55" i="5"/>
  <c r="J55" i="5"/>
  <c r="C55" i="5"/>
  <c r="B55" i="5"/>
  <c r="K55" i="5"/>
  <c r="I55" i="5"/>
  <c r="I57" i="5"/>
  <c r="F57" i="5"/>
  <c r="C57" i="5"/>
  <c r="D57" i="5"/>
  <c r="G57" i="5"/>
  <c r="B57" i="5"/>
  <c r="J57" i="5"/>
  <c r="H57" i="5"/>
  <c r="K57" i="5"/>
  <c r="K60" i="5"/>
  <c r="C60" i="5"/>
  <c r="D60" i="5"/>
  <c r="F60" i="5"/>
  <c r="I60" i="5"/>
  <c r="J60" i="5"/>
  <c r="G60" i="5"/>
  <c r="H60" i="5"/>
  <c r="B60" i="5"/>
  <c r="G63" i="5"/>
  <c r="I63" i="5"/>
  <c r="C63" i="5"/>
  <c r="H63" i="5"/>
  <c r="K63" i="5"/>
  <c r="D63" i="5"/>
  <c r="F63" i="5"/>
  <c r="B63" i="5"/>
  <c r="J63" i="5"/>
  <c r="D59" i="5"/>
  <c r="H59" i="5"/>
  <c r="F59" i="5"/>
  <c r="G59" i="5"/>
  <c r="J59" i="5"/>
  <c r="I59" i="5"/>
  <c r="C59" i="5"/>
  <c r="K59" i="5"/>
  <c r="B59" i="5"/>
  <c r="G58" i="5"/>
  <c r="I58" i="5"/>
  <c r="H58" i="5"/>
  <c r="K58" i="5"/>
  <c r="F58" i="5"/>
  <c r="C58" i="5"/>
  <c r="J58" i="5"/>
  <c r="D58" i="5"/>
  <c r="B58" i="5"/>
  <c r="K51" i="5"/>
  <c r="J51" i="5"/>
  <c r="I51" i="5"/>
  <c r="H51" i="5"/>
  <c r="K49" i="5"/>
  <c r="J49" i="5"/>
  <c r="I49" i="5"/>
  <c r="H49" i="5"/>
  <c r="K52" i="5"/>
  <c r="J52" i="5"/>
  <c r="I52" i="5"/>
  <c r="H52" i="5"/>
  <c r="G6" i="5"/>
  <c r="G5" i="5"/>
  <c r="H50" i="5" l="1"/>
  <c r="H53" i="5"/>
  <c r="J50" i="5"/>
  <c r="J53" i="5"/>
  <c r="K50" i="5"/>
  <c r="K53" i="5"/>
  <c r="I50" i="5"/>
  <c r="I53" i="5"/>
  <c r="H54" i="5"/>
  <c r="I54" i="5"/>
  <c r="J54" i="5"/>
  <c r="K54" i="5"/>
  <c r="E43" i="8" l="1"/>
  <c r="B43" i="8"/>
  <c r="A43" i="8"/>
  <c r="E42" i="8"/>
  <c r="B42" i="8"/>
  <c r="A42" i="8"/>
  <c r="E41" i="8"/>
  <c r="B41" i="8"/>
  <c r="A41" i="8"/>
  <c r="E40" i="8"/>
  <c r="B40" i="8"/>
  <c r="A40" i="8"/>
  <c r="E39" i="8"/>
  <c r="B39" i="8"/>
  <c r="A39" i="8"/>
  <c r="E38" i="8"/>
  <c r="B38" i="8"/>
  <c r="A38" i="8"/>
  <c r="N36" i="3" l="1"/>
  <c r="N34" i="3"/>
  <c r="N60" i="3"/>
  <c r="N24" i="3"/>
  <c r="N4" i="3"/>
  <c r="N5" i="3"/>
  <c r="N9" i="3"/>
  <c r="N48" i="3"/>
  <c r="N8" i="3"/>
  <c r="N49" i="3"/>
  <c r="N43" i="3"/>
  <c r="N45" i="3"/>
  <c r="N47" i="3"/>
  <c r="N61" i="3"/>
  <c r="N62" i="3"/>
  <c r="N65" i="3"/>
  <c r="N33" i="3"/>
  <c r="N7" i="3"/>
  <c r="N6" i="3"/>
  <c r="N52" i="3"/>
  <c r="N16" i="3"/>
  <c r="N25" i="3"/>
  <c r="N53" i="3"/>
  <c r="N17" i="3"/>
  <c r="N26" i="3"/>
  <c r="N35" i="3"/>
  <c r="N54" i="3"/>
  <c r="N30" i="3"/>
  <c r="N31" i="3"/>
  <c r="N41" i="3"/>
  <c r="N10" i="3"/>
  <c r="N18" i="3"/>
  <c r="N27" i="3"/>
  <c r="N37" i="3"/>
  <c r="N44" i="3"/>
  <c r="N55" i="3"/>
  <c r="N21" i="3"/>
  <c r="N22" i="3"/>
  <c r="N63" i="3"/>
  <c r="N11" i="3"/>
  <c r="N19" i="3"/>
  <c r="N28" i="3"/>
  <c r="N38" i="3"/>
  <c r="N56" i="3"/>
  <c r="N13" i="3"/>
  <c r="N50" i="3"/>
  <c r="N12" i="3"/>
  <c r="N20" i="3"/>
  <c r="N29" i="3"/>
  <c r="N39" i="3"/>
  <c r="N46" i="3"/>
  <c r="N57" i="3"/>
  <c r="N40" i="3"/>
  <c r="N58" i="3"/>
  <c r="N14" i="3"/>
  <c r="N51" i="3"/>
  <c r="N15" i="3"/>
  <c r="N23" i="3"/>
  <c r="N32" i="3"/>
  <c r="N42" i="3"/>
  <c r="N3" i="3"/>
  <c r="A44" i="5"/>
  <c r="A32" i="5"/>
  <c r="A20" i="5"/>
  <c r="A43" i="5"/>
  <c r="A31" i="5"/>
  <c r="A19" i="5"/>
  <c r="A41" i="5"/>
  <c r="A29" i="5"/>
  <c r="A17" i="5"/>
  <c r="A28" i="5"/>
  <c r="A16" i="5"/>
  <c r="A38" i="5"/>
  <c r="A14" i="5"/>
  <c r="A37" i="5"/>
  <c r="A13" i="5"/>
  <c r="A35" i="5"/>
  <c r="A10" i="5"/>
  <c r="A40" i="5"/>
  <c r="A25" i="5"/>
  <c r="A11" i="5"/>
  <c r="A22" i="5"/>
  <c r="A26" i="5"/>
  <c r="A23" i="5"/>
  <c r="A34" i="5"/>
  <c r="D50" i="5"/>
  <c r="D54" i="5"/>
  <c r="G53" i="5"/>
  <c r="K16" i="5" l="1"/>
  <c r="J16" i="5"/>
  <c r="I16" i="5"/>
  <c r="H16" i="5"/>
  <c r="H41" i="5"/>
  <c r="I41" i="5"/>
  <c r="K41" i="5"/>
  <c r="J41" i="5"/>
  <c r="J11" i="5"/>
  <c r="I11" i="5"/>
  <c r="K11" i="5"/>
  <c r="H11" i="5"/>
  <c r="I38" i="5"/>
  <c r="H38" i="5"/>
  <c r="J38" i="5"/>
  <c r="K38" i="5"/>
  <c r="K43" i="5"/>
  <c r="J43" i="5"/>
  <c r="I43" i="5"/>
  <c r="H43" i="5"/>
  <c r="K40" i="5"/>
  <c r="J40" i="5"/>
  <c r="I40" i="5"/>
  <c r="H40" i="5"/>
  <c r="J32" i="5"/>
  <c r="I32" i="5"/>
  <c r="H32" i="5"/>
  <c r="K32" i="5"/>
  <c r="K10" i="5"/>
  <c r="J10" i="5"/>
  <c r="I10" i="5"/>
  <c r="H10" i="5"/>
  <c r="H17" i="5"/>
  <c r="K17" i="5"/>
  <c r="J17" i="5"/>
  <c r="I17" i="5"/>
  <c r="J44" i="5"/>
  <c r="K44" i="5"/>
  <c r="I44" i="5"/>
  <c r="H44" i="5"/>
  <c r="K25" i="5"/>
  <c r="J25" i="5"/>
  <c r="I25" i="5"/>
  <c r="H25" i="5"/>
  <c r="K28" i="5"/>
  <c r="J28" i="5"/>
  <c r="I28" i="5"/>
  <c r="H28" i="5"/>
  <c r="K34" i="5"/>
  <c r="J34" i="5"/>
  <c r="I34" i="5"/>
  <c r="H34" i="5"/>
  <c r="H35" i="5"/>
  <c r="I35" i="5"/>
  <c r="J35" i="5"/>
  <c r="K35" i="5"/>
  <c r="J29" i="5"/>
  <c r="K29" i="5"/>
  <c r="I29" i="5"/>
  <c r="H29" i="5"/>
  <c r="I23" i="5"/>
  <c r="H23" i="5"/>
  <c r="J23" i="5"/>
  <c r="K23" i="5"/>
  <c r="H26" i="5"/>
  <c r="I26" i="5"/>
  <c r="K26" i="5"/>
  <c r="J26" i="5"/>
  <c r="K37" i="5"/>
  <c r="J37" i="5"/>
  <c r="I37" i="5"/>
  <c r="H37" i="5"/>
  <c r="K19" i="5"/>
  <c r="J19" i="5"/>
  <c r="I19" i="5"/>
  <c r="H19" i="5"/>
  <c r="H20" i="5"/>
  <c r="J20" i="5"/>
  <c r="I20" i="5"/>
  <c r="K20" i="5"/>
  <c r="K13" i="5"/>
  <c r="J13" i="5"/>
  <c r="I13" i="5"/>
  <c r="H13" i="5"/>
  <c r="K22" i="5"/>
  <c r="J22" i="5"/>
  <c r="I22" i="5"/>
  <c r="H22" i="5"/>
  <c r="J14" i="5"/>
  <c r="H14" i="5"/>
  <c r="I14" i="5"/>
  <c r="K14" i="5"/>
  <c r="K31" i="5"/>
  <c r="J31" i="5"/>
  <c r="I31" i="5"/>
  <c r="H31" i="5"/>
  <c r="C54" i="5"/>
  <c r="F54" i="5"/>
  <c r="B54" i="5"/>
  <c r="G54" i="5"/>
  <c r="B50" i="5"/>
  <c r="G50" i="5"/>
  <c r="F50" i="5"/>
  <c r="C50" i="5"/>
  <c r="G52" i="5"/>
  <c r="C53" i="5"/>
  <c r="D53" i="5"/>
  <c r="C52" i="5"/>
  <c r="F52" i="5"/>
  <c r="B53" i="5"/>
  <c r="D52" i="5"/>
  <c r="B52" i="5"/>
  <c r="F53" i="5"/>
  <c r="B51" i="5"/>
  <c r="G51" i="5"/>
  <c r="F51" i="5"/>
  <c r="D51" i="5"/>
  <c r="C51" i="5"/>
  <c r="A31" i="8" l="1"/>
  <c r="A65" i="8" l="1"/>
  <c r="B65" i="8"/>
  <c r="E65" i="8"/>
  <c r="A64" i="8" l="1"/>
  <c r="B64" i="8"/>
  <c r="E64" i="8"/>
  <c r="A47" i="8" l="1"/>
  <c r="A50" i="8"/>
  <c r="A51" i="8"/>
  <c r="A52" i="8"/>
  <c r="A53" i="8"/>
  <c r="B50" i="8"/>
  <c r="B51" i="8"/>
  <c r="B52" i="8"/>
  <c r="B53" i="8"/>
  <c r="E50" i="8"/>
  <c r="E51" i="8"/>
  <c r="E52" i="8"/>
  <c r="E53" i="8"/>
  <c r="E43" i="5" l="1"/>
  <c r="E31" i="5"/>
  <c r="E40" i="5"/>
  <c r="E28" i="5"/>
  <c r="E37" i="5"/>
  <c r="E25" i="5"/>
  <c r="E34" i="5"/>
  <c r="E22" i="5"/>
  <c r="E16" i="5"/>
  <c r="E19" i="5"/>
  <c r="E13" i="5"/>
  <c r="E10" i="5"/>
  <c r="E38" i="5" l="1"/>
  <c r="E41" i="5"/>
  <c r="E35" i="5"/>
  <c r="E44" i="5"/>
  <c r="E20" i="5"/>
  <c r="E23" i="5"/>
  <c r="E29" i="5"/>
  <c r="E11" i="5"/>
  <c r="E17" i="5"/>
  <c r="E14" i="5"/>
  <c r="E63" i="8" l="1"/>
  <c r="B63" i="8"/>
  <c r="A63" i="8"/>
  <c r="E62" i="8"/>
  <c r="B62" i="8"/>
  <c r="A62" i="8"/>
  <c r="E61" i="8"/>
  <c r="B61" i="8"/>
  <c r="A61" i="8"/>
  <c r="E60" i="8"/>
  <c r="B60" i="8"/>
  <c r="A60" i="8"/>
  <c r="P24" i="3" l="1"/>
  <c r="P60" i="3"/>
  <c r="P4" i="3"/>
  <c r="P5" i="3"/>
  <c r="P9" i="3"/>
  <c r="P49" i="3"/>
  <c r="P43" i="3"/>
  <c r="P48" i="3"/>
  <c r="P45" i="3"/>
  <c r="P65" i="3"/>
  <c r="P47" i="3"/>
  <c r="P62" i="3"/>
  <c r="P61" i="3"/>
  <c r="P8" i="3"/>
  <c r="P33" i="3"/>
  <c r="P7" i="3"/>
  <c r="P6" i="3"/>
  <c r="P52" i="3"/>
  <c r="P3" i="3"/>
  <c r="P10" i="3"/>
  <c r="P11" i="3"/>
  <c r="P12" i="3"/>
  <c r="P13" i="3"/>
  <c r="P14" i="3"/>
  <c r="P15" i="3"/>
  <c r="P16" i="3"/>
  <c r="P17" i="3"/>
  <c r="P18" i="3"/>
  <c r="P19" i="3"/>
  <c r="P20" i="3"/>
  <c r="P21" i="3"/>
  <c r="P22" i="3"/>
  <c r="P23" i="3"/>
  <c r="P25" i="3"/>
  <c r="P26" i="3"/>
  <c r="P27" i="3"/>
  <c r="P28" i="3"/>
  <c r="P29" i="3"/>
  <c r="P30" i="3"/>
  <c r="P31" i="3"/>
  <c r="P32" i="3"/>
  <c r="P35" i="3"/>
  <c r="P37" i="3"/>
  <c r="P38" i="3"/>
  <c r="P39" i="3"/>
  <c r="P40" i="3"/>
  <c r="P41" i="3"/>
  <c r="P42" i="3"/>
  <c r="P44" i="3"/>
  <c r="P46" i="3"/>
  <c r="P50" i="3"/>
  <c r="P51" i="3"/>
  <c r="P53" i="3"/>
  <c r="P54" i="3"/>
  <c r="P55" i="3"/>
  <c r="P56" i="3"/>
  <c r="P57" i="3"/>
  <c r="P58" i="3"/>
  <c r="P63" i="3"/>
  <c r="E32" i="5"/>
  <c r="E26" i="5"/>
  <c r="G49" i="5" l="1"/>
  <c r="C49" i="5" l="1"/>
  <c r="D49" i="5"/>
  <c r="F49" i="5"/>
  <c r="B49" i="5"/>
  <c r="E47" i="8" l="1"/>
  <c r="B47" i="8"/>
  <c r="E48" i="8"/>
  <c r="B48" i="8"/>
  <c r="A48" i="8"/>
  <c r="E46" i="8"/>
  <c r="B46" i="8"/>
  <c r="A46" i="8"/>
  <c r="E49" i="8"/>
  <c r="B49" i="8"/>
  <c r="A49" i="8"/>
  <c r="O60" i="3" l="1"/>
  <c r="O24" i="3"/>
  <c r="O4" i="3"/>
  <c r="O5" i="3"/>
  <c r="O9" i="3"/>
  <c r="O48" i="3"/>
  <c r="O8" i="3"/>
  <c r="O49" i="3"/>
  <c r="O43" i="3"/>
  <c r="O45" i="3"/>
  <c r="O47" i="3"/>
  <c r="O61" i="3"/>
  <c r="O62" i="3"/>
  <c r="O65" i="3"/>
  <c r="O33" i="3"/>
  <c r="O7" i="3"/>
  <c r="O6" i="3"/>
  <c r="O52" i="3"/>
  <c r="O3" i="3"/>
  <c r="O10" i="3"/>
  <c r="O11" i="3"/>
  <c r="O12" i="3"/>
  <c r="O13" i="3"/>
  <c r="O14" i="3"/>
  <c r="O15" i="3"/>
  <c r="O16" i="3"/>
  <c r="O17" i="3"/>
  <c r="O18" i="3"/>
  <c r="O19" i="3"/>
  <c r="O20" i="3"/>
  <c r="O21" i="3"/>
  <c r="O22" i="3"/>
  <c r="O23" i="3"/>
  <c r="O25" i="3"/>
  <c r="O26" i="3"/>
  <c r="O27" i="3"/>
  <c r="O28" i="3"/>
  <c r="O29" i="3"/>
  <c r="O30" i="3"/>
  <c r="O31" i="3"/>
  <c r="O32" i="3"/>
  <c r="O35" i="3"/>
  <c r="O37" i="3"/>
  <c r="O38" i="3"/>
  <c r="O39" i="3"/>
  <c r="O40" i="3"/>
  <c r="O41" i="3"/>
  <c r="O42" i="3"/>
  <c r="O44" i="3"/>
  <c r="O46" i="3"/>
  <c r="O50" i="3"/>
  <c r="O51" i="3"/>
  <c r="O53" i="3"/>
  <c r="O54" i="3"/>
  <c r="O55" i="3"/>
  <c r="O56" i="3"/>
  <c r="O57" i="3"/>
  <c r="O58" i="3"/>
  <c r="O63" i="3"/>
  <c r="A25" i="8"/>
  <c r="A26" i="8"/>
  <c r="A27" i="8"/>
  <c r="B25" i="8"/>
  <c r="B26" i="8"/>
  <c r="B27" i="8"/>
  <c r="E25" i="8"/>
  <c r="E26" i="8"/>
  <c r="E27"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B30" i="8" l="1"/>
  <c r="E30" i="8"/>
  <c r="E31" i="8"/>
  <c r="E32" i="8"/>
  <c r="E33" i="8"/>
  <c r="E34" i="8"/>
  <c r="E35" i="8"/>
  <c r="B31" i="8"/>
  <c r="B32" i="8"/>
  <c r="B33" i="8"/>
  <c r="B34" i="8"/>
  <c r="B35" i="8"/>
  <c r="A30" i="8"/>
  <c r="A32" i="8"/>
  <c r="A33" i="8"/>
  <c r="A34" i="8"/>
  <c r="A35" i="8"/>
  <c r="E3" i="8"/>
  <c r="E4" i="8"/>
  <c r="E5" i="8"/>
  <c r="E6" i="8"/>
  <c r="B3" i="8"/>
  <c r="B4" i="8"/>
  <c r="B5" i="8"/>
  <c r="B6" i="8"/>
  <c r="A4" i="8"/>
  <c r="A5" i="8"/>
  <c r="A6" i="8"/>
  <c r="L60" i="3" l="1"/>
  <c r="L24" i="3"/>
  <c r="M60" i="3"/>
  <c r="M24" i="3"/>
  <c r="L56" i="3"/>
  <c r="L4" i="3"/>
  <c r="L5" i="3"/>
  <c r="L9" i="3"/>
  <c r="L48" i="3"/>
  <c r="L8" i="3"/>
  <c r="L49" i="3"/>
  <c r="L43" i="3"/>
  <c r="L45" i="3"/>
  <c r="L47" i="3"/>
  <c r="L61" i="3"/>
  <c r="L62" i="3"/>
  <c r="L65" i="3"/>
  <c r="M4" i="3"/>
  <c r="M5" i="3"/>
  <c r="M9" i="3"/>
  <c r="M48" i="3"/>
  <c r="M8" i="3"/>
  <c r="M49" i="3"/>
  <c r="M43" i="3"/>
  <c r="M45" i="3"/>
  <c r="M47" i="3"/>
  <c r="M61" i="3"/>
  <c r="M62" i="3"/>
  <c r="M65" i="3"/>
  <c r="L52" i="3"/>
  <c r="L6" i="3"/>
  <c r="L7" i="3"/>
  <c r="M52" i="3"/>
  <c r="M33" i="3"/>
  <c r="M7" i="3"/>
  <c r="M6" i="3"/>
  <c r="L33" i="3"/>
  <c r="L37" i="3"/>
  <c r="L12" i="3"/>
  <c r="L10" i="3"/>
  <c r="L11" i="3"/>
  <c r="L14" i="3"/>
  <c r="L13" i="3"/>
  <c r="L15" i="3"/>
  <c r="L20" i="3"/>
  <c r="L21" i="3"/>
  <c r="L16" i="3"/>
  <c r="L18" i="3"/>
  <c r="L19" i="3"/>
  <c r="L17" i="3"/>
  <c r="L28" i="3"/>
  <c r="L29" i="3"/>
  <c r="L22" i="3"/>
  <c r="L26" i="3"/>
  <c r="L27" i="3"/>
  <c r="L25" i="3"/>
  <c r="L23" i="3"/>
  <c r="L50" i="3"/>
  <c r="L51" i="3"/>
  <c r="L53" i="3"/>
  <c r="L39" i="3"/>
  <c r="L40" i="3"/>
  <c r="L41" i="3"/>
  <c r="L42" i="3"/>
  <c r="L63" i="3"/>
  <c r="L32" i="3"/>
  <c r="L31" i="3"/>
  <c r="L30" i="3"/>
  <c r="L35" i="3"/>
  <c r="L44" i="3"/>
  <c r="L46" i="3"/>
  <c r="L58" i="3"/>
  <c r="L57" i="3"/>
  <c r="L54" i="3"/>
  <c r="L38" i="3"/>
  <c r="M10" i="3"/>
  <c r="M11" i="3"/>
  <c r="M12" i="3"/>
  <c r="M13" i="3"/>
  <c r="M14" i="3"/>
  <c r="M15" i="3"/>
  <c r="M16" i="3"/>
  <c r="M17" i="3"/>
  <c r="M18" i="3"/>
  <c r="M19" i="3"/>
  <c r="M20" i="3"/>
  <c r="M21" i="3"/>
  <c r="M22" i="3"/>
  <c r="M23" i="3"/>
  <c r="M25" i="3"/>
  <c r="M26" i="3"/>
  <c r="M27" i="3"/>
  <c r="M28" i="3"/>
  <c r="M29" i="3"/>
  <c r="M30" i="3"/>
  <c r="M31" i="3"/>
  <c r="M32" i="3"/>
  <c r="M35" i="3"/>
  <c r="M37" i="3"/>
  <c r="M38" i="3"/>
  <c r="M39" i="3"/>
  <c r="M40" i="3"/>
  <c r="M41" i="3"/>
  <c r="M42" i="3"/>
  <c r="M44" i="3"/>
  <c r="M46" i="3"/>
  <c r="M50" i="3"/>
  <c r="M51" i="3"/>
  <c r="M53" i="3"/>
  <c r="M54" i="3"/>
  <c r="M55" i="3"/>
  <c r="M56" i="3"/>
  <c r="M57" i="3"/>
  <c r="M58" i="3"/>
  <c r="M63" i="3"/>
  <c r="M3" i="3"/>
  <c r="L55" i="3"/>
  <c r="L3" i="3"/>
  <c r="C41" i="5" l="1"/>
  <c r="F41" i="5"/>
  <c r="G41" i="5"/>
  <c r="B41" i="5"/>
  <c r="D41" i="5"/>
  <c r="B43" i="5"/>
  <c r="F43" i="5"/>
  <c r="G43" i="5"/>
  <c r="D43" i="5"/>
  <c r="C43" i="5"/>
  <c r="B37" i="5"/>
  <c r="C37" i="5"/>
  <c r="G37" i="5"/>
  <c r="F37" i="5"/>
  <c r="D37" i="5"/>
  <c r="D44" i="5"/>
  <c r="B44" i="5"/>
  <c r="C44" i="5"/>
  <c r="F44" i="5"/>
  <c r="G44" i="5"/>
  <c r="D40" i="5"/>
  <c r="B40" i="5"/>
  <c r="C40" i="5"/>
  <c r="F40" i="5"/>
  <c r="G40" i="5"/>
  <c r="C35" i="5"/>
  <c r="G35" i="5"/>
  <c r="D35" i="5"/>
  <c r="F35" i="5"/>
  <c r="B35" i="5"/>
  <c r="C38" i="5"/>
  <c r="G38" i="5"/>
  <c r="F38" i="5"/>
  <c r="B38" i="5"/>
  <c r="D38"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<sst xmlns="http://schemas.openxmlformats.org/spreadsheetml/2006/main" count="1766" uniqueCount="398">
  <si>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</si>
  <si>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</si>
  <si>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</si>
  <si>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</si>
  <si>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</si>
  <si>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</si>
  <si>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</si>
  <si>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</si>
  <si>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</si>
  <si>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</si>
  <si>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</si>
  <si>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(Architectural Science) (OpenUnis)</t>
  </si>
  <si>
    <t>Stream version:</t>
  </si>
  <si>
    <t>Specialisation:</t>
  </si>
  <si>
    <t>Interior Architecture Specialisation (OpenUnis)</t>
  </si>
  <si>
    <t>Specialisation version:</t>
  </si>
  <si>
    <t>Commencing:</t>
  </si>
  <si>
    <t>Study Period 1 (February - May)</t>
  </si>
  <si>
    <t>Credits to Complete:</t>
  </si>
  <si>
    <t>2025 Availabilities</t>
  </si>
  <si>
    <t>Year 1</t>
  </si>
  <si>
    <t>Study Period</t>
  </si>
  <si>
    <t>Pre-Requisite(s)</t>
  </si>
  <si>
    <t>CP</t>
  </si>
  <si>
    <t>SP1</t>
  </si>
  <si>
    <t>SP2</t>
  </si>
  <si>
    <t>SP3</t>
  </si>
  <si>
    <t>SP4</t>
  </si>
  <si>
    <t>Notes / Progress</t>
  </si>
  <si>
    <t>Year 2</t>
  </si>
  <si>
    <t>Year 3</t>
  </si>
  <si>
    <t>Note: Provided you meet any pre requisites, and the subject is available, you may study specialisation subjects in any order.</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</si>
  <si>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</si>
  <si>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</si>
  <si>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</si>
  <si>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</si>
  <si>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Good</t>
  </si>
  <si>
    <t>Issue Y3</t>
  </si>
  <si>
    <t>RangeUnitSets</t>
  </si>
  <si>
    <t>OSCU-ANGADSP1</t>
  </si>
  <si>
    <t>OSCU-ANGADSP2</t>
  </si>
  <si>
    <t>OSCU-ANGADSP3</t>
  </si>
  <si>
    <t>OSCU-ANGADSP4</t>
  </si>
  <si>
    <t>OSCU-CONMSSP1</t>
  </si>
  <si>
    <t>OSCU-CONMSSP2</t>
  </si>
  <si>
    <t>OSCU-CONMSSP3</t>
  </si>
  <si>
    <t>OSCU-CONMSSP4</t>
  </si>
  <si>
    <t>OSCU-INARSSP1</t>
  </si>
  <si>
    <t>OSCU-INARSSP2</t>
  </si>
  <si>
    <t>OSCU-INARSSP3</t>
  </si>
  <si>
    <t>OSCU-INARSSP4</t>
  </si>
  <si>
    <t>OSCU-PLGEOSP1</t>
  </si>
  <si>
    <t>OSCU-PLGEOSP2</t>
  </si>
  <si>
    <t>OSCU-PLGEOSP3</t>
  </si>
  <si>
    <t>OSCU-PLGEOSP4</t>
  </si>
  <si>
    <t>Y1SP1</t>
  </si>
  <si>
    <t>ARCH1010</t>
  </si>
  <si>
    <t>Y1SP2</t>
  </si>
  <si>
    <t>ARCH1021</t>
  </si>
  <si>
    <t>Y1SP3</t>
  </si>
  <si>
    <t>Y1SP4</t>
  </si>
  <si>
    <t>ARCH1020</t>
  </si>
  <si>
    <t>COMS1007</t>
  </si>
  <si>
    <t>TableCourses</t>
  </si>
  <si>
    <t>Choose your Course</t>
  </si>
  <si>
    <t>SM Version</t>
  </si>
  <si>
    <t>SM Effective Date</t>
  </si>
  <si>
    <t>Akari Iteration</t>
  </si>
  <si>
    <t>Akari Effective Date</t>
  </si>
  <si>
    <t>Credit Points</t>
  </si>
  <si>
    <t>SM Availabilities</t>
  </si>
  <si>
    <t>OB-ARCH</t>
  </si>
  <si>
    <t>v.3</t>
  </si>
  <si>
    <t>600 credit points required</t>
  </si>
  <si>
    <t>SP1; SP2; SP3; SP4</t>
  </si>
  <si>
    <t>ARCH1009</t>
  </si>
  <si>
    <t>Bachelor of Applied Science (Architectural Science) (OpenUnis CSP)</t>
  </si>
  <si>
    <t>OU-ARCH</t>
  </si>
  <si>
    <t>ARCH1026</t>
  </si>
  <si>
    <t>ARCH1024</t>
  </si>
  <si>
    <t>ARCH2016</t>
  </si>
  <si>
    <t>Spec</t>
  </si>
  <si>
    <t>TableStudyPeriod</t>
  </si>
  <si>
    <t>Choose your commencing study period (drop-down list)</t>
  </si>
  <si>
    <t>START</t>
  </si>
  <si>
    <t>Next</t>
  </si>
  <si>
    <t>Next2</t>
  </si>
  <si>
    <t>Next3</t>
  </si>
  <si>
    <t>Y2SP1</t>
  </si>
  <si>
    <t>ARCH2031</t>
  </si>
  <si>
    <t>Y2SP2</t>
  </si>
  <si>
    <t>ARCH2027</t>
  </si>
  <si>
    <t>Y2SP3</t>
  </si>
  <si>
    <t>Y2SP4</t>
  </si>
  <si>
    <t>Study Period 2 (May - August)</t>
  </si>
  <si>
    <t>ARCH3016</t>
  </si>
  <si>
    <t>ARCH2017</t>
  </si>
  <si>
    <t>Study Period 3 (August - November)</t>
  </si>
  <si>
    <t>Study Period 4 (November - February)</t>
  </si>
  <si>
    <t>ARCH2029</t>
  </si>
  <si>
    <t>ARCH2026</t>
  </si>
  <si>
    <t>TableSpecialisations</t>
  </si>
  <si>
    <t>Choose your Specialisation (drop-down list)</t>
  </si>
  <si>
    <t>Animation and Game Architecture Design Specialisation (OpenUnis)</t>
  </si>
  <si>
    <t>OSCU-ANGAD</t>
  </si>
  <si>
    <t>v.1</t>
  </si>
  <si>
    <t>100 credit points required</t>
  </si>
  <si>
    <t>Construction Management Specialisation (OpenUnis)</t>
  </si>
  <si>
    <t>OSCU-CONMS</t>
  </si>
  <si>
    <t>v.2</t>
  </si>
  <si>
    <t>Y3SP1</t>
  </si>
  <si>
    <t>ARCH3031</t>
  </si>
  <si>
    <t>Y3SP2</t>
  </si>
  <si>
    <t>ARCH3015</t>
  </si>
  <si>
    <t>Y3SP3</t>
  </si>
  <si>
    <t>Y3SP4</t>
  </si>
  <si>
    <t>OSCU-INARS</t>
  </si>
  <si>
    <t>ARCH3018</t>
  </si>
  <si>
    <t>ARCH3019</t>
  </si>
  <si>
    <t>Planning and Geography Specialisation (OpenUnis)</t>
  </si>
  <si>
    <t>OSCU-PLGEO</t>
  </si>
  <si>
    <t>ARCH3030</t>
  </si>
  <si>
    <t>ARCH3028</t>
  </si>
  <si>
    <t>Add Undergrauate Certificate? No!</t>
  </si>
  <si>
    <t>1)      Update high level course / component &amp; study period details (Unitsets Tab)</t>
  </si>
  <si>
    <t>Spec Unit</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</si>
  <si>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</si>
  <si>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</si>
  <si>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</si>
  <si>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</si>
  <si>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</si>
  <si>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RangeSpecSets</t>
  </si>
  <si>
    <t>7)      Update sequences for courses / components (Unitsets Tab)</t>
  </si>
  <si>
    <t>Completed with Steve - might need to review again</t>
  </si>
  <si>
    <t>Spec1</t>
  </si>
  <si>
    <t>---</t>
  </si>
  <si>
    <t>AC-INARS</t>
  </si>
  <si>
    <t>8)      Review Handbook Tab for obvious issues / errors and enter notes (Handbook Tab)</t>
  </si>
  <si>
    <t>Spec2</t>
  </si>
  <si>
    <t>GRDE1022</t>
  </si>
  <si>
    <t>BLDG1005</t>
  </si>
  <si>
    <t>INAR1011</t>
  </si>
  <si>
    <t>URDE1007</t>
  </si>
  <si>
    <t>9)      Review Planner Tab(s) for obvious issues / errors (Planner Tab)</t>
  </si>
  <si>
    <t>Spec3</t>
  </si>
  <si>
    <t>GRDE2036</t>
  </si>
  <si>
    <t>BLDG1006</t>
  </si>
  <si>
    <t>INAR1015</t>
  </si>
  <si>
    <t>URDE1008</t>
  </si>
  <si>
    <t>Spec4</t>
  </si>
  <si>
    <t>GRDE2042</t>
  </si>
  <si>
    <t>BLDG2027</t>
  </si>
  <si>
    <t>AND</t>
  </si>
  <si>
    <t>PHGY3001</t>
  </si>
  <si>
    <t>Spec5</t>
  </si>
  <si>
    <t>--</t>
  </si>
  <si>
    <t>Spec6</t>
  </si>
  <si>
    <t>AC-ANGAD</t>
  </si>
  <si>
    <t>AC-CONMS</t>
  </si>
  <si>
    <t>INAR2023</t>
  </si>
  <si>
    <t>AC-PLGEO</t>
  </si>
  <si>
    <t>Spec7</t>
  </si>
  <si>
    <t>GRDE3033</t>
  </si>
  <si>
    <t>BLDG2028</t>
  </si>
  <si>
    <t>INAR3021</t>
  </si>
  <si>
    <t>GEOG3002</t>
  </si>
  <si>
    <t>Spec8</t>
  </si>
  <si>
    <t>WORK3002</t>
  </si>
  <si>
    <t>BLDG2021</t>
  </si>
  <si>
    <t>Spec9</t>
  </si>
  <si>
    <t>Opt-INARS</t>
  </si>
  <si>
    <t>Spec10</t>
  </si>
  <si>
    <t>INAR2015</t>
  </si>
  <si>
    <t>Spec11</t>
  </si>
  <si>
    <t>INAR2025</t>
  </si>
  <si>
    <t>Spec12</t>
  </si>
  <si>
    <t>WORK2006</t>
  </si>
  <si>
    <t>Spec13</t>
  </si>
  <si>
    <t>Spec14</t>
  </si>
  <si>
    <t>WORK3009</t>
  </si>
  <si>
    <t>Spec15</t>
  </si>
  <si>
    <t>Spec16</t>
  </si>
  <si>
    <t>WORK2007</t>
  </si>
  <si>
    <t>Title</t>
  </si>
  <si>
    <t>Pre-reqs (1/11/2024)</t>
  </si>
  <si>
    <t>Notes</t>
  </si>
  <si>
    <t>-</t>
  </si>
  <si>
    <t>Please note this is a 50CP unit</t>
  </si>
  <si>
    <t>and study BOTH</t>
  </si>
  <si>
    <t>Study all three of</t>
  </si>
  <si>
    <t>and study either DIG39 or WBP300</t>
  </si>
  <si>
    <t>and study either CME205 or CME203</t>
  </si>
  <si>
    <t>Study either BIA140 or BIA170</t>
  </si>
  <si>
    <t>and study either GPH320 or WBP300</t>
  </si>
  <si>
    <t>BAS120</t>
  </si>
  <si>
    <t>Sustainability and Structures in Architecture</t>
  </si>
  <si>
    <t>Nil</t>
  </si>
  <si>
    <t>BAS130</t>
  </si>
  <si>
    <t>Reading Architecture Globally</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</si>
  <si>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</si>
  <si>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</si>
  <si>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</si>
  <si>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</si>
  <si>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</si>
  <si>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</si>
  <si>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</si>
  <si>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</si>
  <si>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</si>
  <si>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BAS240</t>
  </si>
  <si>
    <t>Architectural Documentation and Detailing</t>
  </si>
  <si>
    <t>BAS250</t>
  </si>
  <si>
    <t>Architecture History and Identity</t>
  </si>
  <si>
    <t>150CP</t>
  </si>
  <si>
    <t>BAS230</t>
  </si>
  <si>
    <t>Architecture Design Studio 2B - Regional Studio</t>
  </si>
  <si>
    <t>BAS115 + BAS145 + BAS140</t>
  </si>
  <si>
    <t>BAS235</t>
  </si>
  <si>
    <t>Architecture Methods 2B - Information Visualisation</t>
  </si>
  <si>
    <t>BAS200</t>
  </si>
  <si>
    <t>Architecture and Interior Architecture Design Studio 2A - Residential Typology and Grammar</t>
  </si>
  <si>
    <t>BAS205</t>
  </si>
  <si>
    <t>Architecture Methods 2A - Digital Fabrication</t>
  </si>
  <si>
    <t>BAS310</t>
  </si>
  <si>
    <t>Environmental and Building Systems in Architecture</t>
  </si>
  <si>
    <t>BAS240 or BAS235 or BIA240</t>
  </si>
  <si>
    <t>BAS320</t>
  </si>
  <si>
    <t>Urban Contexts</t>
  </si>
  <si>
    <t>200CP</t>
  </si>
  <si>
    <t>BAS340</t>
  </si>
  <si>
    <t>Advanced Construction and Sustainability</t>
  </si>
  <si>
    <t>BAS240 + BAS235</t>
  </si>
  <si>
    <t>New Version</t>
  </si>
  <si>
    <t>ARCH3018.PO</t>
  </si>
  <si>
    <t>Building Information Modelling in Architecture</t>
  </si>
  <si>
    <t>Phasing Out</t>
  </si>
  <si>
    <t>BAS350</t>
  </si>
  <si>
    <t>Twentieth and Twenty-First Century Architectural Theories</t>
  </si>
  <si>
    <t>350CP</t>
  </si>
  <si>
    <t>BAS330</t>
  </si>
  <si>
    <t>Architecture Design Studio 3B - Civic</t>
  </si>
  <si>
    <t>BAS200 + BAS205 + BAS230 + BAS235</t>
  </si>
  <si>
    <t>BAS300</t>
  </si>
  <si>
    <t>Architecture Design Studio 3A - Multi Residential</t>
  </si>
  <si>
    <t>BAS305</t>
  </si>
  <si>
    <t>Architecture Methods 3A - Digital Futures</t>
  </si>
  <si>
    <t>BLAW3031.RE</t>
  </si>
  <si>
    <t>CME309</t>
  </si>
  <si>
    <t>Construction Contracts and Law</t>
  </si>
  <si>
    <t>Removed from 2025 structure as deactivating</t>
  </si>
  <si>
    <t>CME101</t>
  </si>
  <si>
    <t>Low Rise Construction</t>
  </si>
  <si>
    <t>CME106</t>
  </si>
  <si>
    <t>High-rise Construction</t>
  </si>
  <si>
    <t>BLDG1009</t>
  </si>
  <si>
    <t>CME103</t>
  </si>
  <si>
    <t>Introduction to Management in Construction (*Recommended Unit)</t>
  </si>
  <si>
    <t>CME203</t>
  </si>
  <si>
    <t>Specialised Construction</t>
  </si>
  <si>
    <t>CME206</t>
  </si>
  <si>
    <t>Building Surveying</t>
  </si>
  <si>
    <t>CME205</t>
  </si>
  <si>
    <t>Building Information Management and Modelling</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</si>
  <si>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</si>
  <si>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</si>
  <si>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</si>
  <si>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</si>
  <si>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</si>
  <si>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</si>
  <si>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</si>
  <si>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</si>
  <si>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</si>
  <si>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</si>
  <si>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</si>
  <si>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</si>
  <si>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</si>
  <si>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</si>
  <si>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BIA140</t>
  </si>
  <si>
    <t>Interior Architecture Studio - Foundation (*Recommended Unit)</t>
  </si>
  <si>
    <t>BIA170</t>
  </si>
  <si>
    <t>History of the Interior</t>
  </si>
  <si>
    <t>BIA250</t>
  </si>
  <si>
    <t>Interior Architecture Studio – Community</t>
  </si>
  <si>
    <t>BIA280</t>
  </si>
  <si>
    <t>Philosophy and Practice</t>
  </si>
  <si>
    <t>BIA290</t>
  </si>
  <si>
    <t>Design Fabrication</t>
  </si>
  <si>
    <t>BIA390</t>
  </si>
  <si>
    <t>Furniture Design</t>
  </si>
  <si>
    <t>and study ONE subject from these options</t>
  </si>
  <si>
    <t>GPH311</t>
  </si>
  <si>
    <t>Cultural Landscapes</t>
  </si>
  <si>
    <t>Study one subject from your chosen specialisation (see below)</t>
  </si>
  <si>
    <t>See below</t>
  </si>
  <si>
    <t>Specialisation</t>
  </si>
  <si>
    <t>Choose your Specialisation</t>
  </si>
  <si>
    <t>URP100</t>
  </si>
  <si>
    <t>Governance for Planning</t>
  </si>
  <si>
    <t>URP110</t>
  </si>
  <si>
    <t>Introduction to Planning</t>
  </si>
  <si>
    <t>GOL200</t>
  </si>
  <si>
    <t>Changemakers Innovation Lab (with approval)</t>
  </si>
  <si>
    <t>See OUA website</t>
  </si>
  <si>
    <t>WORK2006.PO</t>
  </si>
  <si>
    <t>Sustainability and Innovation Foundations (with approval)</t>
  </si>
  <si>
    <t>WORK2007.DE</t>
  </si>
  <si>
    <t>GOL210</t>
  </si>
  <si>
    <t>Regional Industry Placement 2 (with approval)</t>
  </si>
  <si>
    <t>DEACTIVATED Effective 31/12/2022, removed from list</t>
  </si>
  <si>
    <t>WBP300</t>
  </si>
  <si>
    <t>Work Based Project (with approval)</t>
  </si>
  <si>
    <t>GOG300</t>
  </si>
  <si>
    <t>Go Global - Internship 4 (with approval)</t>
  </si>
  <si>
    <t>Do not alter columns A-E, formulas are used to present data as required for transfer to Handbook Tab</t>
  </si>
  <si>
    <t>Effective:</t>
  </si>
  <si>
    <t>OB/OU-ARCH</t>
  </si>
  <si>
    <t>Downloaded:</t>
  </si>
  <si>
    <t>V</t>
  </si>
  <si>
    <t>OUA Code</t>
  </si>
  <si>
    <t>CPs</t>
  </si>
  <si>
    <t>No.</t>
  </si>
  <si>
    <t>Component Type</t>
  </si>
  <si>
    <t>Year Level</t>
  </si>
  <si>
    <t>Study Package Code</t>
  </si>
  <si>
    <t>Structure Line</t>
  </si>
  <si>
    <t>Effective</t>
  </si>
  <si>
    <t>Discont.</t>
  </si>
  <si>
    <t>Column1</t>
  </si>
  <si>
    <t>Column2</t>
  </si>
  <si>
    <t>AltCore</t>
  </si>
  <si>
    <t>NA</t>
  </si>
  <si>
    <t>Core</t>
  </si>
  <si>
    <t>Semester 1</t>
  </si>
  <si>
    <t>APC100 - Academic and Professional Communications</t>
  </si>
  <si>
    <t>BAS115 Architecture and Interior Architecture Methods 1A - Analogue Literacy</t>
  </si>
  <si>
    <t>BAS120 Sustainability and Structures in Architecture</t>
  </si>
  <si>
    <t>Semester 2</t>
  </si>
  <si>
    <t>BAS130 Reading Architecture Globally</t>
  </si>
  <si>
    <t>BAS140 Architecture and Interior Architecture Design Studio 1 - Small Structures</t>
  </si>
  <si>
    <t>BAS145 Architecture and Interior Architecture Methods 1B - Digital Literacy</t>
  </si>
  <si>
    <t>BAS150 Architectural Science in Context</t>
  </si>
  <si>
    <t>BAS200 Architecture and Interior Architecture Design Studio 2A - Residential Typology and Grammar</t>
  </si>
  <si>
    <t>BAS205 Architecture Methods 2A - Digital Fabrication</t>
  </si>
  <si>
    <t>BAS240 Architectural Documentation and Detailing</t>
  </si>
  <si>
    <t>BAS230 Architecture Design Studio 2B - Regional Studio</t>
  </si>
  <si>
    <t>BAS235 Architecture Methods 2B - Information Visualisation</t>
  </si>
  <si>
    <t>BAS250 Architecture History and Identity</t>
  </si>
  <si>
    <t>BAS300 Architecture Design Studio 3A - Multi Residential</t>
  </si>
  <si>
    <t>BAS305 Architecture Methods 3A - Digital Futures</t>
  </si>
  <si>
    <t>BAS310 Environmental and Building Systems in Architecture</t>
  </si>
  <si>
    <t>BAS350 Twentieth and Twenty-First Century Architectural Theories</t>
  </si>
  <si>
    <t>BAS330 Architecture Design Studio 3B - Civic</t>
  </si>
  <si>
    <t>BAS340 Advanced Construction and Sustainability</t>
  </si>
  <si>
    <t>BAS320 Urban Contexts</t>
  </si>
  <si>
    <t>DIG10 Game Design Introduction</t>
  </si>
  <si>
    <t>DIG230 Introduction to 3D Modelling and Rendering</t>
  </si>
  <si>
    <t>DIG28 Animation and Motion Graphics Design</t>
  </si>
  <si>
    <t>Choose GRDE3033 or WORK3002</t>
  </si>
  <si>
    <t>DIG39 Industry Project Development</t>
  </si>
  <si>
    <t>WBP300 Work Based Project</t>
  </si>
  <si>
    <t>CME101 Low Rise Construction</t>
  </si>
  <si>
    <t>CME106 High-rise Construction</t>
  </si>
  <si>
    <t>CME206 Building Surveying</t>
  </si>
  <si>
    <t>BLAW3031</t>
  </si>
  <si>
    <t>Choose BLDG2028 CME205 OR BLDG2021 CME203</t>
  </si>
  <si>
    <t>CME203 Specialised Construction</t>
  </si>
  <si>
    <t>CME205 Building Information Management and Modelling</t>
  </si>
  <si>
    <t>BIA280 Philosophy and Practice</t>
  </si>
  <si>
    <t>BIA390 Furniture Design</t>
  </si>
  <si>
    <t>Choose INAR1011 BIA140 or INAR1015 BIA170</t>
  </si>
  <si>
    <t>Option</t>
  </si>
  <si>
    <t>Choose an Option</t>
  </si>
  <si>
    <t>BIA140 Interior Architecture Studio - Foundation</t>
  </si>
  <si>
    <t>BIA170 History of the Interior</t>
  </si>
  <si>
    <t>BIA250 Interior Architecture Studio – Community</t>
  </si>
  <si>
    <t>BIA290 Design Fabrication</t>
  </si>
  <si>
    <t>GOL200 Changemakers Innovation Lab</t>
  </si>
  <si>
    <t>GOL210 Regional Industry Placement 2</t>
  </si>
  <si>
    <t>GOG300 Go Global - Internship 4</t>
  </si>
  <si>
    <t>URP110 Introduction to Planning</t>
  </si>
  <si>
    <t>URP100 Governance for Planning</t>
  </si>
  <si>
    <t>GPH311 Cultural Landscapes</t>
  </si>
  <si>
    <t>Choose WORK3002 or GEOG3002</t>
  </si>
  <si>
    <t>GPH320 Urban Geographies</t>
  </si>
  <si>
    <t xml:space="preserve">Downloaded: </t>
  </si>
  <si>
    <t>Row Labels</t>
  </si>
  <si>
    <t>OpenUnis SP 1</t>
  </si>
  <si>
    <t>OpenUnis SP 2</t>
  </si>
  <si>
    <t>OpenUnis SP 3</t>
  </si>
  <si>
    <t>OpenUnis SP 4</t>
  </si>
  <si>
    <t>BLDG3031</t>
  </si>
  <si>
    <t>INAR1005</t>
  </si>
  <si>
    <t>WORK2002</t>
  </si>
  <si>
    <t>Changemakers Innovation Lab</t>
  </si>
  <si>
    <t>OUA One Code unit</t>
  </si>
  <si>
    <t>WORK3006</t>
  </si>
  <si>
    <t>(None)</t>
  </si>
  <si>
    <t>Version 2 - update to OSCU-INARS for OUA One Code units &amp; update to CC email address in Guidelines</t>
  </si>
  <si>
    <t>Version 2: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</si>
</sst>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sz val="12"/>
      <color rgb="FFFF0000"/>
      <name val="Calibri"/>
      <family val="2"/>
      <scheme val="minor"/>
    </font>
    <font>
      <b/>
      <i/>
      <sz val="16"/>
      <color theme="0"/>
      <name val="Segoe UI"/>
      <family val="2"/>
    </font>
    <font>
      <b/>
      <sz val="11"/>
      <name val="Segoe UI"/>
      <family val="2"/>
    </font>
    <font>
      <b/>
      <i/>
      <sz val="10"/>
      <color theme="0" tint="-0.34998626667073579"/>
      <name val="Arial"/>
      <family val="2"/>
    </font>
    <font>
      <b/>
      <sz val="16"/>
      <color theme="1"/>
      <name val="Segoe UI"/>
      <family val="2"/>
    </font>
    <font>
      <b/>
      <sz val="10"/>
      <color theme="8"/>
      <name val="Segoe UI"/>
      <family val="2"/>
    </font>
    <font>
      <sz val="9"/>
      <color rgb="FFFF0000"/>
      <name val="Segoe UI"/>
      <family val="2"/>
    </font>
    <font>
      <b/>
      <i/>
      <u/>
      <sz val="14"/>
      <name val="Calibri"/>
      <family val="2"/>
      <scheme val="minor"/>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
      <sz val="10"/>
      <name val="Arial"/>
      <family val="2"/>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90691854609822"/>
      </left>
      <right/>
      <top/>
      <bottom style="thin">
        <color theme="0" tint="-0.14993743705557422"/>
      </bottom>
      <diagonal/>
    </border>
    <border>
      <left/>
      <right/>
      <top/>
      <bottom style="thin">
        <color theme="0" tint="-0.14993743705557422"/>
      </bottom>
      <diagonal/>
    </border>
    <border>
      <left/>
      <right style="thin">
        <color theme="0" tint="-0.14990691854609822"/>
      </right>
      <top/>
      <bottom style="thin">
        <color theme="0" tint="-0.14993743705557422"/>
      </bottom>
      <diagonal/>
    </border>
  </borders>
  <cellStyleXfs count="4">
    <xf numFmtId="0" fontId="0" fillId="0" borderId="0"/>
    <xf numFmtId="0" fontId="1" fillId="0" borderId="0"/>
    <xf numFmtId="0" fontId="25" fillId="0" borderId="0" applyNumberFormat="0" applyFill="0" applyBorder="0" applyAlignment="0" applyProtection="0"/>
    <xf numFmtId="0" fontId="53" fillId="12" borderId="0" applyNumberFormat="0" applyBorder="0" applyAlignment="0" applyProtection="0"/>
  </cellStyleXfs>
  <cellXfs count="197">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8" fillId="0" borderId="0" xfId="0" applyFont="1"/>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3" fillId="0" borderId="0" xfId="0" applyFont="1"/>
    <xf numFmtId="0" fontId="9" fillId="0" borderId="0" xfId="0" applyFont="1" applyAlignment="1">
      <alignment horizontal="center" vertical="center"/>
    </xf>
    <xf numFmtId="0" fontId="26" fillId="4" borderId="0" xfId="2" applyFont="1" applyFill="1" applyAlignment="1" applyProtection="1">
      <alignment vertical="center"/>
    </xf>
    <xf numFmtId="0" fontId="25" fillId="4" borderId="0" xfId="2" applyFill="1" applyAlignment="1" applyProtection="1">
      <alignment vertical="center"/>
    </xf>
    <xf numFmtId="0" fontId="15"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4" fillId="0" borderId="0" xfId="0" applyFont="1"/>
    <xf numFmtId="0" fontId="0" fillId="0" borderId="5" xfId="0" applyBorder="1"/>
    <xf numFmtId="0" fontId="2" fillId="3" borderId="1" xfId="0" applyFont="1" applyFill="1" applyBorder="1" applyAlignment="1">
      <alignment horizontal="right" vertical="center"/>
    </xf>
    <xf numFmtId="0" fontId="19" fillId="2" borderId="20" xfId="1" applyFont="1" applyFill="1" applyBorder="1" applyAlignment="1" applyProtection="1">
      <alignment horizontal="center" vertical="center" wrapText="1"/>
      <protection locked="0"/>
    </xf>
    <xf numFmtId="0" fontId="19" fillId="0" borderId="20" xfId="1"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1" fillId="0" borderId="0" xfId="0" applyFont="1"/>
    <xf numFmtId="0" fontId="41" fillId="0" borderId="0" xfId="0" applyFont="1" applyAlignment="1">
      <alignment horizontal="right"/>
    </xf>
    <xf numFmtId="0" fontId="0" fillId="0" borderId="22" xfId="0" applyBorder="1" applyAlignment="1">
      <alignment horizontal="center"/>
    </xf>
    <xf numFmtId="0" fontId="8" fillId="0" borderId="0" xfId="0" applyFont="1" applyAlignment="1">
      <alignment horizont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3" fillId="0" borderId="8" xfId="0" applyFont="1" applyBorder="1" applyAlignment="1">
      <alignment horizontal="center" vertical="center"/>
    </xf>
    <xf numFmtId="0" fontId="4" fillId="7" borderId="5" xfId="0" applyFont="1" applyFill="1" applyBorder="1" applyAlignment="1">
      <alignment horizontal="center" vertical="center"/>
    </xf>
    <xf numFmtId="0" fontId="42" fillId="0" borderId="0" xfId="0" applyFont="1"/>
    <xf numFmtId="0" fontId="43" fillId="0" borderId="0" xfId="0" applyFont="1" applyAlignment="1">
      <alignment horizontal="right"/>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25" fillId="4" borderId="0" xfId="2" applyFill="1" applyAlignment="1" applyProtection="1">
      <alignment horizontal="center" vertical="center"/>
    </xf>
    <xf numFmtId="0" fontId="45" fillId="0" borderId="0" xfId="0" applyFont="1"/>
    <xf numFmtId="0" fontId="2" fillId="3" borderId="5" xfId="0" applyFont="1" applyFill="1" applyBorder="1" applyAlignment="1">
      <alignment horizontal="right" vertical="center"/>
    </xf>
    <xf numFmtId="0" fontId="41" fillId="0" borderId="0" xfId="0" applyFont="1" applyAlignment="1">
      <alignment horizontal="left"/>
    </xf>
    <xf numFmtId="14" fontId="0" fillId="0" borderId="0" xfId="0" applyNumberFormat="1"/>
    <xf numFmtId="0" fontId="48" fillId="0" borderId="0" xfId="0" applyFont="1" applyAlignment="1">
      <alignment horizontal="left"/>
    </xf>
    <xf numFmtId="14" fontId="42" fillId="0" borderId="0" xfId="0" applyNumberFormat="1" applyFont="1" applyAlignment="1">
      <alignment horizontal="right"/>
    </xf>
    <xf numFmtId="14" fontId="42" fillId="0" borderId="0" xfId="0" applyNumberFormat="1" applyFont="1"/>
    <xf numFmtId="0" fontId="0" fillId="8" borderId="0" xfId="0" applyFill="1" applyAlignment="1">
      <alignment horizontal="right"/>
    </xf>
    <xf numFmtId="14" fontId="0" fillId="8" borderId="0" xfId="0" applyNumberFormat="1" applyFill="1"/>
    <xf numFmtId="0" fontId="4" fillId="0" borderId="6" xfId="0" quotePrefix="1" applyFont="1" applyBorder="1" applyAlignment="1">
      <alignment horizontal="center" vertical="center"/>
    </xf>
    <xf numFmtId="0" fontId="4" fillId="0" borderId="8" xfId="0" quotePrefix="1"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xf>
    <xf numFmtId="0" fontId="19" fillId="10" borderId="17" xfId="1" applyFont="1" applyFill="1" applyBorder="1" applyAlignment="1" applyProtection="1">
      <alignment horizontal="center" vertical="center" wrapText="1"/>
      <protection locked="0"/>
    </xf>
    <xf numFmtId="0" fontId="6" fillId="0" borderId="0" xfId="0" applyFont="1"/>
    <xf numFmtId="0" fontId="0" fillId="0" borderId="0" xfId="0" applyAlignment="1">
      <alignment horizontal="left"/>
    </xf>
    <xf numFmtId="0" fontId="0" fillId="0" borderId="0" xfId="0" applyAlignment="1">
      <alignment horizontal="left" textRotation="90"/>
    </xf>
    <xf numFmtId="0" fontId="8" fillId="6" borderId="0" xfId="0" applyFont="1" applyFill="1"/>
    <xf numFmtId="0" fontId="8" fillId="5" borderId="0" xfId="0" applyFont="1" applyFill="1" applyAlignment="1">
      <alignment horizontal="center"/>
    </xf>
    <xf numFmtId="0" fontId="8" fillId="11" borderId="0" xfId="0" applyFont="1" applyFill="1" applyAlignment="1">
      <alignment horizontal="center"/>
    </xf>
    <xf numFmtId="0" fontId="52" fillId="0" borderId="0" xfId="0" applyFont="1"/>
    <xf numFmtId="0" fontId="8" fillId="13" borderId="0" xfId="0" applyFont="1" applyFill="1" applyAlignment="1">
      <alignment horizontal="center"/>
    </xf>
    <xf numFmtId="14" fontId="8" fillId="13" borderId="0" xfId="0" applyNumberFormat="1" applyFont="1" applyFill="1" applyAlignment="1">
      <alignment horizontal="center"/>
    </xf>
    <xf numFmtId="14" fontId="6" fillId="13" borderId="0" xfId="0" applyNumberFormat="1" applyFont="1" applyFill="1" applyAlignment="1">
      <alignment horizontal="center"/>
    </xf>
    <xf numFmtId="0" fontId="54" fillId="0" borderId="0" xfId="0" applyFont="1" applyAlignment="1">
      <alignment horizontal="center"/>
    </xf>
    <xf numFmtId="14" fontId="54" fillId="0" borderId="0" xfId="0" applyNumberFormat="1" applyFont="1" applyAlignment="1">
      <alignment horizontal="center"/>
    </xf>
    <xf numFmtId="0" fontId="54" fillId="0" borderId="0" xfId="0" applyFont="1" applyAlignment="1">
      <alignment horizontal="center" wrapText="1"/>
    </xf>
    <xf numFmtId="14" fontId="55" fillId="0" borderId="0" xfId="0" applyNumberFormat="1" applyFont="1"/>
    <xf numFmtId="0" fontId="55" fillId="0" borderId="0" xfId="0" applyFont="1" applyAlignment="1">
      <alignment horizontal="left"/>
    </xf>
    <xf numFmtId="0" fontId="55" fillId="0" borderId="0" xfId="0" applyFont="1" applyAlignment="1">
      <alignment horizontal="center"/>
    </xf>
    <xf numFmtId="14" fontId="53" fillId="12" borderId="0" xfId="3" applyNumberFormat="1" applyAlignment="1">
      <alignment horizontal="center"/>
    </xf>
    <xf numFmtId="0" fontId="8" fillId="0" borderId="0" xfId="0" applyFont="1" applyAlignment="1">
      <alignment wrapText="1"/>
    </xf>
    <xf numFmtId="0" fontId="8" fillId="8" borderId="0" xfId="0" applyFont="1" applyFill="1" applyAlignment="1">
      <alignment wrapText="1"/>
    </xf>
    <xf numFmtId="0" fontId="54" fillId="6" borderId="0" xfId="0" applyFont="1" applyFill="1"/>
    <xf numFmtId="0" fontId="7" fillId="8" borderId="8" xfId="0" applyFont="1" applyFill="1" applyBorder="1" applyAlignment="1">
      <alignment horizontal="center" vertical="center"/>
    </xf>
    <xf numFmtId="0" fontId="7" fillId="0" borderId="8" xfId="0" applyFont="1" applyBorder="1" applyAlignment="1">
      <alignment horizontal="center" vertical="center"/>
    </xf>
    <xf numFmtId="0" fontId="56" fillId="0" borderId="0" xfId="0" applyFont="1" applyAlignment="1">
      <alignment horizontal="center"/>
    </xf>
    <xf numFmtId="0" fontId="45" fillId="0" borderId="0" xfId="0" applyFont="1" applyAlignment="1">
      <alignment horizontal="center"/>
    </xf>
    <xf numFmtId="0" fontId="57" fillId="6" borderId="0" xfId="0" applyFont="1" applyFill="1"/>
    <xf numFmtId="0" fontId="57" fillId="13" borderId="0" xfId="0" applyFont="1" applyFill="1" applyAlignment="1">
      <alignment horizontal="center"/>
    </xf>
    <xf numFmtId="14" fontId="57" fillId="13" borderId="0" xfId="0" applyNumberFormat="1" applyFont="1" applyFill="1" applyAlignment="1">
      <alignment horizontal="center"/>
    </xf>
    <xf numFmtId="14" fontId="41" fillId="13" borderId="0" xfId="0" applyNumberFormat="1" applyFont="1" applyFill="1"/>
    <xf numFmtId="0" fontId="41" fillId="13" borderId="0" xfId="0" applyFont="1" applyFill="1" applyAlignment="1">
      <alignment horizontal="center"/>
    </xf>
    <xf numFmtId="0" fontId="8" fillId="8" borderId="0" xfId="0" applyFont="1" applyFill="1" applyAlignment="1">
      <alignment horizontal="left"/>
    </xf>
    <xf numFmtId="0" fontId="8" fillId="8" borderId="0" xfId="0" applyFont="1" applyFill="1" applyAlignment="1">
      <alignment horizontal="center"/>
    </xf>
    <xf numFmtId="0" fontId="15" fillId="0" borderId="11" xfId="1" applyFont="1" applyBorder="1" applyAlignment="1" applyProtection="1">
      <alignment horizontal="center"/>
    </xf>
    <xf numFmtId="0" fontId="15" fillId="0" borderId="12" xfId="1" applyFont="1" applyBorder="1" applyAlignment="1" applyProtection="1">
      <alignment horizontal="center"/>
    </xf>
    <xf numFmtId="0" fontId="15" fillId="0" borderId="12" xfId="1" applyFont="1" applyBorder="1" applyProtection="1"/>
    <xf numFmtId="0" fontId="15" fillId="0" borderId="13" xfId="1" applyFont="1" applyBorder="1" applyProtection="1"/>
    <xf numFmtId="0" fontId="1" fillId="0" borderId="0" xfId="1" applyProtection="1"/>
    <xf numFmtId="0" fontId="15" fillId="0" borderId="0" xfId="1" applyFont="1" applyAlignment="1" applyProtection="1">
      <alignment horizontal="center"/>
    </xf>
    <xf numFmtId="0" fontId="7" fillId="0" borderId="0" xfId="1" applyFont="1" applyAlignment="1" applyProtection="1">
      <alignment horizontal="center" vertical="center"/>
    </xf>
    <xf numFmtId="0" fontId="15" fillId="0" borderId="0" xfId="1" applyFont="1" applyProtection="1"/>
    <xf numFmtId="0" fontId="36" fillId="9" borderId="14" xfId="1" applyFont="1" applyFill="1" applyBorder="1" applyAlignment="1" applyProtection="1">
      <alignment horizontal="left" vertical="center" wrapText="1"/>
    </xf>
    <xf numFmtId="0" fontId="36" fillId="9" borderId="0" xfId="1" applyFont="1" applyFill="1" applyAlignment="1" applyProtection="1">
      <alignment vertical="center" wrapText="1"/>
    </xf>
    <xf numFmtId="0" fontId="49" fillId="10" borderId="15" xfId="1" applyFont="1" applyFill="1" applyBorder="1" applyAlignment="1" applyProtection="1">
      <alignment vertical="center"/>
    </xf>
    <xf numFmtId="0" fontId="16" fillId="10" borderId="16" xfId="1" applyFont="1" applyFill="1" applyBorder="1" applyAlignment="1" applyProtection="1">
      <alignment vertical="center"/>
    </xf>
    <xf numFmtId="0" fontId="49" fillId="10" borderId="16" xfId="1" applyFont="1" applyFill="1" applyBorder="1" applyAlignment="1" applyProtection="1">
      <alignment horizontal="right" vertical="center"/>
    </xf>
    <xf numFmtId="0" fontId="39" fillId="10" borderId="16" xfId="1" applyFont="1" applyFill="1" applyBorder="1" applyAlignment="1" applyProtection="1">
      <alignment vertical="center"/>
    </xf>
    <xf numFmtId="0" fontId="34" fillId="10" borderId="16" xfId="1" applyFont="1" applyFill="1" applyBorder="1" applyAlignment="1" applyProtection="1">
      <alignment horizontal="center" vertical="center"/>
    </xf>
    <xf numFmtId="0" fontId="1" fillId="0" borderId="0" xfId="1" applyAlignment="1" applyProtection="1">
      <alignment horizontal="center"/>
    </xf>
    <xf numFmtId="0" fontId="17"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47" fillId="2" borderId="0" xfId="1" applyFont="1" applyFill="1" applyAlignment="1" applyProtection="1">
      <alignment vertical="center"/>
    </xf>
    <xf numFmtId="0" fontId="17" fillId="2" borderId="0" xfId="1" applyFont="1" applyFill="1" applyAlignment="1" applyProtection="1">
      <alignment vertical="center"/>
    </xf>
    <xf numFmtId="14" fontId="35" fillId="2" borderId="0" xfId="1" applyNumberFormat="1" applyFont="1" applyFill="1" applyAlignment="1" applyProtection="1">
      <alignment horizontal="righ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51" fillId="0" borderId="0" xfId="1" applyFont="1" applyAlignment="1" applyProtection="1">
      <alignment vertical="top" wrapText="1"/>
    </xf>
    <xf numFmtId="0" fontId="20" fillId="9" borderId="0" xfId="1" applyFont="1" applyFill="1" applyAlignment="1" applyProtection="1">
      <alignment horizontal="center" vertical="center"/>
    </xf>
    <xf numFmtId="0" fontId="20" fillId="9" borderId="0" xfId="1" applyFont="1" applyFill="1" applyAlignment="1" applyProtection="1">
      <alignment horizontal="left" vertical="center" indent="1"/>
    </xf>
    <xf numFmtId="0" fontId="20" fillId="9" borderId="0" xfId="1" applyFont="1" applyFill="1" applyAlignment="1" applyProtection="1">
      <alignment vertical="center"/>
    </xf>
    <xf numFmtId="0" fontId="20" fillId="9" borderId="21" xfId="1" applyFont="1" applyFill="1" applyBorder="1" applyAlignment="1" applyProtection="1">
      <alignment horizontal="left" vertical="center"/>
    </xf>
    <xf numFmtId="0" fontId="20" fillId="9" borderId="0" xfId="1" applyFont="1" applyFill="1" applyAlignment="1" applyProtection="1">
      <alignment horizontal="left" vertical="center"/>
    </xf>
    <xf numFmtId="0" fontId="20" fillId="9" borderId="17"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9" borderId="0" xfId="1" applyFont="1" applyFill="1" applyAlignment="1" applyProtection="1">
      <alignment horizontal="left" vertical="center" shrinkToFit="1"/>
    </xf>
    <xf numFmtId="0" fontId="20" fillId="9" borderId="0" xfId="1" applyFont="1" applyFill="1" applyAlignment="1" applyProtection="1">
      <alignment horizontal="center" vertical="center" wrapText="1"/>
    </xf>
    <xf numFmtId="0" fontId="20" fillId="9" borderId="0" xfId="1" applyFont="1" applyFill="1" applyAlignment="1" applyProtection="1">
      <alignment horizontal="center" vertical="center" shrinkToFit="1"/>
    </xf>
    <xf numFmtId="0" fontId="20" fillId="9" borderId="23" xfId="1" applyFont="1" applyFill="1" applyBorder="1" applyAlignment="1" applyProtection="1">
      <alignment horizontal="center" vertical="center" wrapText="1"/>
    </xf>
    <xf numFmtId="0" fontId="20" fillId="9" borderId="24" xfId="1" applyFont="1" applyFill="1" applyBorder="1" applyAlignment="1" applyProtection="1">
      <alignment horizontal="center" vertical="center" wrapText="1"/>
    </xf>
    <xf numFmtId="0" fontId="20" fillId="9" borderId="25" xfId="1" applyFont="1" applyFill="1" applyBorder="1" applyAlignment="1" applyProtection="1">
      <alignment horizontal="center" vertical="center" wrapText="1"/>
    </xf>
    <xf numFmtId="0" fontId="19" fillId="2" borderId="18"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19" xfId="1" applyFont="1" applyFill="1" applyBorder="1" applyAlignment="1" applyProtection="1">
      <alignment vertical="center" shrinkToFit="1"/>
    </xf>
    <xf numFmtId="0" fontId="22" fillId="2" borderId="19" xfId="1" applyFont="1" applyFill="1" applyBorder="1" applyAlignment="1" applyProtection="1">
      <alignment horizontal="center" vertical="center" shrinkToFit="1"/>
    </xf>
    <xf numFmtId="0" fontId="19" fillId="2" borderId="26" xfId="1" applyFont="1" applyFill="1" applyBorder="1" applyAlignment="1" applyProtection="1">
      <alignment horizontal="center" vertical="center" wrapText="1"/>
    </xf>
    <xf numFmtId="0" fontId="19" fillId="2" borderId="27" xfId="1" applyFont="1" applyFill="1" applyBorder="1" applyAlignment="1" applyProtection="1">
      <alignment horizontal="center" vertical="center" wrapText="1"/>
    </xf>
    <xf numFmtId="0" fontId="19" fillId="2" borderId="28"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10" borderId="13" xfId="1" applyFont="1" applyFill="1" applyBorder="1" applyAlignment="1" applyProtection="1">
      <alignment horizontal="center" vertical="center" wrapText="1"/>
    </xf>
    <xf numFmtId="0" fontId="19" fillId="10" borderId="0" xfId="1" applyFont="1" applyFill="1" applyAlignment="1" applyProtection="1">
      <alignment horizontal="center" vertical="center" wrapText="1"/>
    </xf>
    <xf numFmtId="0" fontId="19" fillId="10" borderId="0" xfId="1" applyFont="1" applyFill="1" applyAlignment="1" applyProtection="1">
      <alignment vertical="center" shrinkToFit="1"/>
    </xf>
    <xf numFmtId="0" fontId="22" fillId="10" borderId="0" xfId="1" applyFont="1" applyFill="1" applyAlignment="1" applyProtection="1">
      <alignment horizontal="left" vertical="center" shrinkToFit="1"/>
    </xf>
    <xf numFmtId="0" fontId="19" fillId="10" borderId="23" xfId="1" applyFont="1" applyFill="1" applyBorder="1" applyAlignment="1" applyProtection="1">
      <alignment horizontal="center" vertical="center" wrapText="1"/>
    </xf>
    <xf numFmtId="0" fontId="19" fillId="10" borderId="24" xfId="1" applyFont="1" applyFill="1" applyBorder="1" applyAlignment="1" applyProtection="1">
      <alignment horizontal="center" vertical="center" wrapText="1"/>
    </xf>
    <xf numFmtId="0" fontId="19" fillId="10" borderId="25" xfId="1" applyFont="1" applyFill="1" applyBorder="1" applyAlignment="1" applyProtection="1">
      <alignment horizontal="center" vertical="center" wrapText="1"/>
    </xf>
    <xf numFmtId="0" fontId="19" fillId="0" borderId="19" xfId="1" applyFont="1" applyBorder="1" applyAlignment="1" applyProtection="1">
      <alignment horizontal="center" vertical="center" wrapText="1"/>
    </xf>
    <xf numFmtId="0" fontId="19" fillId="0" borderId="26" xfId="1" applyFont="1" applyBorder="1" applyAlignment="1" applyProtection="1">
      <alignment horizontal="center" vertical="center" wrapText="1"/>
    </xf>
    <xf numFmtId="0" fontId="19" fillId="0" borderId="27" xfId="1" applyFont="1" applyBorder="1" applyAlignment="1" applyProtection="1">
      <alignment horizontal="center" vertical="center" wrapText="1"/>
    </xf>
    <xf numFmtId="0" fontId="19" fillId="0" borderId="28"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19" xfId="1" applyFont="1" applyBorder="1" applyAlignment="1" applyProtection="1">
      <alignment horizontal="left" vertical="center" shrinkToFit="1"/>
    </xf>
    <xf numFmtId="0" fontId="21" fillId="2" borderId="0" xfId="1" applyFont="1" applyFill="1" applyAlignment="1" applyProtection="1">
      <alignment horizontal="center" vertical="center"/>
    </xf>
    <xf numFmtId="0" fontId="19" fillId="0" borderId="19" xfId="1" applyFont="1" applyBorder="1" applyAlignment="1" applyProtection="1">
      <alignment vertical="center" shrinkToFit="1"/>
    </xf>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shrinkToFit="1"/>
    </xf>
    <xf numFmtId="0" fontId="31" fillId="2" borderId="0" xfId="1" applyFont="1" applyFill="1" applyAlignment="1" applyProtection="1">
      <alignment horizontal="center" vertical="center" wrapText="1"/>
    </xf>
    <xf numFmtId="0" fontId="32" fillId="2" borderId="0" xfId="1" applyFont="1" applyFill="1" applyAlignment="1" applyProtection="1">
      <alignment vertical="center"/>
    </xf>
    <xf numFmtId="0" fontId="33" fillId="2" borderId="0" xfId="1" applyFont="1" applyFill="1" applyAlignment="1" applyProtection="1">
      <alignment horizontal="center" vertical="center"/>
    </xf>
    <xf numFmtId="0" fontId="33" fillId="2" borderId="0" xfId="1" applyFont="1" applyFill="1" applyProtection="1"/>
    <xf numFmtId="0" fontId="10" fillId="2" borderId="0" xfId="1" applyFont="1" applyFill="1" applyProtection="1"/>
    <xf numFmtId="0" fontId="46" fillId="9" borderId="0" xfId="1" applyFont="1" applyFill="1" applyAlignment="1" applyProtection="1">
      <alignment horizontal="left" vertical="center" readingOrder="1"/>
    </xf>
    <xf numFmtId="0" fontId="35" fillId="9" borderId="0" xfId="1" applyFont="1" applyFill="1" applyAlignment="1" applyProtection="1">
      <alignment horizontal="left" vertical="center" readingOrder="1"/>
    </xf>
    <xf numFmtId="0" fontId="18" fillId="9" borderId="0" xfId="1" applyFont="1" applyFill="1" applyAlignment="1" applyProtection="1">
      <alignment horizontal="left" vertical="center" shrinkToFit="1"/>
    </xf>
    <xf numFmtId="0" fontId="38" fillId="9" borderId="0" xfId="1" applyFont="1" applyFill="1" applyAlignment="1" applyProtection="1">
      <alignment horizontal="center" vertical="center"/>
    </xf>
    <xf numFmtId="0" fontId="38" fillId="9" borderId="0" xfId="1" applyFont="1" applyFill="1" applyAlignment="1" applyProtection="1">
      <alignment horizontal="center" vertical="center" readingOrder="1"/>
    </xf>
    <xf numFmtId="0" fontId="20" fillId="9" borderId="0" xfId="1" applyFont="1" applyFill="1" applyAlignment="1" applyProtection="1">
      <alignment vertical="center" readingOrder="1"/>
    </xf>
    <xf numFmtId="0" fontId="38" fillId="9" borderId="0" xfId="1" applyFont="1" applyFill="1" applyAlignment="1" applyProtection="1">
      <alignment vertical="center" readingOrder="1"/>
    </xf>
    <xf numFmtId="0" fontId="38" fillId="9" borderId="17" xfId="1" applyFont="1" applyFill="1" applyBorder="1" applyAlignment="1" applyProtection="1">
      <alignment vertical="center" readingOrder="1"/>
    </xf>
    <xf numFmtId="0" fontId="20" fillId="9" borderId="0" xfId="1" applyFont="1" applyFill="1" applyAlignment="1" applyProtection="1">
      <alignment horizontal="center" vertical="top"/>
    </xf>
    <xf numFmtId="0" fontId="1" fillId="0" borderId="0" xfId="1" applyAlignment="1" applyProtection="1">
      <alignment horizontal="center" vertical="center"/>
    </xf>
    <xf numFmtId="0" fontId="44" fillId="9" borderId="0" xfId="1" applyFont="1" applyFill="1" applyAlignment="1" applyProtection="1">
      <alignment horizontal="left" vertical="center"/>
    </xf>
    <xf numFmtId="0" fontId="35" fillId="9" borderId="0" xfId="1" applyFont="1" applyFill="1" applyAlignment="1" applyProtection="1">
      <alignment horizontal="left" vertical="center"/>
    </xf>
    <xf numFmtId="0" fontId="1" fillId="0" borderId="0" xfId="1" applyAlignment="1" applyProtection="1">
      <alignment horizontal="center" vertical="top"/>
    </xf>
    <xf numFmtId="0" fontId="50" fillId="0" borderId="0" xfId="1" applyFont="1" applyAlignment="1" applyProtection="1">
      <alignment horizontal="left" vertical="center"/>
    </xf>
    <xf numFmtId="0" fontId="35" fillId="0" borderId="0" xfId="1" applyFont="1" applyAlignment="1" applyProtection="1">
      <alignment horizontal="left" vertical="center"/>
    </xf>
    <xf numFmtId="0" fontId="20" fillId="0" borderId="0" xfId="1" applyFont="1" applyAlignment="1" applyProtection="1">
      <alignment horizontal="left" vertical="center" shrinkToFit="1"/>
    </xf>
    <xf numFmtId="0" fontId="20" fillId="0" borderId="0" xfId="1" applyFont="1" applyAlignment="1" applyProtection="1">
      <alignment horizontal="center" vertical="center" wrapText="1"/>
    </xf>
    <xf numFmtId="0" fontId="20" fillId="0" borderId="0" xfId="1" applyFont="1" applyAlignment="1" applyProtection="1">
      <alignment horizontal="center" vertical="center" shrinkToFit="1"/>
    </xf>
    <xf numFmtId="0" fontId="20" fillId="0" borderId="0" xfId="1" applyFont="1" applyAlignment="1" applyProtection="1">
      <alignment horizontal="center" vertical="center"/>
    </xf>
    <xf numFmtId="0" fontId="20" fillId="0" borderId="29" xfId="1" applyFont="1" applyBorder="1" applyAlignment="1" applyProtection="1">
      <alignment horizontal="center" vertical="center" wrapText="1"/>
    </xf>
    <xf numFmtId="0" fontId="20" fillId="0" borderId="30" xfId="1" applyFont="1" applyBorder="1" applyAlignment="1" applyProtection="1">
      <alignment horizontal="center" vertical="center" wrapText="1"/>
    </xf>
    <xf numFmtId="0" fontId="20" fillId="0" borderId="31" xfId="1" applyFont="1" applyBorder="1" applyAlignment="1" applyProtection="1">
      <alignment horizontal="center" vertical="center" wrapText="1"/>
    </xf>
    <xf numFmtId="0" fontId="34" fillId="0" borderId="18" xfId="1" applyFont="1" applyBorder="1" applyAlignment="1" applyProtection="1">
      <alignment horizontal="center" vertical="center"/>
    </xf>
    <xf numFmtId="0" fontId="34" fillId="0" borderId="19" xfId="1" applyFont="1" applyBorder="1" applyAlignment="1" applyProtection="1">
      <alignment horizontal="center" vertical="center"/>
    </xf>
    <xf numFmtId="0" fontId="34" fillId="0" borderId="19" xfId="1" applyFont="1" applyBorder="1" applyAlignment="1" applyProtection="1">
      <alignment horizontal="left" vertical="center" shrinkToFit="1"/>
    </xf>
    <xf numFmtId="0" fontId="34" fillId="0" borderId="19" xfId="1" applyFont="1" applyBorder="1" applyAlignment="1" applyProtection="1">
      <alignment horizontal="center" vertical="center" wrapText="1"/>
    </xf>
    <xf numFmtId="0" fontId="19" fillId="2" borderId="26" xfId="1" applyFont="1" applyFill="1" applyBorder="1" applyAlignment="1" applyProtection="1">
      <alignment horizontal="center" vertical="center"/>
    </xf>
    <xf numFmtId="0" fontId="19" fillId="2" borderId="27" xfId="1" applyFont="1" applyFill="1" applyBorder="1" applyAlignment="1" applyProtection="1">
      <alignment horizontal="center" vertical="center"/>
    </xf>
    <xf numFmtId="0" fontId="19" fillId="2" borderId="28" xfId="1" applyFont="1" applyFill="1" applyBorder="1" applyAlignment="1" applyProtection="1">
      <alignment horizontal="center" vertical="center"/>
    </xf>
    <xf numFmtId="0" fontId="0" fillId="0" borderId="0" xfId="0" applyProtection="1"/>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0" fillId="2" borderId="0" xfId="1" applyFont="1" applyFill="1" applyAlignment="1" applyProtection="1">
      <alignment vertical="center"/>
    </xf>
    <xf numFmtId="0" fontId="32" fillId="2" borderId="0" xfId="1" applyFont="1" applyFill="1" applyAlignment="1" applyProtection="1">
      <alignment horizontal="right" vertical="center"/>
    </xf>
    <xf numFmtId="0" fontId="40" fillId="5" borderId="0" xfId="1" applyFont="1" applyFill="1" applyAlignment="1" applyProtection="1">
      <alignment vertical="center"/>
      <protection locked="0"/>
    </xf>
    <xf numFmtId="0" fontId="17" fillId="2" borderId="0" xfId="1" applyFont="1" applyFill="1" applyAlignment="1" applyProtection="1">
      <alignment vertical="center"/>
      <protection locked="0"/>
    </xf>
    <xf numFmtId="0" fontId="20" fillId="0" borderId="0" xfId="1" applyFont="1" applyAlignment="1" applyProtection="1">
      <alignment horizontal="center" vertical="top"/>
      <protection locked="0"/>
    </xf>
  </cellXfs>
  <cellStyles count="4">
    <cellStyle name="Good" xfId="3" builtinId="26"/>
    <cellStyle name="Hyperlink" xfId="2" builtinId="8"/>
    <cellStyle name="Normal" xfId="0" builtinId="0"/>
    <cellStyle name="Normal 2" xfId="1" xr:uid="{00000000-0005-0000-0000-000003000000}"/>
  </cellStyles>
  <dxfs count="14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ont>
        <b val="0"/>
        <i/>
      </font>
      <fill>
        <patternFill>
          <bgColor theme="4" tint="0.79998168889431442"/>
        </patternFill>
      </fill>
    </dxf>
    <dxf>
      <font>
        <b/>
        <i val="0"/>
      </font>
      <fill>
        <patternFill>
          <bgColor theme="0" tint="-0.14996795556505021"/>
        </patternFill>
      </fill>
    </dxf>
    <dxf>
      <font>
        <b val="0"/>
        <i/>
      </font>
      <fill>
        <patternFill>
          <bgColor theme="4" tint="0.79998168889431442"/>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left" vertical="bottom"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fgColor indexed="64"/>
          <bgColor rgb="FF92D050"/>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266701</xdr:colOff>
      <xdr:row>3</xdr:row>
      <xdr:rowOff>114301</xdr:rowOff>
    </xdr:from>
    <xdr:ext cx="5629275" cy="461009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15751" y="619126"/>
          <a:ext cx="5629275" cy="46100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rtl="0" fontAlgn="base"/>
          <a:r>
            <a:rPr lang="en-AU" sz="1100" b="1" i="0" u="sng">
              <a:solidFill>
                <a:schemeClr val="dk1"/>
              </a:solidFill>
              <a:effectLst/>
              <a:latin typeface="+mn-lt"/>
              <a:ea typeface="+mn-ea"/>
              <a:cs typeface="+mn-cs"/>
            </a:rPr>
            <a:t>Enrolment Guidelines</a:t>
          </a:r>
        </a:p>
        <a:p>
          <a:pPr algn="ctr" rtl="0" fontAlgn="base"/>
          <a:endParaRPr lang="en-AU" sz="1000">
            <a:effectLst/>
          </a:endParaRPr>
        </a:p>
        <a:p>
          <a:pPr algn="ctr" rtl="0" fontAlgn="base"/>
          <a:r>
            <a:rPr lang="en-AU" sz="1100" b="1" i="0">
              <a:solidFill>
                <a:schemeClr val="accent5"/>
              </a:solidFill>
              <a:effectLst/>
              <a:latin typeface="+mn-lt"/>
              <a:ea typeface="+mn-ea"/>
              <a:cs typeface="+mn-cs"/>
            </a:rPr>
            <a:t>Bachelor of Applied Science (Architectural Science) (OpenUnis)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1" i="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algn="l"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Specialisation Subjects</a:t>
          </a:r>
          <a:endParaRPr lang="en-AU">
            <a:effectLst/>
          </a:endParaRPr>
        </a:p>
        <a:p>
          <a:r>
            <a:rPr lang="en-AU" sz="1100" b="0">
              <a:solidFill>
                <a:schemeClr val="dk1"/>
              </a:solidFill>
              <a:effectLst/>
              <a:latin typeface="+mn-lt"/>
              <a:ea typeface="+mn-ea"/>
              <a:cs typeface="+mn-cs"/>
            </a:rPr>
            <a:t>Provided you meet any pre requisites, and the subject is available, you may study specialisation subjects in any order.</a:t>
          </a:r>
          <a:endParaRPr lang="en-AU">
            <a:effectLst/>
          </a:endParaRP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47626</xdr:colOff>
      <xdr:row>2</xdr:row>
      <xdr:rowOff>276225</xdr:rowOff>
    </xdr:from>
    <xdr:to>
      <xdr:col>21</xdr:col>
      <xdr:colOff>409576</xdr:colOff>
      <xdr:row>3</xdr:row>
      <xdr:rowOff>114695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25676"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48">
  <autoFilter ref="A6:H8" xr:uid="{00000000-0009-0000-0100-000003000000}"/>
  <tableColumns count="8">
    <tableColumn id="3" xr3:uid="{00000000-0010-0000-0000-000003000000}" name="Choose your Course" dataDxfId="147"/>
    <tableColumn id="1" xr3:uid="{00000000-0010-0000-0000-000001000000}" name="UDC" dataDxfId="146"/>
    <tableColumn id="2" xr3:uid="{00000000-0010-0000-0000-000002000000}" name="SM Version" dataDxfId="145"/>
    <tableColumn id="5" xr3:uid="{00000000-0010-0000-0000-000005000000}" name="SM Effective Date" dataDxfId="144"/>
    <tableColumn id="4" xr3:uid="{00000000-0010-0000-0000-000004000000}" name="Akari Iteration" dataDxfId="143"/>
    <tableColumn id="6" xr3:uid="{00000000-0010-0000-0000-000006000000}" name="Akari Effective Date" dataDxfId="142"/>
    <tableColumn id="7" xr3:uid="{00000000-0010-0000-0000-000007000000}" name="Credit Points" dataDxfId="141"/>
    <tableColumn id="8" xr3:uid="{00000000-0010-0000-0000-000008000000}" name="SM Availabilities" dataDxfId="14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5356575426" displayName="Table5356575426" ref="Q2:R27" totalsRowShown="0">
  <autoFilter ref="Q2:R27" xr:uid="{00000000-0009-0000-0100-000008000000}"/>
  <tableColumns count="2">
    <tableColumn id="1" xr3:uid="{00000000-0010-0000-0900-000001000000}" name="Column1"/>
    <tableColumn id="2" xr3:uid="{00000000-0010-0000-0900-000002000000}" name="Column2"/>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535657542612" displayName="Table535657542612" ref="Q29:R35" totalsRowShown="0">
  <autoFilter ref="Q29:R35" xr:uid="{00000000-0009-0000-0100-00000B000000}"/>
  <tableColumns count="2">
    <tableColumn id="1" xr3:uid="{00000000-0010-0000-0A00-000001000000}" name="Column1"/>
    <tableColumn id="2" xr3:uid="{00000000-0010-0000-0A00-000002000000}" name="Column2"/>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53565754261213" displayName="Table53565754261213" ref="Q37:R43" totalsRowShown="0">
  <autoFilter ref="Q37:R43" xr:uid="{00000000-0009-0000-0100-00000C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53565754261215" displayName="Table53565754261215" ref="Q45:R57" totalsRowShown="0">
  <autoFilter ref="Q45:R57" xr:uid="{00000000-0009-0000-0100-00000E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53565754261216" displayName="Table53565754261216" ref="Q59:R65" totalsRowShown="0">
  <autoFilter ref="Q59:R65" xr:uid="{00000000-0009-0000-0100-00000F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Availabilities" displayName="TableAvailabilities" ref="A3:E46" totalsRowShown="0">
  <autoFilter ref="A3:E46" xr:uid="{00000000-0009-0000-0100-00000D000000}"/>
  <tableColumns count="5">
    <tableColumn id="1" xr3:uid="{00000000-0010-0000-0E00-000001000000}" name="Row Labels"/>
    <tableColumn id="2" xr3:uid="{00000000-0010-0000-0E00-000002000000}" name="OpenUnis SP 1" dataDxfId="32"/>
    <tableColumn id="3" xr3:uid="{00000000-0010-0000-0E00-000003000000}" name="OpenUnis SP 2" dataDxfId="31"/>
    <tableColumn id="4" xr3:uid="{00000000-0010-0000-0E00-000004000000}" name="OpenUnis SP 3" dataDxfId="30"/>
    <tableColumn id="5" xr3:uid="{00000000-0010-0000-0E00-000005000000}" name="OpenUnis SP 4" dataDxfId="29"/>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E15" totalsRowShown="0" dataDxfId="139">
  <autoFilter ref="A11:E15" xr:uid="{00000000-0009-0000-0100-000004000000}"/>
  <tableColumns count="5">
    <tableColumn id="1" xr3:uid="{00000000-0010-0000-0100-000001000000}" name="Choose your commencing study period (drop-down list)" dataDxfId="138"/>
    <tableColumn id="2" xr3:uid="{00000000-0010-0000-0100-000002000000}" name="START" dataDxfId="137"/>
    <tableColumn id="3" xr3:uid="{00000000-0010-0000-0100-000003000000}" name="Next" dataDxfId="136"/>
    <tableColumn id="4" xr3:uid="{00000000-0010-0000-0100-000004000000}" name="Next2" dataDxfId="135"/>
    <tableColumn id="5" xr3:uid="{00000000-0010-0000-0100-000005000000}" name="Next3" dataDxfId="13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18:G22" totalsRowShown="0" dataDxfId="133">
  <autoFilter ref="A18:G22" xr:uid="{00000000-0009-0000-0100-000005000000}"/>
  <tableColumns count="7">
    <tableColumn id="1" xr3:uid="{00000000-0010-0000-0200-000001000000}" name="Choose your Specialisation (drop-down list)" dataDxfId="132"/>
    <tableColumn id="2" xr3:uid="{00000000-0010-0000-0200-000002000000}" name="UDC" dataDxfId="131"/>
    <tableColumn id="3" xr3:uid="{00000000-0010-0000-0200-000003000000}" name="SM Version" dataDxfId="130"/>
    <tableColumn id="4" xr3:uid="{00000000-0010-0000-0200-000004000000}" name="SM Effective Date" dataDxfId="129"/>
    <tableColumn id="5" xr3:uid="{00000000-0010-0000-0200-000005000000}" name="Akari Iteration" dataDxfId="128"/>
    <tableColumn id="6" xr3:uid="{00000000-0010-0000-0200-000006000000}" name="Akari Effective Date" dataDxfId="127"/>
    <tableColumn id="7" xr3:uid="{00000000-0010-0000-0200-000007000000}" name="Credit Points" dataDxfId="12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P65" totalsRowShown="0" headerRowDxfId="125" dataDxfId="124">
  <autoFilter ref="A2:P65" xr:uid="{00000000-0009-0000-0100-000002000000}"/>
  <sortState xmlns:xlrd2="http://schemas.microsoft.com/office/spreadsheetml/2017/richdata2" ref="A3:P65">
    <sortCondition ref="A2:A65"/>
  </sortState>
  <tableColumns count="16">
    <tableColumn id="1" xr3:uid="{00000000-0010-0000-0300-000001000000}" name="UDC" dataDxfId="123"/>
    <tableColumn id="2" xr3:uid="{00000000-0010-0000-0300-000002000000}" name="Ver" dataDxfId="122"/>
    <tableColumn id="3" xr3:uid="{00000000-0010-0000-0300-000003000000}" name="OUA Cd" dataDxfId="121"/>
    <tableColumn id="4" xr3:uid="{00000000-0010-0000-0300-000004000000}" name="Title" dataDxfId="120"/>
    <tableColumn id="5" xr3:uid="{00000000-0010-0000-0300-000005000000}" name="Credits" dataDxfId="119"/>
    <tableColumn id="6" xr3:uid="{00000000-0010-0000-0300-000006000000}" name="Pre-reqs (1/11/2024)" dataDxfId="118"/>
    <tableColumn id="12" xr3:uid="{00000000-0010-0000-0300-00000C000000}" name="SP1" dataDxfId="117">
      <calculatedColumnFormula>IFERROR(IF(VLOOKUP(TableHandbook[[#This Row],[UDC]],TableAvailabilities[],2,FALSE)&gt;0,"Y",""),"")</calculatedColumnFormula>
    </tableColumn>
    <tableColumn id="13" xr3:uid="{00000000-0010-0000-0300-00000D000000}" name="SP2" dataDxfId="116">
      <calculatedColumnFormula>IFERROR(IF(VLOOKUP(TableHandbook[[#This Row],[UDC]],TableAvailabilities[],3,FALSE)&gt;0,"Y",""),"")</calculatedColumnFormula>
    </tableColumn>
    <tableColumn id="14" xr3:uid="{00000000-0010-0000-0300-00000E000000}" name="SP3" dataDxfId="115">
      <calculatedColumnFormula>IFERROR(IF(VLOOKUP(TableHandbook[[#This Row],[UDC]],TableAvailabilities[],4,FALSE)&gt;0,"Y",""),"")</calculatedColumnFormula>
    </tableColumn>
    <tableColumn id="15" xr3:uid="{00000000-0010-0000-0300-00000F000000}" name="SP4" dataDxfId="114">
      <calculatedColumnFormula>IFERROR(IF(VLOOKUP(TableHandbook[[#This Row],[UDC]],TableAvailabilities[],5,FALSE)&gt;0,"Y",""),"")</calculatedColumnFormula>
    </tableColumn>
    <tableColumn id="16" xr3:uid="{00000000-0010-0000-0300-000010000000}" name="Notes" dataDxfId="113"/>
    <tableColumn id="8" xr3:uid="{00000000-0010-0000-0300-000008000000}" name="OB-ARCH" dataDxfId="112">
      <calculatedColumnFormula>IFERROR(VLOOKUP(TableHandbook[[#This Row],[UDC]],TableOBARCH[],7,FALSE),"")</calculatedColumnFormula>
    </tableColumn>
    <tableColumn id="9" xr3:uid="{00000000-0010-0000-0300-000009000000}" name="OSCU-ANGAD" dataDxfId="111">
      <calculatedColumnFormula>IFERROR(VLOOKUP(TableHandbook[[#This Row],[UDC]],TableOSCUANGAD[],7,FALSE),"")</calculatedColumnFormula>
    </tableColumn>
    <tableColumn id="10" xr3:uid="{00000000-0010-0000-0300-00000A000000}" name="OSCU-CONMS" dataDxfId="110">
      <calculatedColumnFormula>IFERROR(VLOOKUP(TableHandbook[[#This Row],[UDC]],TableOSCUCONMS[],7,FALSE),"")</calculatedColumnFormula>
    </tableColumn>
    <tableColumn id="20" xr3:uid="{00000000-0010-0000-0300-000014000000}" name="OSCU-INARS" dataDxfId="109">
      <calculatedColumnFormula>IFERROR(VLOOKUP(TableHandbook[[#This Row],[UDC]],TableOSCUINARS[],7,FALSE),"")</calculatedColumnFormula>
    </tableColumn>
    <tableColumn id="21" xr3:uid="{00000000-0010-0000-0300-000015000000}" name="OSCU-PLGEO" dataDxfId="108">
      <calculatedColumnFormula>IFERROR(VLOOKUP(TableHandbook[[#This Row],[UDC]],TableOSCUPLGEO[],7,FALSE),"")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OBARCH" displayName="TableOBARCH" ref="A2:O27" totalsRowShown="0">
  <autoFilter ref="A2:O27" xr:uid="{00000000-0009-0000-0100-000001000000}"/>
  <sortState xmlns:xlrd2="http://schemas.microsoft.com/office/spreadsheetml/2017/richdata2" ref="U3:AL6">
    <sortCondition ref="AI2:AI6"/>
  </sortState>
  <tableColumns count="15">
    <tableColumn id="1" xr3:uid="{00000000-0010-0000-0400-000001000000}" name="UDC" dataDxfId="107">
      <calculatedColumnFormula>TableOBARCH[[#This Row],[Study Package Code]]</calculatedColumnFormula>
    </tableColumn>
    <tableColumn id="9" xr3:uid="{00000000-0010-0000-0400-000009000000}" name="V" dataDxfId="106">
      <calculatedColumnFormula>TableOBARCH[[#This Row],[Ver]]</calculatedColumnFormula>
    </tableColumn>
    <tableColumn id="10" xr3:uid="{00000000-0010-0000-0400-00000A000000}" name="OUA Code" dataDxfId="105">
      <calculatedColumnFormula>LEFT(TableOBARCH[[#This Row],[Structure Line]],(FIND(" ",TableOBARCH[[#This Row],[Structure Line]],1)-1))</calculatedColumnFormula>
    </tableColumn>
    <tableColumn id="11" xr3:uid="{00000000-0010-0000-0400-00000B000000}" name="Unit Title" dataDxfId="104">
      <calculatedColumnFormula>MID(TableOBARCH[[#This Row],[Structure Line]],FIND(" ",TableOBARCH[[#This Row],[Structure Line]])+1,256)</calculatedColumnFormula>
    </tableColumn>
    <tableColumn id="12" xr3:uid="{00000000-0010-0000-0400-00000C000000}" name="CPs" dataDxfId="103">
      <calculatedColumnFormula>TableOBARCH[[#This Row],[Credit Points]]</calculatedColumnFormula>
    </tableColumn>
    <tableColumn id="13" xr3:uid="{00000000-0010-0000-0400-00000D000000}" name="No." dataDxfId="102"/>
    <tableColumn id="2" xr3:uid="{00000000-0010-0000-0400-000002000000}" name="Component Type" dataDxfId="101"/>
    <tableColumn id="3" xr3:uid="{00000000-0010-0000-0400-000003000000}" name="Year Level" dataDxfId="100"/>
    <tableColumn id="4" xr3:uid="{00000000-0010-0000-0400-000004000000}" name="Study Period" dataDxfId="99"/>
    <tableColumn id="5" xr3:uid="{00000000-0010-0000-0400-000005000000}" name="Study Package Code" dataDxfId="98"/>
    <tableColumn id="6" xr3:uid="{00000000-0010-0000-0400-000006000000}" name="Ver" dataDxfId="97"/>
    <tableColumn id="7" xr3:uid="{00000000-0010-0000-0400-000007000000}" name="Structure Line" dataDxfId="96"/>
    <tableColumn id="8" xr3:uid="{00000000-0010-0000-0400-000008000000}" name="Credit Points" dataDxfId="95"/>
    <tableColumn id="14" xr3:uid="{00000000-0010-0000-0400-00000E000000}" name="Effective" dataDxfId="94"/>
    <tableColumn id="15" xr3:uid="{00000000-0010-0000-0400-00000F000000}" name="Discont." dataDxfId="9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SCUANGAD" displayName="TableOSCUANGAD" ref="A29:O35" totalsRowShown="0">
  <autoFilter ref="A29:O35" xr:uid="{00000000-0009-0000-0100-000006000000}"/>
  <sortState xmlns:xlrd2="http://schemas.microsoft.com/office/spreadsheetml/2017/richdata2" ref="U11:AL18">
    <sortCondition ref="AH10:AH18"/>
  </sortState>
  <tableColumns count="15">
    <tableColumn id="1" xr3:uid="{00000000-0010-0000-0500-000001000000}" name="UDC" dataDxfId="92">
      <calculatedColumnFormula>TableOSCUANGAD[[#This Row],[Study Package Code]]</calculatedColumnFormula>
    </tableColumn>
    <tableColumn id="9" xr3:uid="{00000000-0010-0000-0500-000009000000}" name="V" dataDxfId="91">
      <calculatedColumnFormula>TableOSCUANGAD[[#This Row],[Ver]]</calculatedColumnFormula>
    </tableColumn>
    <tableColumn id="10" xr3:uid="{00000000-0010-0000-0500-00000A000000}" name="OUA Code" dataDxfId="90">
      <calculatedColumnFormula>LEFT(TableOSCUANGAD[[#This Row],[Structure Line]],(FIND(" ",TableOSCUANGAD[[#This Row],[Structure Line]],1)-1))</calculatedColumnFormula>
    </tableColumn>
    <tableColumn id="11" xr3:uid="{00000000-0010-0000-0500-00000B000000}" name="Unit Title" dataDxfId="89">
      <calculatedColumnFormula>TableOSCUANGAD[[#This Row],[Structure Line]]</calculatedColumnFormula>
    </tableColumn>
    <tableColumn id="12" xr3:uid="{00000000-0010-0000-0500-00000C000000}" name="CPs" dataDxfId="88">
      <calculatedColumnFormula>TableOSCUANGAD[[#This Row],[Credit Points]]</calculatedColumnFormula>
    </tableColumn>
    <tableColumn id="13" xr3:uid="{00000000-0010-0000-0500-00000D000000}" name="No." dataDxfId="87"/>
    <tableColumn id="2" xr3:uid="{00000000-0010-0000-0500-000002000000}" name="Component Type" dataDxfId="86"/>
    <tableColumn id="3" xr3:uid="{00000000-0010-0000-0500-000003000000}" name="Year Level" dataDxfId="85"/>
    <tableColumn id="4" xr3:uid="{00000000-0010-0000-0500-000004000000}" name="Study Period" dataDxfId="84"/>
    <tableColumn id="5" xr3:uid="{00000000-0010-0000-0500-000005000000}" name="Study Package Code" dataDxfId="83"/>
    <tableColumn id="6" xr3:uid="{00000000-0010-0000-0500-000006000000}" name="Ver" dataDxfId="82"/>
    <tableColumn id="7" xr3:uid="{00000000-0010-0000-0500-000007000000}" name="Structure Line" dataDxfId="81"/>
    <tableColumn id="8" xr3:uid="{00000000-0010-0000-0500-000008000000}" name="Credit Points" dataDxfId="80"/>
    <tableColumn id="14" xr3:uid="{00000000-0010-0000-0500-00000E000000}" name="Effective" dataDxfId="79"/>
    <tableColumn id="15" xr3:uid="{00000000-0010-0000-0500-00000F000000}" name="Discont." dataDxfId="7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OSCUINARS" displayName="TableOSCUINARS" ref="A45:O57" totalsRowShown="0">
  <autoFilter ref="A45:O57" xr:uid="{00000000-0009-0000-0100-000007000000}"/>
  <sortState xmlns:xlrd2="http://schemas.microsoft.com/office/spreadsheetml/2017/richdata2" ref="A46:N53">
    <sortCondition ref="F45:F53"/>
  </sortState>
  <tableColumns count="15">
    <tableColumn id="1" xr3:uid="{00000000-0010-0000-0600-000001000000}" name="UDC" dataDxfId="77">
      <calculatedColumnFormula>TableOSCUINARS[[#This Row],[Study Package Code]]</calculatedColumnFormula>
    </tableColumn>
    <tableColumn id="9" xr3:uid="{00000000-0010-0000-0600-000009000000}" name="V" dataDxfId="76">
      <calculatedColumnFormula>TableOSCUINARS[[#This Row],[Ver]]</calculatedColumnFormula>
    </tableColumn>
    <tableColumn id="10" xr3:uid="{00000000-0010-0000-0600-00000A000000}" name="OUA Code" dataDxfId="75">
      <calculatedColumnFormula>LEFT(TableOSCUINARS[[#This Row],[Structure Line]],(FIND(" ",TableOSCUINARS[[#This Row],[Structure Line]],1)-1))</calculatedColumnFormula>
    </tableColumn>
    <tableColumn id="11" xr3:uid="{00000000-0010-0000-0600-00000B000000}" name="Unit Title" dataDxfId="74">
      <calculatedColumnFormula>MID(TableOSCUINARS[[#This Row],[Structure Line]],FIND(" ",TableOSCUINARS[[#This Row],[Structure Line]])+1,256)</calculatedColumnFormula>
    </tableColumn>
    <tableColumn id="12" xr3:uid="{00000000-0010-0000-0600-00000C000000}" name="CPs" dataDxfId="73">
      <calculatedColumnFormula>TableOSCUINARS[[#This Row],[Credit Points]]</calculatedColumnFormula>
    </tableColumn>
    <tableColumn id="13" xr3:uid="{00000000-0010-0000-0600-00000D000000}" name="No." dataDxfId="72"/>
    <tableColumn id="2" xr3:uid="{00000000-0010-0000-0600-000002000000}" name="Component Type" dataDxfId="71"/>
    <tableColumn id="3" xr3:uid="{00000000-0010-0000-0600-000003000000}" name="Year Level" dataDxfId="70"/>
    <tableColumn id="4" xr3:uid="{00000000-0010-0000-0600-000004000000}" name="Study Period" dataDxfId="69"/>
    <tableColumn id="5" xr3:uid="{00000000-0010-0000-0600-000005000000}" name="Study Package Code" dataDxfId="68"/>
    <tableColumn id="6" xr3:uid="{00000000-0010-0000-0600-000006000000}" name="Ver" dataDxfId="67"/>
    <tableColumn id="7" xr3:uid="{00000000-0010-0000-0600-000007000000}" name="Structure Line" dataDxfId="66"/>
    <tableColumn id="8" xr3:uid="{00000000-0010-0000-0600-000008000000}" name="Credit Points" dataDxfId="65"/>
    <tableColumn id="14" xr3:uid="{00000000-0010-0000-0600-00000E000000}" name="Effective" dataDxfId="64"/>
    <tableColumn id="15" xr3:uid="{00000000-0010-0000-0600-00000F000000}" name="Discont." dataDxfId="6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OSCUPLGEO" displayName="TableOSCUPLGEO" ref="A59:O65" totalsRowShown="0">
  <autoFilter ref="A59:O65" xr:uid="{00000000-0009-0000-0100-000009000000}"/>
  <sortState xmlns:xlrd2="http://schemas.microsoft.com/office/spreadsheetml/2017/richdata2" ref="A54:M59">
    <sortCondition descending="1" ref="G48:G54"/>
  </sortState>
  <tableColumns count="15">
    <tableColumn id="1" xr3:uid="{00000000-0010-0000-0700-000001000000}" name="UDC" dataDxfId="62">
      <calculatedColumnFormula>TableOSCUPLGEO[[#This Row],[Study Package Code]]</calculatedColumnFormula>
    </tableColumn>
    <tableColumn id="9" xr3:uid="{00000000-0010-0000-0700-000009000000}" name="V" dataDxfId="61">
      <calculatedColumnFormula>TableOSCUPLGEO[[#This Row],[Ver]]</calculatedColumnFormula>
    </tableColumn>
    <tableColumn id="10" xr3:uid="{00000000-0010-0000-0700-00000A000000}" name="OUA Code" dataDxfId="60">
      <calculatedColumnFormula>LEFT(TableOSCUPLGEO[[#This Row],[Structure Line]],(FIND(" ",TableOSCUPLGEO[[#This Row],[Structure Line]],1)-1))</calculatedColumnFormula>
    </tableColumn>
    <tableColumn id="11" xr3:uid="{00000000-0010-0000-0700-00000B000000}" name="Unit Title" dataDxfId="59">
      <calculatedColumnFormula>MID(TableOSCUPLGEO[[#This Row],[Structure Line]],FIND(" ",TableOSCUPLGEO[[#This Row],[Structure Line]])+1,256)</calculatedColumnFormula>
    </tableColumn>
    <tableColumn id="12" xr3:uid="{00000000-0010-0000-0700-00000C000000}" name="CPs" dataDxfId="58">
      <calculatedColumnFormula>TableOSCUPLGEO[[#This Row],[Credit Points]]</calculatedColumnFormula>
    </tableColumn>
    <tableColumn id="13" xr3:uid="{00000000-0010-0000-0700-00000D000000}" name="No." dataDxfId="57"/>
    <tableColumn id="2" xr3:uid="{00000000-0010-0000-0700-000002000000}" name="Component Type" dataDxfId="56"/>
    <tableColumn id="3" xr3:uid="{00000000-0010-0000-0700-000003000000}" name="Year Level" dataDxfId="55"/>
    <tableColumn id="4" xr3:uid="{00000000-0010-0000-0700-000004000000}" name="Study Period" dataDxfId="54"/>
    <tableColumn id="5" xr3:uid="{00000000-0010-0000-0700-000005000000}" name="Study Package Code" dataDxfId="53"/>
    <tableColumn id="6" xr3:uid="{00000000-0010-0000-0700-000006000000}" name="Ver" dataDxfId="52"/>
    <tableColumn id="7" xr3:uid="{00000000-0010-0000-0700-000007000000}" name="Structure Line" dataDxfId="51"/>
    <tableColumn id="8" xr3:uid="{00000000-0010-0000-0700-000008000000}" name="Credit Points" dataDxfId="50"/>
    <tableColumn id="14" xr3:uid="{00000000-0010-0000-0700-00000E000000}" name="Effective" dataDxfId="49"/>
    <tableColumn id="15" xr3:uid="{00000000-0010-0000-0700-00000F000000}" name="Discont." dataDxfId="4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OSCUCONMS" displayName="TableOSCUCONMS" ref="A37:O43" totalsRowShown="0">
  <autoFilter ref="A37:O43" xr:uid="{00000000-0009-0000-0100-00000A000000}"/>
  <sortState xmlns:xlrd2="http://schemas.microsoft.com/office/spreadsheetml/2017/richdata2" ref="A38:N43">
    <sortCondition ref="F37:F43"/>
  </sortState>
  <tableColumns count="15">
    <tableColumn id="1" xr3:uid="{00000000-0010-0000-0800-000001000000}" name="UDC" dataDxfId="47">
      <calculatedColumnFormula>TableOSCUCONMS[[#This Row],[Study Package Code]]</calculatedColumnFormula>
    </tableColumn>
    <tableColumn id="9" xr3:uid="{00000000-0010-0000-0800-000009000000}" name="V" dataDxfId="46">
      <calculatedColumnFormula>TableOSCUCONMS[[#This Row],[Ver]]</calculatedColumnFormula>
    </tableColumn>
    <tableColumn id="10" xr3:uid="{00000000-0010-0000-0800-00000A000000}" name="OUA Code" dataDxfId="45">
      <calculatedColumnFormula>LEFT(TableOSCUCONMS[[#This Row],[Structure Line]],(FIND(" ",TableOSCUCONMS[[#This Row],[Structure Line]],1)-1))</calculatedColumnFormula>
    </tableColumn>
    <tableColumn id="11" xr3:uid="{00000000-0010-0000-0800-00000B000000}" name="Unit Title" dataDxfId="44">
      <calculatedColumnFormula>MID(TableOSCUCONMS[[#This Row],[Structure Line]],FIND(" ",TableOSCUCONMS[[#This Row],[Structure Line]])+1,256)</calculatedColumnFormula>
    </tableColumn>
    <tableColumn id="12" xr3:uid="{00000000-0010-0000-0800-00000C000000}" name="CPs" dataDxfId="43">
      <calculatedColumnFormula>TableOSCUCONMS[[#This Row],[Credit Points]]</calculatedColumnFormula>
    </tableColumn>
    <tableColumn id="13" xr3:uid="{00000000-0010-0000-0800-00000D000000}" name="No." dataDxfId="42"/>
    <tableColumn id="2" xr3:uid="{00000000-0010-0000-0800-000002000000}" name="Component Type" dataDxfId="41"/>
    <tableColumn id="3" xr3:uid="{00000000-0010-0000-0800-000003000000}" name="Year Level" dataDxfId="40"/>
    <tableColumn id="4" xr3:uid="{00000000-0010-0000-0800-000004000000}" name="Study Period" dataDxfId="39"/>
    <tableColumn id="5" xr3:uid="{00000000-0010-0000-0800-000005000000}" name="Study Package Code" dataDxfId="38"/>
    <tableColumn id="6" xr3:uid="{00000000-0010-0000-0800-000006000000}" name="Ver" dataDxfId="37"/>
    <tableColumn id="7" xr3:uid="{00000000-0010-0000-0800-000007000000}" name="Structure Line" dataDxfId="36"/>
    <tableColumn id="8" xr3:uid="{00000000-0010-0000-0800-000008000000}" name="Credit Points" dataDxfId="35"/>
    <tableColumn id="14" xr3:uid="{00000000-0010-0000-0800-00000E000000}" name="Effective" dataDxfId="34"/>
    <tableColumn id="15" xr3:uid="{00000000-0010-0000-0800-00000F000000}" name="Discont." dataDxfId="3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GridLines="0" tabSelected="1" topLeftCell="A3" zoomScaleNormal="100" workbookViewId="0">
      <selection activeCell="D6" sqref="D6"/>
    </sheetView>
  </sheetViews>
  <sheetFormatPr defaultColWidth="9" defaultRowHeight="15" x14ac:dyDescent="0.25"/>
  <cols>
    <col min="1" max="1" width="11.75" style="100" customWidth="1"/>
    <col min="2" max="2" width="3.25" style="100" customWidth="1"/>
    <col min="3" max="3" width="10.375" style="100" customWidth="1"/>
    <col min="4" max="4" width="56" style="89" customWidth="1"/>
    <col min="5" max="5" width="7.5" style="89" customWidth="1"/>
    <col min="6" max="6" width="21.125" style="89" customWidth="1"/>
    <col min="7" max="7" width="5.625" style="89" customWidth="1"/>
    <col min="8" max="11" width="4.625" style="89" customWidth="1"/>
    <col min="12" max="12" width="18.625" style="89" customWidth="1"/>
    <col min="13" max="13" width="2.5" style="89" hidden="1" customWidth="1"/>
    <col min="14" max="16384" width="9" style="89"/>
  </cols>
  <sheetData>
    <row r="1" spans="1:16" hidden="1" x14ac:dyDescent="0.25">
      <c r="A1" s="85" t="s">
        <v>0</v>
      </c>
      <c r="B1" s="86" t="s">
        <v>1</v>
      </c>
      <c r="C1" s="86" t="s">
        <v>2</v>
      </c>
      <c r="D1" s="87" t="s">
        <v>3</v>
      </c>
      <c r="E1" s="87"/>
      <c r="F1" s="87" t="s">
        <v>4</v>
      </c>
      <c r="G1" s="87" t="s">
        <v>5</v>
      </c>
      <c r="H1" s="88" t="s">
        <v>6</v>
      </c>
      <c r="I1" s="87"/>
      <c r="J1" s="87"/>
      <c r="K1" s="87"/>
      <c r="L1" s="87" t="s">
        <v>7</v>
      </c>
    </row>
    <row r="2" spans="1:16" hidden="1" x14ac:dyDescent="0.25">
      <c r="A2" s="90"/>
      <c r="B2" s="91">
        <v>2</v>
      </c>
      <c r="C2" s="91">
        <v>3</v>
      </c>
      <c r="D2" s="91">
        <v>4</v>
      </c>
      <c r="E2" s="91"/>
      <c r="F2" s="91">
        <v>6</v>
      </c>
      <c r="G2" s="91">
        <v>5</v>
      </c>
      <c r="H2" s="91">
        <v>7</v>
      </c>
      <c r="I2" s="91">
        <v>8</v>
      </c>
      <c r="J2" s="91">
        <v>9</v>
      </c>
      <c r="K2" s="91">
        <v>10</v>
      </c>
      <c r="L2" s="92"/>
    </row>
    <row r="3" spans="1:16" ht="39.950000000000003" customHeight="1" x14ac:dyDescent="0.25">
      <c r="A3" s="93" t="s">
        <v>8</v>
      </c>
      <c r="B3" s="93"/>
      <c r="C3" s="93"/>
      <c r="D3" s="93"/>
      <c r="E3" s="94"/>
      <c r="F3" s="94"/>
      <c r="G3" s="94"/>
      <c r="H3" s="94"/>
      <c r="I3" s="94"/>
      <c r="J3" s="94"/>
      <c r="K3" s="94"/>
      <c r="L3" s="94"/>
    </row>
    <row r="4" spans="1:16" ht="25.5" x14ac:dyDescent="0.25">
      <c r="A4" s="95"/>
      <c r="B4" s="96"/>
      <c r="C4" s="96"/>
      <c r="D4" s="97"/>
      <c r="E4" s="97" t="s">
        <v>9</v>
      </c>
      <c r="F4" s="96"/>
      <c r="G4" s="98"/>
      <c r="H4" s="98"/>
      <c r="I4" s="98"/>
      <c r="J4" s="98"/>
      <c r="K4" s="98"/>
      <c r="L4" s="99" t="s">
        <v>397</v>
      </c>
    </row>
    <row r="5" spans="1:16" ht="20.100000000000001" customHeight="1" x14ac:dyDescent="0.25">
      <c r="B5" s="101"/>
      <c r="C5" s="102" t="s">
        <v>10</v>
      </c>
      <c r="D5" s="103" t="s">
        <v>11</v>
      </c>
      <c r="E5" s="104"/>
      <c r="F5" s="102" t="s">
        <v>12</v>
      </c>
      <c r="G5" s="104" t="str">
        <f>IFERROR(CONCATENATE(VLOOKUP(D5,TableCourses[],2,FALSE)," ",VLOOKUP(D5,TableCourses[],3,FALSE)),"")</f>
        <v>OB-ARCH v.3</v>
      </c>
      <c r="H5" s="104"/>
      <c r="I5" s="104"/>
      <c r="J5" s="104"/>
      <c r="K5" s="104"/>
      <c r="L5" s="105" t="e">
        <f>CONCATENATE(VLOOKUP(D6,TableSpecialisations[],2,FALSE),VLOOKUP(D7,TableStudyPeriod[],2,FALSE))</f>
        <v>#N/A</v>
      </c>
    </row>
    <row r="6" spans="1:16" ht="20.100000000000001" customHeight="1" x14ac:dyDescent="0.25">
      <c r="B6" s="101"/>
      <c r="C6" s="102" t="s">
        <v>13</v>
      </c>
      <c r="D6" s="194" t="s">
        <v>102</v>
      </c>
      <c r="E6" s="104"/>
      <c r="F6" s="102" t="s">
        <v>15</v>
      </c>
      <c r="G6" s="104" t="str">
        <f>IFERROR(CONCATENATE(VLOOKUP(D6,TableSpecialisations[],2,FALSE)," ",VLOOKUP(D6,TableSpecialisations[],3,FALSE)),"")</f>
        <v/>
      </c>
      <c r="H6" s="104"/>
      <c r="I6" s="104"/>
      <c r="J6" s="104"/>
      <c r="K6" s="104"/>
      <c r="L6" s="105" t="e">
        <f>VLOOKUP($D$6,TableSpecialisations[],2,FALSE)</f>
        <v>#N/A</v>
      </c>
    </row>
    <row r="7" spans="1:16" ht="20.100000000000001" customHeight="1" x14ac:dyDescent="0.25">
      <c r="A7" s="106"/>
      <c r="B7" s="107"/>
      <c r="C7" s="102" t="s">
        <v>16</v>
      </c>
      <c r="D7" s="195" t="s">
        <v>83</v>
      </c>
      <c r="E7" s="108"/>
      <c r="F7" s="102" t="s">
        <v>18</v>
      </c>
      <c r="G7" s="104" t="str">
        <f>IFERROR(VLOOKUP($D$5,TableCourses[],7,FALSE),"")</f>
        <v>600 credit points required</v>
      </c>
      <c r="H7" s="109"/>
      <c r="I7" s="109"/>
      <c r="J7" s="109"/>
      <c r="K7" s="109"/>
      <c r="L7" s="110"/>
    </row>
    <row r="8" spans="1:16" s="118" customFormat="1" ht="14.1" customHeight="1" x14ac:dyDescent="0.25">
      <c r="A8" s="111"/>
      <c r="B8" s="111"/>
      <c r="C8" s="111"/>
      <c r="D8" s="112"/>
      <c r="E8" s="113"/>
      <c r="F8" s="111"/>
      <c r="G8" s="111"/>
      <c r="H8" s="114" t="s">
        <v>19</v>
      </c>
      <c r="I8" s="115"/>
      <c r="J8" s="115"/>
      <c r="K8" s="116"/>
      <c r="L8" s="113"/>
      <c r="M8" s="117"/>
      <c r="N8" s="117"/>
      <c r="O8" s="117"/>
    </row>
    <row r="9" spans="1:16" s="118" customFormat="1" ht="21" x14ac:dyDescent="0.25">
      <c r="A9" s="111" t="s">
        <v>20</v>
      </c>
      <c r="B9" s="111"/>
      <c r="C9" s="111" t="s">
        <v>317</v>
      </c>
      <c r="D9" s="119" t="s">
        <v>3</v>
      </c>
      <c r="E9" s="120" t="s">
        <v>21</v>
      </c>
      <c r="F9" s="121" t="s">
        <v>22</v>
      </c>
      <c r="G9" s="111" t="s">
        <v>23</v>
      </c>
      <c r="H9" s="122" t="s">
        <v>24</v>
      </c>
      <c r="I9" s="123" t="s">
        <v>25</v>
      </c>
      <c r="J9" s="123" t="s">
        <v>26</v>
      </c>
      <c r="K9" s="124" t="s">
        <v>27</v>
      </c>
      <c r="L9" s="111" t="s">
        <v>28</v>
      </c>
      <c r="M9" s="117"/>
      <c r="N9" s="117"/>
      <c r="O9" s="117"/>
    </row>
    <row r="10" spans="1:16" s="134" customFormat="1" ht="20.100000000000001" customHeight="1" x14ac:dyDescent="0.15">
      <c r="A10" s="125" t="str">
        <f>IFERROR(IF(HLOOKUP($L$5,RangeUnitsets,M10,FALSE)=0,"",HLOOKUP($L$5,RangeUnitsets,M10,FALSE)),"")</f>
        <v/>
      </c>
      <c r="B10" s="126" t="str">
        <f>IFERROR(IF(VLOOKUP($A10,TableHandbook[],2,FALSE)=0,"",VLOOKUP($A10,TableHandbook[],2,FALSE)),"")</f>
        <v/>
      </c>
      <c r="C10" s="126" t="str">
        <f>IFERROR(IF(VLOOKUP($A10,TableHandbook[],3,FALSE)=0,"",VLOOKUP($A10,TableHandbook[],3,FALSE)),"")</f>
        <v/>
      </c>
      <c r="D10" s="127" t="str">
        <f>IFERROR(IF(VLOOKUP($A10,TableHandbook[],4,FALSE)=0,"",VLOOKUP($A10,TableHandbook[],4,FALSE)),"")</f>
        <v/>
      </c>
      <c r="E10" s="126" t="str">
        <f>IF(A10="","",VLOOKUP($D$7,TableStudyPeriod[],2,FALSE))</f>
        <v/>
      </c>
      <c r="F10" s="128" t="str">
        <f>IFERROR(IF(VLOOKUP($A10,TableHandbook[],6,FALSE)=0,"",VLOOKUP($A10,TableHandbook[],6,FALSE)),"")</f>
        <v/>
      </c>
      <c r="G10" s="126" t="str">
        <f>IFERROR(IF(VLOOKUP($A10,TableHandbook[],5,FALSE)=0,"",VLOOKUP($A10,TableHandbook[],5,FALSE)),"")</f>
        <v/>
      </c>
      <c r="H10" s="129" t="str">
        <f>IFERROR(VLOOKUP($A10,TableHandbook[],H$2,FALSE),"")</f>
        <v/>
      </c>
      <c r="I10" s="130" t="str">
        <f>IFERROR(VLOOKUP($A10,TableHandbook[],I$2,FALSE),"")</f>
        <v/>
      </c>
      <c r="J10" s="130" t="str">
        <f>IFERROR(VLOOKUP($A10,TableHandbook[],J$2,FALSE),"")</f>
        <v/>
      </c>
      <c r="K10" s="131" t="str">
        <f>IFERROR(VLOOKUP($A10,TableHandbook[],K$2,FALSE),"")</f>
        <v/>
      </c>
      <c r="L10" s="21"/>
      <c r="M10" s="132">
        <v>2</v>
      </c>
      <c r="N10" s="133"/>
      <c r="O10" s="133"/>
    </row>
    <row r="11" spans="1:16" s="134" customFormat="1" ht="20.100000000000001" customHeight="1" x14ac:dyDescent="0.15">
      <c r="A11" s="125" t="str">
        <f>IFERROR(IF(HLOOKUP($L$5,RangeUnitsets,M11,FALSE)=0,"",HLOOKUP($L$5,RangeUnitsets,M11,FALSE)),"")</f>
        <v/>
      </c>
      <c r="B11" s="126" t="str">
        <f>IFERROR(IF(VLOOKUP($A11,TableHandbook[],2,FALSE)=0,"",VLOOKUP($A11,TableHandbook[],2,FALSE)),"")</f>
        <v/>
      </c>
      <c r="C11" s="126" t="str">
        <f>IFERROR(IF(VLOOKUP($A11,TableHandbook[],3,FALSE)=0,"",VLOOKUP($A11,TableHandbook[],3,FALSE)),"")</f>
        <v/>
      </c>
      <c r="D11" s="127" t="str">
        <f>IFERROR(IF(VLOOKUP($A11,TableHandbook[],4,FALSE)=0,"",VLOOKUP($A11,TableHandbook[],4,FALSE)),"")</f>
        <v/>
      </c>
      <c r="E11" s="126" t="str">
        <f>IF(A11="","",E10)</f>
        <v/>
      </c>
      <c r="F11" s="128" t="str">
        <f>IFERROR(IF(VLOOKUP($A11,TableHandbook[],6,FALSE)=0,"",VLOOKUP($A11,TableHandbook[],6,FALSE)),"")</f>
        <v/>
      </c>
      <c r="G11" s="126" t="str">
        <f>IFERROR(IF(VLOOKUP($A11,TableHandbook[],5,FALSE)=0,"",VLOOKUP($A11,TableHandbook[],5,FALSE)),"")</f>
        <v/>
      </c>
      <c r="H11" s="129" t="str">
        <f>IFERROR(VLOOKUP($A11,TableHandbook[],H$2,FALSE),"")</f>
        <v/>
      </c>
      <c r="I11" s="130" t="str">
        <f>IFERROR(VLOOKUP($A11,TableHandbook[],I$2,FALSE),"")</f>
        <v/>
      </c>
      <c r="J11" s="130" t="str">
        <f>IFERROR(VLOOKUP($A11,TableHandbook[],J$2,FALSE),"")</f>
        <v/>
      </c>
      <c r="K11" s="131" t="str">
        <f>IFERROR(VLOOKUP($A11,TableHandbook[],K$2,FALSE),"")</f>
        <v/>
      </c>
      <c r="L11" s="21"/>
      <c r="M11" s="132">
        <v>3</v>
      </c>
      <c r="N11" s="133"/>
      <c r="O11" s="133"/>
    </row>
    <row r="12" spans="1:16" s="134" customFormat="1" ht="5.0999999999999996" customHeight="1" x14ac:dyDescent="0.15">
      <c r="A12" s="135"/>
      <c r="B12" s="136"/>
      <c r="C12" s="136"/>
      <c r="D12" s="137"/>
      <c r="E12" s="136"/>
      <c r="F12" s="138"/>
      <c r="G12" s="136"/>
      <c r="H12" s="139"/>
      <c r="I12" s="140"/>
      <c r="J12" s="140"/>
      <c r="K12" s="141"/>
      <c r="L12" s="53"/>
      <c r="M12" s="132"/>
      <c r="N12" s="133"/>
      <c r="O12" s="133"/>
      <c r="P12" s="133"/>
    </row>
    <row r="13" spans="1:16" s="134" customFormat="1" ht="20.100000000000001" customHeight="1" x14ac:dyDescent="0.15">
      <c r="A13" s="125" t="str">
        <f>IFERROR(IF(HLOOKUP($L$5,RangeUnitsets,M13,FALSE)=0,"",HLOOKUP($L$5,RangeUnitsets,M13,FALSE)),"")</f>
        <v/>
      </c>
      <c r="B13" s="126" t="str">
        <f>IFERROR(IF(VLOOKUP($A13,TableHandbook[],2,FALSE)=0,"",VLOOKUP($A13,TableHandbook[],2,FALSE)),"")</f>
        <v/>
      </c>
      <c r="C13" s="126" t="str">
        <f>IFERROR(IF(VLOOKUP($A13,TableHandbook[],3,FALSE)=0,"",VLOOKUP($A13,TableHandbook[],3,FALSE)),"")</f>
        <v/>
      </c>
      <c r="D13" s="127" t="str">
        <f>IFERROR(IF(VLOOKUP($A13,TableHandbook[],4,FALSE)=0,"",VLOOKUP($A13,TableHandbook[],4,FALSE)),"")</f>
        <v/>
      </c>
      <c r="E13" s="126" t="str">
        <f>IF(A13="","",VLOOKUP($D$7,TableStudyPeriod[],3,FALSE))</f>
        <v/>
      </c>
      <c r="F13" s="128" t="str">
        <f>IFERROR(IF(VLOOKUP($A13,TableHandbook[],6,FALSE)=0,"",VLOOKUP($A13,TableHandbook[],6,FALSE)),"")</f>
        <v/>
      </c>
      <c r="G13" s="126" t="str">
        <f>IFERROR(IF(VLOOKUP($A13,TableHandbook[],5,FALSE)=0,"",VLOOKUP($A13,TableHandbook[],5,FALSE)),"")</f>
        <v/>
      </c>
      <c r="H13" s="129" t="str">
        <f>IFERROR(VLOOKUP($A13,TableHandbook[],H$2,FALSE),"")</f>
        <v/>
      </c>
      <c r="I13" s="130" t="str">
        <f>IFERROR(VLOOKUP($A13,TableHandbook[],I$2,FALSE),"")</f>
        <v/>
      </c>
      <c r="J13" s="130" t="str">
        <f>IFERROR(VLOOKUP($A13,TableHandbook[],J$2,FALSE),"")</f>
        <v/>
      </c>
      <c r="K13" s="131" t="str">
        <f>IFERROR(VLOOKUP($A13,TableHandbook[],K$2,FALSE),"")</f>
        <v/>
      </c>
      <c r="L13" s="22"/>
      <c r="M13" s="132">
        <v>4</v>
      </c>
      <c r="N13" s="133"/>
      <c r="O13" s="133"/>
    </row>
    <row r="14" spans="1:16" s="134" customFormat="1" ht="20.100000000000001" customHeight="1" x14ac:dyDescent="0.15">
      <c r="A14" s="125" t="str">
        <f>IFERROR(IF(HLOOKUP($L$5,RangeUnitsets,M14,FALSE)=0,"",HLOOKUP($L$5,RangeUnitsets,M14,FALSE)),"")</f>
        <v/>
      </c>
      <c r="B14" s="126" t="str">
        <f>IFERROR(IF(VLOOKUP($A14,TableHandbook[],2,FALSE)=0,"",VLOOKUP($A14,TableHandbook[],2,FALSE)),"")</f>
        <v/>
      </c>
      <c r="C14" s="126" t="str">
        <f>IFERROR(IF(VLOOKUP($A14,TableHandbook[],3,FALSE)=0,"",VLOOKUP($A14,TableHandbook[],3,FALSE)),"")</f>
        <v/>
      </c>
      <c r="D14" s="127" t="str">
        <f>IFERROR(IF(VLOOKUP($A14,TableHandbook[],4,FALSE)=0,"",VLOOKUP($A14,TableHandbook[],4,FALSE)),"")</f>
        <v/>
      </c>
      <c r="E14" s="126" t="str">
        <f>IF(A14="","",E13)</f>
        <v/>
      </c>
      <c r="F14" s="128" t="str">
        <f>IFERROR(IF(VLOOKUP($A14,TableHandbook[],6,FALSE)=0,"",VLOOKUP($A14,TableHandbook[],6,FALSE)),"")</f>
        <v/>
      </c>
      <c r="G14" s="126" t="str">
        <f>IFERROR(IF(VLOOKUP($A14,TableHandbook[],5,FALSE)=0,"",VLOOKUP($A14,TableHandbook[],5,FALSE)),"")</f>
        <v/>
      </c>
      <c r="H14" s="129" t="str">
        <f>IFERROR(VLOOKUP($A14,TableHandbook[],H$2,FALSE),"")</f>
        <v/>
      </c>
      <c r="I14" s="130" t="str">
        <f>IFERROR(VLOOKUP($A14,TableHandbook[],I$2,FALSE),"")</f>
        <v/>
      </c>
      <c r="J14" s="130" t="str">
        <f>IFERROR(VLOOKUP($A14,TableHandbook[],J$2,FALSE),"")</f>
        <v/>
      </c>
      <c r="K14" s="131" t="str">
        <f>IFERROR(VLOOKUP($A14,TableHandbook[],K$2,FALSE),"")</f>
        <v/>
      </c>
      <c r="L14" s="21"/>
      <c r="M14" s="132">
        <v>5</v>
      </c>
      <c r="N14" s="133"/>
      <c r="O14" s="133"/>
    </row>
    <row r="15" spans="1:16" s="134" customFormat="1" ht="5.0999999999999996" customHeight="1" x14ac:dyDescent="0.15">
      <c r="A15" s="135"/>
      <c r="B15" s="136"/>
      <c r="C15" s="136"/>
      <c r="D15" s="137"/>
      <c r="E15" s="136"/>
      <c r="F15" s="138"/>
      <c r="G15" s="136"/>
      <c r="H15" s="139"/>
      <c r="I15" s="140"/>
      <c r="J15" s="140"/>
      <c r="K15" s="141"/>
      <c r="L15" s="53"/>
      <c r="M15" s="132"/>
      <c r="N15" s="133"/>
      <c r="O15" s="133"/>
      <c r="P15" s="133"/>
    </row>
    <row r="16" spans="1:16" s="134" customFormat="1" ht="20.100000000000001" customHeight="1" x14ac:dyDescent="0.15">
      <c r="A16" s="125" t="str">
        <f>IFERROR(IF(HLOOKUP($L$5,RangeUnitsets,M16,FALSE)=0,"",HLOOKUP($L$5,RangeUnitsets,M16,FALSE)),"")</f>
        <v/>
      </c>
      <c r="B16" s="142" t="str">
        <f>IFERROR(IF(VLOOKUP($A16,TableHandbook[],2,FALSE)=0,"",VLOOKUP($A16,TableHandbook[],2,FALSE)),"")</f>
        <v/>
      </c>
      <c r="C16" s="142" t="str">
        <f>IFERROR(IF(VLOOKUP($A16,TableHandbook[],3,FALSE)=0,"",VLOOKUP($A16,TableHandbook[],3,FALSE)),"")</f>
        <v/>
      </c>
      <c r="D16" s="127" t="str">
        <f>IFERROR(IF(VLOOKUP($A16,TableHandbook[],4,FALSE)=0,"",VLOOKUP($A16,TableHandbook[],4,FALSE)),"")</f>
        <v/>
      </c>
      <c r="E16" s="126" t="str">
        <f>IF(A16="","",VLOOKUP($D$7,TableStudyPeriod[],4,FALSE))</f>
        <v/>
      </c>
      <c r="F16" s="128" t="str">
        <f>IFERROR(IF(VLOOKUP($A16,TableHandbook[],6,FALSE)=0,"",VLOOKUP($A16,TableHandbook[],6,FALSE)),"")</f>
        <v/>
      </c>
      <c r="G16" s="142" t="str">
        <f>IFERROR(IF(VLOOKUP($A16,TableHandbook[],5,FALSE)=0,"",VLOOKUP($A16,TableHandbook[],5,FALSE)),"")</f>
        <v/>
      </c>
      <c r="H16" s="143" t="str">
        <f>IFERROR(VLOOKUP($A16,TableHandbook[],H$2,FALSE),"")</f>
        <v/>
      </c>
      <c r="I16" s="144" t="str">
        <f>IFERROR(VLOOKUP($A16,TableHandbook[],I$2,FALSE),"")</f>
        <v/>
      </c>
      <c r="J16" s="144" t="str">
        <f>IFERROR(VLOOKUP($A16,TableHandbook[],J$2,FALSE),"")</f>
        <v/>
      </c>
      <c r="K16" s="145" t="str">
        <f>IFERROR(VLOOKUP($A16,TableHandbook[],K$2,FALSE),"")</f>
        <v/>
      </c>
      <c r="L16" s="22"/>
      <c r="M16" s="132">
        <v>6</v>
      </c>
      <c r="N16" s="133"/>
      <c r="O16" s="133"/>
    </row>
    <row r="17" spans="1:16" s="147" customFormat="1" ht="20.100000000000001" customHeight="1" x14ac:dyDescent="0.15">
      <c r="A17" s="125" t="str">
        <f>IFERROR(IF(HLOOKUP($L$5,RangeUnitsets,M17,FALSE)=0,"",HLOOKUP($L$5,RangeUnitsets,M17,FALSE)),"")</f>
        <v/>
      </c>
      <c r="B17" s="142" t="str">
        <f>IFERROR(IF(VLOOKUP($A17,TableHandbook[],2,FALSE)=0,"",VLOOKUP($A17,TableHandbook[],2,FALSE)),"")</f>
        <v/>
      </c>
      <c r="C17" s="142" t="str">
        <f>IFERROR(IF(VLOOKUP($A17,TableHandbook[],3,FALSE)=0,"",VLOOKUP($A17,TableHandbook[],3,FALSE)),"")</f>
        <v/>
      </c>
      <c r="D17" s="127" t="str">
        <f>IFERROR(IF(VLOOKUP($A17,TableHandbook[],4,FALSE)=0,"",VLOOKUP($A17,TableHandbook[],4,FALSE)),"")</f>
        <v/>
      </c>
      <c r="E17" s="126" t="str">
        <f>IF(A17="","",E16)</f>
        <v/>
      </c>
      <c r="F17" s="128" t="str">
        <f>IFERROR(IF(VLOOKUP($A17,TableHandbook[],6,FALSE)=0,"",VLOOKUP($A17,TableHandbook[],6,FALSE)),"")</f>
        <v/>
      </c>
      <c r="G17" s="142" t="str">
        <f>IFERROR(IF(VLOOKUP($A17,TableHandbook[],5,FALSE)=0,"",VLOOKUP($A17,TableHandbook[],5,FALSE)),"")</f>
        <v/>
      </c>
      <c r="H17" s="143" t="str">
        <f>IFERROR(VLOOKUP($A17,TableHandbook[],H$2,FALSE),"")</f>
        <v/>
      </c>
      <c r="I17" s="144" t="str">
        <f>IFERROR(VLOOKUP($A17,TableHandbook[],I$2,FALSE),"")</f>
        <v/>
      </c>
      <c r="J17" s="144" t="str">
        <f>IFERROR(VLOOKUP($A17,TableHandbook[],J$2,FALSE),"")</f>
        <v/>
      </c>
      <c r="K17" s="145" t="str">
        <f>IFERROR(VLOOKUP($A17,TableHandbook[],K$2,FALSE),"")</f>
        <v/>
      </c>
      <c r="L17" s="22"/>
      <c r="M17" s="132">
        <v>7</v>
      </c>
      <c r="N17" s="146"/>
      <c r="O17" s="146"/>
    </row>
    <row r="18" spans="1:16" s="134" customFormat="1" ht="5.0999999999999996" customHeight="1" x14ac:dyDescent="0.15">
      <c r="A18" s="135"/>
      <c r="B18" s="136"/>
      <c r="C18" s="136"/>
      <c r="D18" s="137"/>
      <c r="E18" s="136"/>
      <c r="F18" s="138"/>
      <c r="G18" s="136"/>
      <c r="H18" s="139"/>
      <c r="I18" s="140"/>
      <c r="J18" s="140"/>
      <c r="K18" s="141"/>
      <c r="L18" s="53"/>
      <c r="M18" s="132"/>
      <c r="N18" s="133"/>
      <c r="O18" s="133"/>
      <c r="P18" s="133"/>
    </row>
    <row r="19" spans="1:16" s="147" customFormat="1" ht="20.100000000000001" customHeight="1" x14ac:dyDescent="0.15">
      <c r="A19" s="125" t="str">
        <f>IFERROR(IF(HLOOKUP($L$5,RangeUnitsets,M19,FALSE)=0,"",HLOOKUP($L$5,RangeUnitsets,M19,FALSE)),"")</f>
        <v/>
      </c>
      <c r="B19" s="142" t="str">
        <f>IFERROR(IF(VLOOKUP($A19,TableHandbook[],2,FALSE)=0,"",VLOOKUP($A19,TableHandbook[],2,FALSE)),"")</f>
        <v/>
      </c>
      <c r="C19" s="142" t="str">
        <f>IFERROR(IF(VLOOKUP($A19,TableHandbook[],3,FALSE)=0,"",VLOOKUP($A19,TableHandbook[],3,FALSE)),"")</f>
        <v/>
      </c>
      <c r="D19" s="127" t="str">
        <f>IFERROR(IF(VLOOKUP($A19,TableHandbook[],4,FALSE)=0,"",VLOOKUP($A19,TableHandbook[],4,FALSE)),"")</f>
        <v/>
      </c>
      <c r="E19" s="126" t="str">
        <f>IF(A19="","",VLOOKUP($D$7,TableStudyPeriod[],5,FALSE))</f>
        <v/>
      </c>
      <c r="F19" s="128" t="str">
        <f>IFERROR(IF(VLOOKUP($A19,TableHandbook[],6,FALSE)=0,"",VLOOKUP($A19,TableHandbook[],6,FALSE)),"")</f>
        <v/>
      </c>
      <c r="G19" s="142" t="str">
        <f>IFERROR(IF(VLOOKUP($A19,TableHandbook[],5,FALSE)=0,"",VLOOKUP($A19,TableHandbook[],5,FALSE)),"")</f>
        <v/>
      </c>
      <c r="H19" s="143" t="str">
        <f>IFERROR(VLOOKUP($A19,TableHandbook[],H$2,FALSE),"")</f>
        <v/>
      </c>
      <c r="I19" s="144" t="str">
        <f>IFERROR(VLOOKUP($A19,TableHandbook[],I$2,FALSE),"")</f>
        <v/>
      </c>
      <c r="J19" s="144" t="str">
        <f>IFERROR(VLOOKUP($A19,TableHandbook[],J$2,FALSE),"")</f>
        <v/>
      </c>
      <c r="K19" s="145" t="str">
        <f>IFERROR(VLOOKUP($A19,TableHandbook[],K$2,FALSE),"")</f>
        <v/>
      </c>
      <c r="L19" s="22"/>
      <c r="M19" s="132">
        <v>8</v>
      </c>
      <c r="N19" s="146"/>
      <c r="O19" s="146"/>
    </row>
    <row r="20" spans="1:16" s="147" customFormat="1" ht="20.100000000000001" customHeight="1" x14ac:dyDescent="0.15">
      <c r="A20" s="125" t="str">
        <f>IFERROR(IF(HLOOKUP($L$5,RangeUnitsets,M20,FALSE)=0,"",HLOOKUP($L$5,RangeUnitsets,M20,FALSE)),"")</f>
        <v/>
      </c>
      <c r="B20" s="142" t="str">
        <f>IFERROR(IF(VLOOKUP($A20,TableHandbook[],2,FALSE)=0,"",VLOOKUP($A20,TableHandbook[],2,FALSE)),"")</f>
        <v/>
      </c>
      <c r="C20" s="142" t="str">
        <f>IFERROR(IF(VLOOKUP($A20,TableHandbook[],3,FALSE)=0,"",VLOOKUP($A20,TableHandbook[],3,FALSE)),"")</f>
        <v/>
      </c>
      <c r="D20" s="148" t="str">
        <f>IFERROR(IF(VLOOKUP($A20,TableHandbook[],4,FALSE)=0,"",VLOOKUP($A20,TableHandbook[],4,FALSE)),"")</f>
        <v/>
      </c>
      <c r="E20" s="142" t="str">
        <f>IF(A20="","",E19)</f>
        <v/>
      </c>
      <c r="F20" s="128" t="str">
        <f>IFERROR(IF(VLOOKUP($A20,TableHandbook[],6,FALSE)=0,"",VLOOKUP($A20,TableHandbook[],6,FALSE)),"")</f>
        <v/>
      </c>
      <c r="G20" s="142" t="str">
        <f>IFERROR(IF(VLOOKUP($A20,TableHandbook[],5,FALSE)=0,"",VLOOKUP($A20,TableHandbook[],5,FALSE)),"")</f>
        <v/>
      </c>
      <c r="H20" s="143" t="str">
        <f>IFERROR(VLOOKUP($A20,TableHandbook[],H$2,FALSE),"")</f>
        <v/>
      </c>
      <c r="I20" s="144" t="str">
        <f>IFERROR(VLOOKUP($A20,TableHandbook[],I$2,FALSE),"")</f>
        <v/>
      </c>
      <c r="J20" s="144" t="str">
        <f>IFERROR(VLOOKUP($A20,TableHandbook[],J$2,FALSE),"")</f>
        <v/>
      </c>
      <c r="K20" s="145" t="str">
        <f>IFERROR(VLOOKUP($A20,TableHandbook[],K$2,FALSE),"")</f>
        <v/>
      </c>
      <c r="L20" s="22"/>
      <c r="M20" s="132">
        <v>9</v>
      </c>
      <c r="N20" s="146"/>
      <c r="O20" s="146"/>
    </row>
    <row r="21" spans="1:16" s="118" customFormat="1" ht="21" x14ac:dyDescent="0.25">
      <c r="A21" s="111" t="s">
        <v>29</v>
      </c>
      <c r="B21" s="111"/>
      <c r="C21" s="111" t="s">
        <v>317</v>
      </c>
      <c r="D21" s="119" t="s">
        <v>3</v>
      </c>
      <c r="E21" s="120" t="s">
        <v>21</v>
      </c>
      <c r="F21" s="121" t="s">
        <v>22</v>
      </c>
      <c r="G21" s="111" t="s">
        <v>23</v>
      </c>
      <c r="H21" s="122" t="str">
        <f>H$9</f>
        <v>SP1</v>
      </c>
      <c r="I21" s="123" t="str">
        <f t="shared" ref="I21:L21" si="0">I$9</f>
        <v>SP2</v>
      </c>
      <c r="J21" s="123" t="str">
        <f t="shared" si="0"/>
        <v>SP3</v>
      </c>
      <c r="K21" s="124" t="str">
        <f t="shared" si="0"/>
        <v>SP4</v>
      </c>
      <c r="L21" s="111" t="str">
        <f t="shared" si="0"/>
        <v>Notes / Progress</v>
      </c>
      <c r="M21" s="149"/>
      <c r="N21" s="117"/>
      <c r="O21" s="117"/>
    </row>
    <row r="22" spans="1:16" s="134" customFormat="1" ht="20.100000000000001" customHeight="1" x14ac:dyDescent="0.15">
      <c r="A22" s="125" t="str">
        <f>IFERROR(IF(HLOOKUP($L$5,RangeUnitsets,M22,FALSE)=0,"",HLOOKUP($L$5,RangeUnitsets,M22,FALSE)),"")</f>
        <v/>
      </c>
      <c r="B22" s="142" t="str">
        <f>IFERROR(IF(VLOOKUP($A22,TableHandbook[],2,FALSE)=0,"",VLOOKUP($A22,TableHandbook[],2,FALSE)),"")</f>
        <v/>
      </c>
      <c r="C22" s="142" t="str">
        <f>IFERROR(IF(VLOOKUP($A22,TableHandbook[],3,FALSE)=0,"",VLOOKUP($A22,TableHandbook[],3,FALSE)),"")</f>
        <v/>
      </c>
      <c r="D22" s="150" t="str">
        <f>IFERROR(IF(VLOOKUP($A22,TableHandbook[],4,FALSE)=0,"",VLOOKUP($A22,TableHandbook[],4,FALSE)),"")</f>
        <v/>
      </c>
      <c r="E22" s="142" t="str">
        <f>IF(A22="","",VLOOKUP($D$7,TableStudyPeriod[],2,FALSE))</f>
        <v/>
      </c>
      <c r="F22" s="128" t="str">
        <f>IFERROR(IF(VLOOKUP($A22,TableHandbook[],6,FALSE)=0,"",VLOOKUP($A22,TableHandbook[],6,FALSE)),"")</f>
        <v/>
      </c>
      <c r="G22" s="126" t="str">
        <f>IFERROR(IF(VLOOKUP($A22,TableHandbook[],5,FALSE)=0,"",VLOOKUP($A22,TableHandbook[],5,FALSE)),"")</f>
        <v/>
      </c>
      <c r="H22" s="129" t="str">
        <f>IFERROR(VLOOKUP($A22,TableHandbook[],H$2,FALSE),"")</f>
        <v/>
      </c>
      <c r="I22" s="130" t="str">
        <f>IFERROR(VLOOKUP($A22,TableHandbook[],I$2,FALSE),"")</f>
        <v/>
      </c>
      <c r="J22" s="130" t="str">
        <f>IFERROR(VLOOKUP($A22,TableHandbook[],J$2,FALSE),"")</f>
        <v/>
      </c>
      <c r="K22" s="131" t="str">
        <f>IFERROR(VLOOKUP($A22,TableHandbook[],K$2,FALSE),"")</f>
        <v/>
      </c>
      <c r="L22" s="21"/>
      <c r="M22" s="132">
        <v>10</v>
      </c>
      <c r="N22" s="133"/>
      <c r="O22" s="133"/>
    </row>
    <row r="23" spans="1:16" s="134" customFormat="1" ht="20.100000000000001" customHeight="1" x14ac:dyDescent="0.15">
      <c r="A23" s="125" t="str">
        <f>IFERROR(IF(HLOOKUP($L$5,RangeUnitsets,M23,FALSE)=0,"",HLOOKUP($L$5,RangeUnitsets,M23,FALSE)),"")</f>
        <v/>
      </c>
      <c r="B23" s="142" t="str">
        <f>IFERROR(IF(VLOOKUP($A23,TableHandbook[],2,FALSE)=0,"",VLOOKUP($A23,TableHandbook[],2,FALSE)),"")</f>
        <v/>
      </c>
      <c r="C23" s="142" t="str">
        <f>IFERROR(IF(VLOOKUP($A23,TableHandbook[],3,FALSE)=0,"",VLOOKUP($A23,TableHandbook[],3,FALSE)),"")</f>
        <v/>
      </c>
      <c r="D23" s="148" t="str">
        <f>IFERROR(IF(VLOOKUP($A23,TableHandbook[],4,FALSE)=0,"",VLOOKUP($A23,TableHandbook[],4,FALSE)),"")</f>
        <v/>
      </c>
      <c r="E23" s="142" t="str">
        <f>IF(A23="","",E22)</f>
        <v/>
      </c>
      <c r="F23" s="128" t="str">
        <f>IFERROR(IF(VLOOKUP($A23,TableHandbook[],6,FALSE)=0,"",VLOOKUP($A23,TableHandbook[],6,FALSE)),"")</f>
        <v/>
      </c>
      <c r="G23" s="126" t="str">
        <f>IFERROR(IF(VLOOKUP($A23,TableHandbook[],5,FALSE)=0,"",VLOOKUP($A23,TableHandbook[],5,FALSE)),"")</f>
        <v/>
      </c>
      <c r="H23" s="129" t="str">
        <f>IFERROR(VLOOKUP($A23,TableHandbook[],H$2,FALSE),"")</f>
        <v/>
      </c>
      <c r="I23" s="130" t="str">
        <f>IFERROR(VLOOKUP($A23,TableHandbook[],I$2,FALSE),"")</f>
        <v/>
      </c>
      <c r="J23" s="130" t="str">
        <f>IFERROR(VLOOKUP($A23,TableHandbook[],J$2,FALSE),"")</f>
        <v/>
      </c>
      <c r="K23" s="131" t="str">
        <f>IFERROR(VLOOKUP($A23,TableHandbook[],K$2,FALSE),"")</f>
        <v/>
      </c>
      <c r="L23" s="21"/>
      <c r="M23" s="132">
        <v>11</v>
      </c>
      <c r="N23" s="133"/>
      <c r="O23" s="133"/>
    </row>
    <row r="24" spans="1:16" s="134" customFormat="1" ht="5.0999999999999996" customHeight="1" x14ac:dyDescent="0.15">
      <c r="A24" s="135"/>
      <c r="B24" s="136"/>
      <c r="C24" s="136"/>
      <c r="D24" s="137"/>
      <c r="E24" s="136"/>
      <c r="F24" s="138"/>
      <c r="G24" s="136"/>
      <c r="H24" s="139"/>
      <c r="I24" s="140"/>
      <c r="J24" s="140"/>
      <c r="K24" s="141"/>
      <c r="L24" s="53"/>
      <c r="M24" s="132"/>
      <c r="N24" s="133"/>
      <c r="O24" s="133"/>
      <c r="P24" s="133"/>
    </row>
    <row r="25" spans="1:16" s="134" customFormat="1" ht="20.100000000000001" customHeight="1" x14ac:dyDescent="0.15">
      <c r="A25" s="125" t="str">
        <f>IFERROR(IF(HLOOKUP($L$5,RangeUnitsets,M25,FALSE)=0,"",HLOOKUP($L$5,RangeUnitsets,M25,FALSE)),"")</f>
        <v/>
      </c>
      <c r="B25" s="142" t="str">
        <f>IFERROR(IF(VLOOKUP($A25,TableHandbook[],2,FALSE)=0,"",VLOOKUP($A25,TableHandbook[],2,FALSE)),"")</f>
        <v/>
      </c>
      <c r="C25" s="142" t="str">
        <f>IFERROR(IF(VLOOKUP($A25,TableHandbook[],3,FALSE)=0,"",VLOOKUP($A25,TableHandbook[],3,FALSE)),"")</f>
        <v/>
      </c>
      <c r="D25" s="148" t="str">
        <f>IFERROR(IF(VLOOKUP($A25,TableHandbook[],4,FALSE)=0,"",VLOOKUP($A25,TableHandbook[],4,FALSE)),"")</f>
        <v/>
      </c>
      <c r="E25" s="142" t="str">
        <f>IF(A25="","",VLOOKUP($D$7,TableStudyPeriod[],3,FALSE))</f>
        <v/>
      </c>
      <c r="F25" s="128" t="str">
        <f>IFERROR(IF(VLOOKUP($A25,TableHandbook[],6,FALSE)=0,"",VLOOKUP($A25,TableHandbook[],6,FALSE)),"")</f>
        <v/>
      </c>
      <c r="G25" s="126" t="str">
        <f>IFERROR(IF(VLOOKUP($A25,TableHandbook[],5,FALSE)=0,"",VLOOKUP($A25,TableHandbook[],5,FALSE)),"")</f>
        <v/>
      </c>
      <c r="H25" s="129" t="str">
        <f>IFERROR(VLOOKUP($A25,TableHandbook[],H$2,FALSE),"")</f>
        <v/>
      </c>
      <c r="I25" s="130" t="str">
        <f>IFERROR(VLOOKUP($A25,TableHandbook[],I$2,FALSE),"")</f>
        <v/>
      </c>
      <c r="J25" s="130" t="str">
        <f>IFERROR(VLOOKUP($A25,TableHandbook[],J$2,FALSE),"")</f>
        <v/>
      </c>
      <c r="K25" s="131" t="str">
        <f>IFERROR(VLOOKUP($A25,TableHandbook[],K$2,FALSE),"")</f>
        <v/>
      </c>
      <c r="L25" s="21"/>
      <c r="M25" s="132">
        <v>12</v>
      </c>
      <c r="N25" s="133"/>
      <c r="O25" s="133"/>
    </row>
    <row r="26" spans="1:16" s="134" customFormat="1" ht="20.100000000000001" customHeight="1" x14ac:dyDescent="0.15">
      <c r="A26" s="125" t="str">
        <f>IFERROR(IF(HLOOKUP($L$5,RangeUnitsets,M26,FALSE)=0,"",HLOOKUP($L$5,RangeUnitsets,M26,FALSE)),"")</f>
        <v/>
      </c>
      <c r="B26" s="142" t="str">
        <f>IFERROR(IF(VLOOKUP($A26,TableHandbook[],2,FALSE)=0,"",VLOOKUP($A26,TableHandbook[],2,FALSE)),"")</f>
        <v/>
      </c>
      <c r="C26" s="142" t="str">
        <f>IFERROR(IF(VLOOKUP($A26,TableHandbook[],3,FALSE)=0,"",VLOOKUP($A26,TableHandbook[],3,FALSE)),"")</f>
        <v/>
      </c>
      <c r="D26" s="148" t="str">
        <f>IFERROR(IF(VLOOKUP($A26,TableHandbook[],4,FALSE)=0,"",VLOOKUP($A26,TableHandbook[],4,FALSE)),"")</f>
        <v/>
      </c>
      <c r="E26" s="142" t="str">
        <f>IF(A26="","",E25)</f>
        <v/>
      </c>
      <c r="F26" s="128" t="str">
        <f>IFERROR(IF(VLOOKUP($A26,TableHandbook[],6,FALSE)=0,"",VLOOKUP($A26,TableHandbook[],6,FALSE)),"")</f>
        <v/>
      </c>
      <c r="G26" s="126" t="str">
        <f>IFERROR(IF(VLOOKUP($A26,TableHandbook[],5,FALSE)=0,"",VLOOKUP($A26,TableHandbook[],5,FALSE)),"")</f>
        <v/>
      </c>
      <c r="H26" s="129" t="str">
        <f>IFERROR(VLOOKUP($A26,TableHandbook[],H$2,FALSE),"")</f>
        <v/>
      </c>
      <c r="I26" s="130" t="str">
        <f>IFERROR(VLOOKUP($A26,TableHandbook[],I$2,FALSE),"")</f>
        <v/>
      </c>
      <c r="J26" s="130" t="str">
        <f>IFERROR(VLOOKUP($A26,TableHandbook[],J$2,FALSE),"")</f>
        <v/>
      </c>
      <c r="K26" s="131" t="str">
        <f>IFERROR(VLOOKUP($A26,TableHandbook[],K$2,FALSE),"")</f>
        <v/>
      </c>
      <c r="L26" s="21"/>
      <c r="M26" s="132">
        <v>13</v>
      </c>
      <c r="N26" s="133"/>
      <c r="O26" s="133"/>
    </row>
    <row r="27" spans="1:16" s="134" customFormat="1" ht="5.0999999999999996" customHeight="1" x14ac:dyDescent="0.15">
      <c r="A27" s="135"/>
      <c r="B27" s="136"/>
      <c r="C27" s="136"/>
      <c r="D27" s="137"/>
      <c r="E27" s="136"/>
      <c r="F27" s="138"/>
      <c r="G27" s="136"/>
      <c r="H27" s="139"/>
      <c r="I27" s="140"/>
      <c r="J27" s="140"/>
      <c r="K27" s="141"/>
      <c r="L27" s="53"/>
      <c r="M27" s="132"/>
      <c r="N27" s="133"/>
      <c r="O27" s="133"/>
      <c r="P27" s="133"/>
    </row>
    <row r="28" spans="1:16" s="134" customFormat="1" ht="20.100000000000001" customHeight="1" x14ac:dyDescent="0.15">
      <c r="A28" s="125" t="str">
        <f>IFERROR(IF(HLOOKUP($L$5,RangeUnitsets,M28,FALSE)=0,"",HLOOKUP($L$5,RangeUnitsets,M28,FALSE)),"")</f>
        <v/>
      </c>
      <c r="B28" s="142" t="str">
        <f>IFERROR(IF(VLOOKUP($A28,TableHandbook[],2,FALSE)=0,"",VLOOKUP($A28,TableHandbook[],2,FALSE)),"")</f>
        <v/>
      </c>
      <c r="C28" s="142" t="str">
        <f>IFERROR(IF(VLOOKUP($A28,TableHandbook[],3,FALSE)=0,"",VLOOKUP($A28,TableHandbook[],3,FALSE)),"")</f>
        <v/>
      </c>
      <c r="D28" s="148" t="str">
        <f>IFERROR(IF(VLOOKUP($A28,TableHandbook[],4,FALSE)=0,"",VLOOKUP($A28,TableHandbook[],4,FALSE)),"")</f>
        <v/>
      </c>
      <c r="E28" s="142" t="str">
        <f>IF(A28="","",VLOOKUP($D$7,TableStudyPeriod[],4,FALSE))</f>
        <v/>
      </c>
      <c r="F28" s="128" t="str">
        <f>IFERROR(IF(VLOOKUP($A28,TableHandbook[],6,FALSE)=0,"",VLOOKUP($A28,TableHandbook[],6,FALSE)),"")</f>
        <v/>
      </c>
      <c r="G28" s="126" t="str">
        <f>IFERROR(IF(VLOOKUP($A28,TableHandbook[],5,FALSE)=0,"",VLOOKUP($A28,TableHandbook[],5,FALSE)),"")</f>
        <v/>
      </c>
      <c r="H28" s="129" t="str">
        <f>IFERROR(VLOOKUP($A28,TableHandbook[],H$2,FALSE),"")</f>
        <v/>
      </c>
      <c r="I28" s="130" t="str">
        <f>IFERROR(VLOOKUP($A28,TableHandbook[],I$2,FALSE),"")</f>
        <v/>
      </c>
      <c r="J28" s="130" t="str">
        <f>IFERROR(VLOOKUP($A28,TableHandbook[],J$2,FALSE),"")</f>
        <v/>
      </c>
      <c r="K28" s="131" t="str">
        <f>IFERROR(VLOOKUP($A28,TableHandbook[],K$2,FALSE),"")</f>
        <v/>
      </c>
      <c r="L28" s="21"/>
      <c r="M28" s="132">
        <v>14</v>
      </c>
      <c r="N28" s="133"/>
      <c r="O28" s="133"/>
    </row>
    <row r="29" spans="1:16" s="134" customFormat="1" ht="20.100000000000001" customHeight="1" x14ac:dyDescent="0.15">
      <c r="A29" s="125" t="str">
        <f>IFERROR(IF(HLOOKUP($L$5,RangeUnitsets,M29,FALSE)=0,"",HLOOKUP($L$5,RangeUnitsets,M29,FALSE)),"")</f>
        <v/>
      </c>
      <c r="B29" s="142" t="str">
        <f>IFERROR(IF(VLOOKUP($A29,TableHandbook[],2,FALSE)=0,"",VLOOKUP($A29,TableHandbook[],2,FALSE)),"")</f>
        <v/>
      </c>
      <c r="C29" s="142" t="str">
        <f>IFERROR(IF(VLOOKUP($A29,TableHandbook[],3,FALSE)=0,"",VLOOKUP($A29,TableHandbook[],3,FALSE)),"")</f>
        <v/>
      </c>
      <c r="D29" s="148" t="str">
        <f>IFERROR(IF(VLOOKUP($A29,TableHandbook[],4,FALSE)=0,"",VLOOKUP($A29,TableHandbook[],4,FALSE)),"")</f>
        <v/>
      </c>
      <c r="E29" s="142" t="str">
        <f>IF(A29="","",E28)</f>
        <v/>
      </c>
      <c r="F29" s="128" t="str">
        <f>IFERROR(IF(VLOOKUP($A29,TableHandbook[],6,FALSE)=0,"",VLOOKUP($A29,TableHandbook[],6,FALSE)),"")</f>
        <v/>
      </c>
      <c r="G29" s="126" t="str">
        <f>IFERROR(IF(VLOOKUP($A29,TableHandbook[],5,FALSE)=0,"",VLOOKUP($A29,TableHandbook[],5,FALSE)),"")</f>
        <v/>
      </c>
      <c r="H29" s="129" t="str">
        <f>IFERROR(VLOOKUP($A29,TableHandbook[],H$2,FALSE),"")</f>
        <v/>
      </c>
      <c r="I29" s="130" t="str">
        <f>IFERROR(VLOOKUP($A29,TableHandbook[],I$2,FALSE),"")</f>
        <v/>
      </c>
      <c r="J29" s="130" t="str">
        <f>IFERROR(VLOOKUP($A29,TableHandbook[],J$2,FALSE),"")</f>
        <v/>
      </c>
      <c r="K29" s="131" t="str">
        <f>IFERROR(VLOOKUP($A29,TableHandbook[],K$2,FALSE),"")</f>
        <v/>
      </c>
      <c r="L29" s="21"/>
      <c r="M29" s="132">
        <v>15</v>
      </c>
      <c r="N29" s="133"/>
      <c r="O29" s="133"/>
    </row>
    <row r="30" spans="1:16" s="134" customFormat="1" ht="5.0999999999999996" customHeight="1" x14ac:dyDescent="0.15">
      <c r="A30" s="135"/>
      <c r="B30" s="136"/>
      <c r="C30" s="136"/>
      <c r="D30" s="137"/>
      <c r="E30" s="136"/>
      <c r="F30" s="138"/>
      <c r="G30" s="136"/>
      <c r="H30" s="139"/>
      <c r="I30" s="140"/>
      <c r="J30" s="140"/>
      <c r="K30" s="141"/>
      <c r="L30" s="53"/>
      <c r="M30" s="132"/>
      <c r="N30" s="133"/>
      <c r="O30" s="133"/>
      <c r="P30" s="133"/>
    </row>
    <row r="31" spans="1:16" s="147" customFormat="1" ht="20.100000000000001" customHeight="1" x14ac:dyDescent="0.15">
      <c r="A31" s="125" t="str">
        <f>IFERROR(IF(HLOOKUP($L$5,RangeUnitsets,M31,FALSE)=0,"",HLOOKUP($L$5,RangeUnitsets,M31,FALSE)),"")</f>
        <v/>
      </c>
      <c r="B31" s="142" t="str">
        <f>IFERROR(IF(VLOOKUP($A31,TableHandbook[],2,FALSE)=0,"",VLOOKUP($A31,TableHandbook[],2,FALSE)),"")</f>
        <v/>
      </c>
      <c r="C31" s="142" t="str">
        <f>IFERROR(IF(VLOOKUP($A31,TableHandbook[],3,FALSE)=0,"",VLOOKUP($A31,TableHandbook[],3,FALSE)),"")</f>
        <v/>
      </c>
      <c r="D31" s="148" t="str">
        <f>IFERROR(IF(VLOOKUP($A31,TableHandbook[],4,FALSE)=0,"",VLOOKUP($A31,TableHandbook[],4,FALSE)),"")</f>
        <v/>
      </c>
      <c r="E31" s="142" t="str">
        <f>IF(A31="","",VLOOKUP($D$7,TableStudyPeriod[],5,FALSE))</f>
        <v/>
      </c>
      <c r="F31" s="128" t="str">
        <f>IFERROR(IF(VLOOKUP($A31,TableHandbook[],6,FALSE)=0,"",VLOOKUP($A31,TableHandbook[],6,FALSE)),"")</f>
        <v/>
      </c>
      <c r="G31" s="126" t="str">
        <f>IFERROR(IF(VLOOKUP($A31,TableHandbook[],5,FALSE)=0,"",VLOOKUP($A31,TableHandbook[],5,FALSE)),"")</f>
        <v/>
      </c>
      <c r="H31" s="129" t="str">
        <f>IFERROR(VLOOKUP($A31,TableHandbook[],H$2,FALSE),"")</f>
        <v/>
      </c>
      <c r="I31" s="130" t="str">
        <f>IFERROR(VLOOKUP($A31,TableHandbook[],I$2,FALSE),"")</f>
        <v/>
      </c>
      <c r="J31" s="130" t="str">
        <f>IFERROR(VLOOKUP($A31,TableHandbook[],J$2,FALSE),"")</f>
        <v/>
      </c>
      <c r="K31" s="131" t="str">
        <f>IFERROR(VLOOKUP($A31,TableHandbook[],K$2,FALSE),"")</f>
        <v/>
      </c>
      <c r="L31" s="21"/>
      <c r="M31" s="132">
        <v>16</v>
      </c>
      <c r="N31" s="146"/>
      <c r="O31" s="146"/>
    </row>
    <row r="32" spans="1:16" s="147" customFormat="1" ht="20.100000000000001" customHeight="1" x14ac:dyDescent="0.15">
      <c r="A32" s="125" t="str">
        <f>IFERROR(IF(HLOOKUP($L$5,RangeUnitsets,M32,FALSE)=0,"",HLOOKUP($L$5,RangeUnitsets,M32,FALSE)),"")</f>
        <v/>
      </c>
      <c r="B32" s="142" t="str">
        <f>IFERROR(IF(VLOOKUP($A32,TableHandbook[],2,FALSE)=0,"",VLOOKUP($A32,TableHandbook[],2,FALSE)),"")</f>
        <v/>
      </c>
      <c r="C32" s="142" t="str">
        <f>IFERROR(IF(VLOOKUP($A32,TableHandbook[],3,FALSE)=0,"",VLOOKUP($A32,TableHandbook[],3,FALSE)),"")</f>
        <v/>
      </c>
      <c r="D32" s="148" t="str">
        <f>IFERROR(IF(VLOOKUP($A32,TableHandbook[],4,FALSE)=0,"",VLOOKUP($A32,TableHandbook[],4,FALSE)),"")</f>
        <v/>
      </c>
      <c r="E32" s="126" t="str">
        <f>IF(A32="","",E31)</f>
        <v/>
      </c>
      <c r="F32" s="128" t="str">
        <f>IFERROR(IF(VLOOKUP($A32,TableHandbook[],6,FALSE)=0,"",VLOOKUP($A32,TableHandbook[],6,FALSE)),"")</f>
        <v/>
      </c>
      <c r="G32" s="126" t="str">
        <f>IFERROR(IF(VLOOKUP($A32,TableHandbook[],5,FALSE)=0,"",VLOOKUP($A32,TableHandbook[],5,FALSE)),"")</f>
        <v/>
      </c>
      <c r="H32" s="129" t="str">
        <f>IFERROR(VLOOKUP($A32,TableHandbook[],H$2,FALSE),"")</f>
        <v/>
      </c>
      <c r="I32" s="130" t="str">
        <f>IFERROR(VLOOKUP($A32,TableHandbook[],I$2,FALSE),"")</f>
        <v/>
      </c>
      <c r="J32" s="130" t="str">
        <f>IFERROR(VLOOKUP($A32,TableHandbook[],J$2,FALSE),"")</f>
        <v/>
      </c>
      <c r="K32" s="131" t="str">
        <f>IFERROR(VLOOKUP($A32,TableHandbook[],K$2,FALSE),"")</f>
        <v/>
      </c>
      <c r="L32" s="21"/>
      <c r="M32" s="132">
        <v>17</v>
      </c>
      <c r="N32" s="146"/>
      <c r="O32" s="146"/>
    </row>
    <row r="33" spans="1:16" s="118" customFormat="1" ht="21" x14ac:dyDescent="0.25">
      <c r="A33" s="111" t="s">
        <v>30</v>
      </c>
      <c r="B33" s="111"/>
      <c r="C33" s="111" t="s">
        <v>317</v>
      </c>
      <c r="D33" s="119" t="s">
        <v>3</v>
      </c>
      <c r="E33" s="120" t="s">
        <v>21</v>
      </c>
      <c r="F33" s="121" t="s">
        <v>22</v>
      </c>
      <c r="G33" s="111" t="s">
        <v>23</v>
      </c>
      <c r="H33" s="122" t="str">
        <f>H$9</f>
        <v>SP1</v>
      </c>
      <c r="I33" s="123" t="str">
        <f t="shared" ref="I33:L33" si="1">I$9</f>
        <v>SP2</v>
      </c>
      <c r="J33" s="123" t="str">
        <f t="shared" si="1"/>
        <v>SP3</v>
      </c>
      <c r="K33" s="124" t="str">
        <f t="shared" si="1"/>
        <v>SP4</v>
      </c>
      <c r="L33" s="111" t="str">
        <f t="shared" si="1"/>
        <v>Notes / Progress</v>
      </c>
      <c r="M33" s="149"/>
      <c r="N33" s="117"/>
      <c r="O33" s="117"/>
    </row>
    <row r="34" spans="1:16" s="134" customFormat="1" ht="20.100000000000001" customHeight="1" x14ac:dyDescent="0.15">
      <c r="A34" s="125" t="str">
        <f>IFERROR(IF(HLOOKUP($L$5,RangeUnitsets,M34,FALSE)=0,"",HLOOKUP($L$5,RangeUnitsets,M34,FALSE)),"")</f>
        <v/>
      </c>
      <c r="B34" s="142" t="str">
        <f>IFERROR(IF(VLOOKUP($A34,TableHandbook[],2,FALSE)=0,"",VLOOKUP($A34,TableHandbook[],2,FALSE)),"")</f>
        <v/>
      </c>
      <c r="C34" s="142" t="str">
        <f>IFERROR(IF(VLOOKUP($A34,TableHandbook[],3,FALSE)=0,"",VLOOKUP($A34,TableHandbook[],3,FALSE)),"")</f>
        <v/>
      </c>
      <c r="D34" s="150" t="str">
        <f>IFERROR(IF(VLOOKUP($A34,TableHandbook[],4,FALSE)=0,"",VLOOKUP($A34,TableHandbook[],4,FALSE)),"")</f>
        <v/>
      </c>
      <c r="E34" s="142" t="str">
        <f>IF(A34="","",VLOOKUP($D$7,TableStudyPeriod[],2,FALSE))</f>
        <v/>
      </c>
      <c r="F34" s="128" t="str">
        <f>IFERROR(IF(VLOOKUP($A34,TableHandbook[],6,FALSE)=0,"",VLOOKUP($A34,TableHandbook[],6,FALSE)),"")</f>
        <v/>
      </c>
      <c r="G34" s="126" t="str">
        <f>IFERROR(IF(VLOOKUP($A34,TableHandbook[],5,FALSE)=0,"",VLOOKUP($A34,TableHandbook[],5,FALSE)),"")</f>
        <v/>
      </c>
      <c r="H34" s="129" t="str">
        <f>IFERROR(VLOOKUP($A34,TableHandbook[],H$2,FALSE),"")</f>
        <v/>
      </c>
      <c r="I34" s="130" t="str">
        <f>IFERROR(VLOOKUP($A34,TableHandbook[],I$2,FALSE),"")</f>
        <v/>
      </c>
      <c r="J34" s="130" t="str">
        <f>IFERROR(VLOOKUP($A34,TableHandbook[],J$2,FALSE),"")</f>
        <v/>
      </c>
      <c r="K34" s="131" t="str">
        <f>IFERROR(VLOOKUP($A34,TableHandbook[],K$2,FALSE),"")</f>
        <v/>
      </c>
      <c r="L34" s="21"/>
      <c r="M34" s="132">
        <v>18</v>
      </c>
      <c r="N34" s="133"/>
      <c r="O34" s="133"/>
    </row>
    <row r="35" spans="1:16" s="134" customFormat="1" ht="20.100000000000001" customHeight="1" x14ac:dyDescent="0.15">
      <c r="A35" s="125" t="str">
        <f>IFERROR(IF(HLOOKUP($L$5,RangeUnitsets,M35,FALSE)=0,"",HLOOKUP($L$5,RangeUnitsets,M35,FALSE)),"")</f>
        <v/>
      </c>
      <c r="B35" s="142" t="str">
        <f>IFERROR(IF(VLOOKUP($A35,TableHandbook[],2,FALSE)=0,"",VLOOKUP($A35,TableHandbook[],2,FALSE)),"")</f>
        <v/>
      </c>
      <c r="C35" s="142" t="str">
        <f>IFERROR(IF(VLOOKUP($A35,TableHandbook[],3,FALSE)=0,"",VLOOKUP($A35,TableHandbook[],3,FALSE)),"")</f>
        <v/>
      </c>
      <c r="D35" s="148" t="str">
        <f>IFERROR(IF(VLOOKUP($A35,TableHandbook[],4,FALSE)=0,"",VLOOKUP($A35,TableHandbook[],4,FALSE)),"")</f>
        <v/>
      </c>
      <c r="E35" s="142" t="str">
        <f>IF(A35="","",E34)</f>
        <v/>
      </c>
      <c r="F35" s="128" t="str">
        <f>IFERROR(IF(VLOOKUP($A35,TableHandbook[],6,FALSE)=0,"",VLOOKUP($A35,TableHandbook[],6,FALSE)),"")</f>
        <v/>
      </c>
      <c r="G35" s="126" t="str">
        <f>IFERROR(IF(VLOOKUP($A35,TableHandbook[],5,FALSE)=0,"",VLOOKUP($A35,TableHandbook[],5,FALSE)),"")</f>
        <v/>
      </c>
      <c r="H35" s="129" t="str">
        <f>IFERROR(VLOOKUP($A35,TableHandbook[],H$2,FALSE),"")</f>
        <v/>
      </c>
      <c r="I35" s="130" t="str">
        <f>IFERROR(VLOOKUP($A35,TableHandbook[],I$2,FALSE),"")</f>
        <v/>
      </c>
      <c r="J35" s="130" t="str">
        <f>IFERROR(VLOOKUP($A35,TableHandbook[],J$2,FALSE),"")</f>
        <v/>
      </c>
      <c r="K35" s="131" t="str">
        <f>IFERROR(VLOOKUP($A35,TableHandbook[],K$2,FALSE),"")</f>
        <v/>
      </c>
      <c r="L35" s="21"/>
      <c r="M35" s="132">
        <v>19</v>
      </c>
      <c r="N35" s="133"/>
      <c r="O35" s="133"/>
    </row>
    <row r="36" spans="1:16" s="134" customFormat="1" ht="5.0999999999999996" customHeight="1" x14ac:dyDescent="0.15">
      <c r="A36" s="135"/>
      <c r="B36" s="136"/>
      <c r="C36" s="136"/>
      <c r="D36" s="137"/>
      <c r="E36" s="136"/>
      <c r="F36" s="138"/>
      <c r="G36" s="136"/>
      <c r="H36" s="139"/>
      <c r="I36" s="140"/>
      <c r="J36" s="140"/>
      <c r="K36" s="141"/>
      <c r="L36" s="53"/>
      <c r="M36" s="132"/>
      <c r="N36" s="133"/>
      <c r="O36" s="133"/>
      <c r="P36" s="133"/>
    </row>
    <row r="37" spans="1:16" s="134" customFormat="1" ht="20.100000000000001" customHeight="1" x14ac:dyDescent="0.15">
      <c r="A37" s="125" t="str">
        <f>IFERROR(IF(HLOOKUP($L$5,RangeUnitsets,M37,FALSE)=0,"",HLOOKUP($L$5,RangeUnitsets,M37,FALSE)),"")</f>
        <v/>
      </c>
      <c r="B37" s="142" t="str">
        <f>IFERROR(IF(VLOOKUP($A37,TableHandbook[],2,FALSE)=0,"",VLOOKUP($A37,TableHandbook[],2,FALSE)),"")</f>
        <v/>
      </c>
      <c r="C37" s="142" t="str">
        <f>IFERROR(IF(VLOOKUP($A37,TableHandbook[],3,FALSE)=0,"",VLOOKUP($A37,TableHandbook[],3,FALSE)),"")</f>
        <v/>
      </c>
      <c r="D37" s="148" t="str">
        <f>IFERROR(IF(VLOOKUP($A37,TableHandbook[],4,FALSE)=0,"",VLOOKUP($A37,TableHandbook[],4,FALSE)),"")</f>
        <v/>
      </c>
      <c r="E37" s="142" t="str">
        <f>IF(A37="","",VLOOKUP($D$7,TableStudyPeriod[],3,FALSE))</f>
        <v/>
      </c>
      <c r="F37" s="128" t="str">
        <f>IFERROR(IF(VLOOKUP($A37,TableHandbook[],6,FALSE)=0,"",VLOOKUP($A37,TableHandbook[],6,FALSE)),"")</f>
        <v/>
      </c>
      <c r="G37" s="126" t="str">
        <f>IFERROR(IF(VLOOKUP($A37,TableHandbook[],5,FALSE)=0,"",VLOOKUP($A37,TableHandbook[],5,FALSE)),"")</f>
        <v/>
      </c>
      <c r="H37" s="129" t="str">
        <f>IFERROR(VLOOKUP($A37,TableHandbook[],H$2,FALSE),"")</f>
        <v/>
      </c>
      <c r="I37" s="130" t="str">
        <f>IFERROR(VLOOKUP($A37,TableHandbook[],I$2,FALSE),"")</f>
        <v/>
      </c>
      <c r="J37" s="130" t="str">
        <f>IFERROR(VLOOKUP($A37,TableHandbook[],J$2,FALSE),"")</f>
        <v/>
      </c>
      <c r="K37" s="131" t="str">
        <f>IFERROR(VLOOKUP($A37,TableHandbook[],K$2,FALSE),"")</f>
        <v/>
      </c>
      <c r="L37" s="21"/>
      <c r="M37" s="132">
        <v>20</v>
      </c>
      <c r="N37" s="133"/>
      <c r="O37" s="133"/>
    </row>
    <row r="38" spans="1:16" s="134" customFormat="1" ht="20.100000000000001" customHeight="1" x14ac:dyDescent="0.15">
      <c r="A38" s="125" t="str">
        <f>IFERROR(IF(HLOOKUP($L$5,RangeUnitsets,M38,FALSE)=0,"",HLOOKUP($L$5,RangeUnitsets,M38,FALSE)),"")</f>
        <v/>
      </c>
      <c r="B38" s="142" t="str">
        <f>IFERROR(IF(VLOOKUP($A38,TableHandbook[],2,FALSE)=0,"",VLOOKUP($A38,TableHandbook[],2,FALSE)),"")</f>
        <v/>
      </c>
      <c r="C38" s="142" t="str">
        <f>IFERROR(IF(VLOOKUP($A38,TableHandbook[],3,FALSE)=0,"",VLOOKUP($A38,TableHandbook[],3,FALSE)),"")</f>
        <v/>
      </c>
      <c r="D38" s="148" t="str">
        <f>IFERROR(IF(VLOOKUP($A38,TableHandbook[],4,FALSE)=0,"",VLOOKUP($A38,TableHandbook[],4,FALSE)),"")</f>
        <v/>
      </c>
      <c r="E38" s="142" t="str">
        <f>IF(A38="","",E37)</f>
        <v/>
      </c>
      <c r="F38" s="128" t="str">
        <f>IFERROR(IF(VLOOKUP($A38,TableHandbook[],6,FALSE)=0,"",VLOOKUP($A38,TableHandbook[],6,FALSE)),"")</f>
        <v/>
      </c>
      <c r="G38" s="126" t="str">
        <f>IFERROR(IF(VLOOKUP($A38,TableHandbook[],5,FALSE)=0,"",VLOOKUP($A38,TableHandbook[],5,FALSE)),"")</f>
        <v/>
      </c>
      <c r="H38" s="129" t="str">
        <f>IFERROR(VLOOKUP($A38,TableHandbook[],H$2,FALSE),"")</f>
        <v/>
      </c>
      <c r="I38" s="130" t="str">
        <f>IFERROR(VLOOKUP($A38,TableHandbook[],I$2,FALSE),"")</f>
        <v/>
      </c>
      <c r="J38" s="130" t="str">
        <f>IFERROR(VLOOKUP($A38,TableHandbook[],J$2,FALSE),"")</f>
        <v/>
      </c>
      <c r="K38" s="131" t="str">
        <f>IFERROR(VLOOKUP($A38,TableHandbook[],K$2,FALSE),"")</f>
        <v/>
      </c>
      <c r="L38" s="21"/>
      <c r="M38" s="132">
        <v>21</v>
      </c>
      <c r="N38" s="133"/>
      <c r="O38" s="133"/>
    </row>
    <row r="39" spans="1:16" s="134" customFormat="1" ht="5.0999999999999996" customHeight="1" x14ac:dyDescent="0.15">
      <c r="A39" s="135"/>
      <c r="B39" s="136"/>
      <c r="C39" s="136"/>
      <c r="D39" s="137"/>
      <c r="E39" s="136"/>
      <c r="F39" s="138"/>
      <c r="G39" s="136"/>
      <c r="H39" s="139"/>
      <c r="I39" s="140"/>
      <c r="J39" s="140"/>
      <c r="K39" s="141"/>
      <c r="L39" s="53"/>
      <c r="M39" s="132"/>
      <c r="N39" s="133"/>
      <c r="O39" s="133"/>
      <c r="P39" s="133"/>
    </row>
    <row r="40" spans="1:16" s="134" customFormat="1" ht="20.100000000000001" customHeight="1" x14ac:dyDescent="0.15">
      <c r="A40" s="125" t="str">
        <f>IFERROR(IF(HLOOKUP($L$5,RangeUnitsets,M40,FALSE)=0,"",HLOOKUP($L$5,RangeUnitsets,M40,FALSE)),"")</f>
        <v/>
      </c>
      <c r="B40" s="142" t="str">
        <f>IFERROR(IF(VLOOKUP($A40,TableHandbook[],2,FALSE)=0,"",VLOOKUP($A40,TableHandbook[],2,FALSE)),"")</f>
        <v/>
      </c>
      <c r="C40" s="142" t="str">
        <f>IFERROR(IF(VLOOKUP($A40,TableHandbook[],3,FALSE)=0,"",VLOOKUP($A40,TableHandbook[],3,FALSE)),"")</f>
        <v/>
      </c>
      <c r="D40" s="148" t="str">
        <f>IFERROR(IF(VLOOKUP($A40,TableHandbook[],4,FALSE)=0,"",VLOOKUP($A40,TableHandbook[],4,FALSE)),"")</f>
        <v/>
      </c>
      <c r="E40" s="142" t="str">
        <f>IF(A40="","",VLOOKUP($D$7,TableStudyPeriod[],4,FALSE))</f>
        <v/>
      </c>
      <c r="F40" s="128" t="str">
        <f>IFERROR(IF(VLOOKUP($A40,TableHandbook[],6,FALSE)=0,"",VLOOKUP($A40,TableHandbook[],6,FALSE)),"")</f>
        <v/>
      </c>
      <c r="G40" s="126" t="str">
        <f>IFERROR(IF(VLOOKUP($A40,TableHandbook[],5,FALSE)=0,"",VLOOKUP($A40,TableHandbook[],5,FALSE)),"")</f>
        <v/>
      </c>
      <c r="H40" s="129" t="str">
        <f>IFERROR(VLOOKUP($A40,TableHandbook[],H$2,FALSE),"")</f>
        <v/>
      </c>
      <c r="I40" s="130" t="str">
        <f>IFERROR(VLOOKUP($A40,TableHandbook[],I$2,FALSE),"")</f>
        <v/>
      </c>
      <c r="J40" s="130" t="str">
        <f>IFERROR(VLOOKUP($A40,TableHandbook[],J$2,FALSE),"")</f>
        <v/>
      </c>
      <c r="K40" s="131" t="str">
        <f>IFERROR(VLOOKUP($A40,TableHandbook[],K$2,FALSE),"")</f>
        <v/>
      </c>
      <c r="L40" s="21"/>
      <c r="M40" s="132">
        <v>22</v>
      </c>
      <c r="N40" s="133"/>
      <c r="O40" s="133"/>
    </row>
    <row r="41" spans="1:16" s="134" customFormat="1" ht="20.100000000000001" customHeight="1" x14ac:dyDescent="0.15">
      <c r="A41" s="125" t="str">
        <f>IFERROR(IF(HLOOKUP($L$5,RangeUnitsets,M41,FALSE)=0,"",HLOOKUP($L$5,RangeUnitsets,M41,FALSE)),"")</f>
        <v/>
      </c>
      <c r="B41" s="142" t="str">
        <f>IFERROR(IF(VLOOKUP($A41,TableHandbook[],2,FALSE)=0,"",VLOOKUP($A41,TableHandbook[],2,FALSE)),"")</f>
        <v/>
      </c>
      <c r="C41" s="142" t="str">
        <f>IFERROR(IF(VLOOKUP($A41,TableHandbook[],3,FALSE)=0,"",VLOOKUP($A41,TableHandbook[],3,FALSE)),"")</f>
        <v/>
      </c>
      <c r="D41" s="148" t="str">
        <f>IFERROR(IF(VLOOKUP($A41,TableHandbook[],4,FALSE)=0,"",VLOOKUP($A41,TableHandbook[],4,FALSE)),"")</f>
        <v/>
      </c>
      <c r="E41" s="142" t="str">
        <f>IF(A41="","",E40)</f>
        <v/>
      </c>
      <c r="F41" s="128" t="str">
        <f>IFERROR(IF(VLOOKUP($A41,TableHandbook[],6,FALSE)=0,"",VLOOKUP($A41,TableHandbook[],6,FALSE)),"")</f>
        <v/>
      </c>
      <c r="G41" s="126" t="str">
        <f>IFERROR(IF(VLOOKUP($A41,TableHandbook[],5,FALSE)=0,"",VLOOKUP($A41,TableHandbook[],5,FALSE)),"")</f>
        <v/>
      </c>
      <c r="H41" s="129" t="str">
        <f>IFERROR(VLOOKUP($A41,TableHandbook[],H$2,FALSE),"")</f>
        <v/>
      </c>
      <c r="I41" s="130" t="str">
        <f>IFERROR(VLOOKUP($A41,TableHandbook[],I$2,FALSE),"")</f>
        <v/>
      </c>
      <c r="J41" s="130" t="str">
        <f>IFERROR(VLOOKUP($A41,TableHandbook[],J$2,FALSE),"")</f>
        <v/>
      </c>
      <c r="K41" s="131" t="str">
        <f>IFERROR(VLOOKUP($A41,TableHandbook[],K$2,FALSE),"")</f>
        <v/>
      </c>
      <c r="L41" s="21"/>
      <c r="M41" s="132">
        <v>23</v>
      </c>
      <c r="N41" s="133"/>
      <c r="O41" s="133"/>
    </row>
    <row r="42" spans="1:16" s="134" customFormat="1" ht="5.0999999999999996" customHeight="1" x14ac:dyDescent="0.15">
      <c r="A42" s="135"/>
      <c r="B42" s="136"/>
      <c r="C42" s="136"/>
      <c r="D42" s="137"/>
      <c r="E42" s="136"/>
      <c r="F42" s="138"/>
      <c r="G42" s="136"/>
      <c r="H42" s="139"/>
      <c r="I42" s="140"/>
      <c r="J42" s="140"/>
      <c r="K42" s="141"/>
      <c r="L42" s="53"/>
      <c r="M42" s="132"/>
      <c r="N42" s="133"/>
      <c r="O42" s="133"/>
      <c r="P42" s="133"/>
    </row>
    <row r="43" spans="1:16" s="147" customFormat="1" ht="20.100000000000001" customHeight="1" x14ac:dyDescent="0.15">
      <c r="A43" s="125" t="str">
        <f>IFERROR(IF(HLOOKUP($L$5,RangeUnitsets,M43,FALSE)=0,"",HLOOKUP($L$5,RangeUnitsets,M43,FALSE)),"")</f>
        <v/>
      </c>
      <c r="B43" s="142" t="str">
        <f>IFERROR(IF(VLOOKUP($A43,TableHandbook[],2,FALSE)=0,"",VLOOKUP($A43,TableHandbook[],2,FALSE)),"")</f>
        <v/>
      </c>
      <c r="C43" s="142" t="str">
        <f>IFERROR(IF(VLOOKUP($A43,TableHandbook[],3,FALSE)=0,"",VLOOKUP($A43,TableHandbook[],3,FALSE)),"")</f>
        <v/>
      </c>
      <c r="D43" s="148" t="str">
        <f>IFERROR(IF(VLOOKUP($A43,TableHandbook[],4,FALSE)=0,"",VLOOKUP($A43,TableHandbook[],4,FALSE)),"")</f>
        <v/>
      </c>
      <c r="E43" s="142" t="str">
        <f>IF(A43="","",VLOOKUP($D$7,TableStudyPeriod[],5,FALSE))</f>
        <v/>
      </c>
      <c r="F43" s="128" t="str">
        <f>IFERROR(IF(VLOOKUP($A43,TableHandbook[],6,FALSE)=0,"",VLOOKUP($A43,TableHandbook[],6,FALSE)),"")</f>
        <v/>
      </c>
      <c r="G43" s="126" t="str">
        <f>IFERROR(IF(VLOOKUP($A43,TableHandbook[],5,FALSE)=0,"",VLOOKUP($A43,TableHandbook[],5,FALSE)),"")</f>
        <v/>
      </c>
      <c r="H43" s="129" t="str">
        <f>IFERROR(VLOOKUP($A43,TableHandbook[],H$2,FALSE),"")</f>
        <v/>
      </c>
      <c r="I43" s="130" t="str">
        <f>IFERROR(VLOOKUP($A43,TableHandbook[],I$2,FALSE),"")</f>
        <v/>
      </c>
      <c r="J43" s="130" t="str">
        <f>IFERROR(VLOOKUP($A43,TableHandbook[],J$2,FALSE),"")</f>
        <v/>
      </c>
      <c r="K43" s="131" t="str">
        <f>IFERROR(VLOOKUP($A43,TableHandbook[],K$2,FALSE),"")</f>
        <v/>
      </c>
      <c r="L43" s="21"/>
      <c r="M43" s="132">
        <v>24</v>
      </c>
      <c r="N43" s="146"/>
      <c r="O43" s="146"/>
    </row>
    <row r="44" spans="1:16" s="147" customFormat="1" ht="20.100000000000001" customHeight="1" x14ac:dyDescent="0.15">
      <c r="A44" s="125" t="str">
        <f>IFERROR(IF(HLOOKUP($L$5,RangeUnitsets,M44,FALSE)=0,"",HLOOKUP($L$5,RangeUnitsets,M44,FALSE)),"")</f>
        <v/>
      </c>
      <c r="B44" s="142" t="str">
        <f>IFERROR(IF(VLOOKUP($A44,TableHandbook[],2,FALSE)=0,"",VLOOKUP($A44,TableHandbook[],2,FALSE)),"")</f>
        <v/>
      </c>
      <c r="C44" s="142" t="str">
        <f>IFERROR(IF(VLOOKUP($A44,TableHandbook[],3,FALSE)=0,"",VLOOKUP($A44,TableHandbook[],3,FALSE)),"")</f>
        <v/>
      </c>
      <c r="D44" s="148" t="str">
        <f>IFERROR(IF(VLOOKUP($A44,TableHandbook[],4,FALSE)=0,"",VLOOKUP($A44,TableHandbook[],4,FALSE)),"")</f>
        <v/>
      </c>
      <c r="E44" s="126" t="str">
        <f>IF(A44="","",E43)</f>
        <v/>
      </c>
      <c r="F44" s="128" t="str">
        <f>IFERROR(IF(VLOOKUP($A44,TableHandbook[],6,FALSE)=0,"",VLOOKUP($A44,TableHandbook[],6,FALSE)),"")</f>
        <v/>
      </c>
      <c r="G44" s="126" t="str">
        <f>IFERROR(IF(VLOOKUP($A44,TableHandbook[],5,FALSE)=0,"",VLOOKUP($A44,TableHandbook[],5,FALSE)),"")</f>
        <v/>
      </c>
      <c r="H44" s="129" t="str">
        <f>IFERROR(VLOOKUP($A44,TableHandbook[],H$2,FALSE),"")</f>
        <v/>
      </c>
      <c r="I44" s="130" t="str">
        <f>IFERROR(VLOOKUP($A44,TableHandbook[],I$2,FALSE),"")</f>
        <v/>
      </c>
      <c r="J44" s="130" t="str">
        <f>IFERROR(VLOOKUP($A44,TableHandbook[],J$2,FALSE),"")</f>
        <v/>
      </c>
      <c r="K44" s="131" t="str">
        <f>IFERROR(VLOOKUP($A44,TableHandbook[],K$2,FALSE),"")</f>
        <v/>
      </c>
      <c r="L44" s="21"/>
      <c r="M44" s="132">
        <v>25</v>
      </c>
      <c r="N44" s="146"/>
      <c r="O44" s="146"/>
    </row>
    <row r="45" spans="1:16" s="157" customFormat="1" ht="13.9" customHeight="1" x14ac:dyDescent="0.2">
      <c r="A45" s="151"/>
      <c r="B45" s="151"/>
      <c r="C45" s="151"/>
      <c r="D45" s="152"/>
      <c r="E45" s="153"/>
      <c r="F45" s="154"/>
      <c r="G45" s="154"/>
      <c r="H45" s="154"/>
      <c r="I45" s="154"/>
      <c r="J45" s="154"/>
      <c r="K45" s="154"/>
      <c r="L45" s="154"/>
      <c r="M45" s="155"/>
      <c r="N45" s="156"/>
      <c r="O45" s="156"/>
    </row>
    <row r="46" spans="1:16" ht="25.5" x14ac:dyDescent="0.25">
      <c r="A46" s="158" t="str">
        <f>D6</f>
        <v>Choose your Specialisation (drop-down list)</v>
      </c>
      <c r="B46" s="159"/>
      <c r="C46" s="159"/>
      <c r="D46" s="160"/>
      <c r="E46" s="161"/>
      <c r="F46" s="162"/>
      <c r="G46" s="162"/>
      <c r="H46" s="114" t="str">
        <f>H8</f>
        <v>2025 Availabilities</v>
      </c>
      <c r="I46" s="163"/>
      <c r="J46" s="164"/>
      <c r="K46" s="165"/>
      <c r="L46" s="166"/>
      <c r="M46" s="167"/>
    </row>
    <row r="47" spans="1:16" s="170" customFormat="1" x14ac:dyDescent="0.25">
      <c r="A47" s="168"/>
      <c r="B47" s="169"/>
      <c r="C47" s="111" t="s">
        <v>317</v>
      </c>
      <c r="D47" s="119" t="s">
        <v>3</v>
      </c>
      <c r="E47" s="120"/>
      <c r="F47" s="121" t="s">
        <v>22</v>
      </c>
      <c r="G47" s="111" t="s">
        <v>23</v>
      </c>
      <c r="H47" s="122" t="str">
        <f>H$9</f>
        <v>SP1</v>
      </c>
      <c r="I47" s="123" t="str">
        <f t="shared" ref="I47:L47" si="2">I$9</f>
        <v>SP2</v>
      </c>
      <c r="J47" s="123" t="str">
        <f t="shared" si="2"/>
        <v>SP3</v>
      </c>
      <c r="K47" s="124" t="str">
        <f t="shared" si="2"/>
        <v>SP4</v>
      </c>
      <c r="L47" s="111" t="str">
        <f t="shared" si="2"/>
        <v>Notes / Progress</v>
      </c>
      <c r="M47" s="167"/>
    </row>
    <row r="48" spans="1:16" s="170" customFormat="1" ht="30" customHeight="1" x14ac:dyDescent="0.25">
      <c r="A48" s="171" t="s">
        <v>31</v>
      </c>
      <c r="B48" s="172"/>
      <c r="C48" s="172"/>
      <c r="D48" s="173"/>
      <c r="E48" s="174"/>
      <c r="F48" s="175"/>
      <c r="G48" s="176"/>
      <c r="H48" s="177"/>
      <c r="I48" s="178"/>
      <c r="J48" s="178"/>
      <c r="K48" s="179"/>
      <c r="L48" s="196"/>
      <c r="M48" s="167"/>
    </row>
    <row r="49" spans="1:13" x14ac:dyDescent="0.25">
      <c r="A49" s="180" t="str">
        <f t="shared" ref="A49:A63" si="3">IFERROR(IF(HLOOKUP($L$6,RangeSpecSets,M49,FALSE)=0,"",HLOOKUP($L$6,RangeSpecSets,M49,FALSE)),"")</f>
        <v/>
      </c>
      <c r="B49" s="181" t="str">
        <f>IFERROR(IF(VLOOKUP($A49,TableHandbook[],2,FALSE)=0,"",VLOOKUP($A49,TableHandbook[],2,FALSE)),"")</f>
        <v/>
      </c>
      <c r="C49" s="181" t="str">
        <f>IFERROR(IF(VLOOKUP($A49,TableHandbook[],3,FALSE)=0,"",VLOOKUP($A49,TableHandbook[],3,FALSE)),"")</f>
        <v/>
      </c>
      <c r="D49" s="182" t="str">
        <f>IFERROR(IF(VLOOKUP($A49,TableHandbook[],4,FALSE)=0,"",VLOOKUP($A49,TableHandbook[],4,FALSE)),"")</f>
        <v/>
      </c>
      <c r="E49" s="183"/>
      <c r="F49" s="128" t="str">
        <f>IFERROR(IF(VLOOKUP($A49,TableHandbook[],6,FALSE)=0,"",VLOOKUP($A49,TableHandbook[],6,FALSE)),"")</f>
        <v/>
      </c>
      <c r="G49" s="183" t="str">
        <f>IFERROR(IF(VLOOKUP($A49,TableHandbook[],5,FALSE)=0,"",VLOOKUP($A49,TableHandbook[],5,FALSE)),"")</f>
        <v/>
      </c>
      <c r="H49" s="184" t="str">
        <f>IFERROR(VLOOKUP($A49,TableHandbook[],H$2,FALSE),"")</f>
        <v/>
      </c>
      <c r="I49" s="185" t="str">
        <f>IFERROR(VLOOKUP($A49,TableHandbook[],I$2,FALSE),"")</f>
        <v/>
      </c>
      <c r="J49" s="185" t="str">
        <f>IFERROR(VLOOKUP($A49,TableHandbook[],J$2,FALSE),"")</f>
        <v/>
      </c>
      <c r="K49" s="186" t="str">
        <f>IFERROR(VLOOKUP($A49,TableHandbook[],K$2,FALSE),"")</f>
        <v/>
      </c>
      <c r="L49" s="22"/>
      <c r="M49" s="132">
        <v>2</v>
      </c>
    </row>
    <row r="50" spans="1:13" x14ac:dyDescent="0.25">
      <c r="A50" s="180" t="str">
        <f t="shared" si="3"/>
        <v/>
      </c>
      <c r="B50" s="181" t="str">
        <f>IFERROR(IF(VLOOKUP($A50,TableHandbook[],2,FALSE)=0,"",VLOOKUP($A50,TableHandbook[],2,FALSE)),"")</f>
        <v/>
      </c>
      <c r="C50" s="181" t="str">
        <f>IFERROR(IF(VLOOKUP($A50,TableHandbook[],3,FALSE)=0,"",VLOOKUP($A50,TableHandbook[],3,FALSE)),"")</f>
        <v/>
      </c>
      <c r="D50" s="182" t="str">
        <f>IFERROR(IF(VLOOKUP($A50,TableHandbook[],4,FALSE)=0,"",VLOOKUP($A50,TableHandbook[],4,FALSE)),"")</f>
        <v/>
      </c>
      <c r="E50" s="183"/>
      <c r="F50" s="128" t="str">
        <f>IFERROR(IF(VLOOKUP($A50,TableHandbook[],6,FALSE)=0,"",VLOOKUP($A50,TableHandbook[],6,FALSE)),"")</f>
        <v/>
      </c>
      <c r="G50" s="183" t="str">
        <f>IFERROR(IF(VLOOKUP($A50,TableHandbook[],5,FALSE)=0,"",VLOOKUP($A50,TableHandbook[],5,FALSE)),"")</f>
        <v/>
      </c>
      <c r="H50" s="184" t="str">
        <f>IFERROR(VLOOKUP($A50,TableHandbook[],H$2,FALSE),"")</f>
        <v/>
      </c>
      <c r="I50" s="185" t="str">
        <f>IFERROR(VLOOKUP($A50,TableHandbook[],I$2,FALSE),"")</f>
        <v/>
      </c>
      <c r="J50" s="185" t="str">
        <f>IFERROR(VLOOKUP($A50,TableHandbook[],J$2,FALSE),"")</f>
        <v/>
      </c>
      <c r="K50" s="186" t="str">
        <f>IFERROR(VLOOKUP($A50,TableHandbook[],K$2,FALSE),"")</f>
        <v/>
      </c>
      <c r="L50" s="22"/>
      <c r="M50" s="132">
        <v>3</v>
      </c>
    </row>
    <row r="51" spans="1:13" x14ac:dyDescent="0.25">
      <c r="A51" s="180" t="str">
        <f t="shared" si="3"/>
        <v/>
      </c>
      <c r="B51" s="181" t="str">
        <f>IFERROR(IF(VLOOKUP($A51,TableHandbook[],2,FALSE)=0,"",VLOOKUP($A51,TableHandbook[],2,FALSE)),"")</f>
        <v/>
      </c>
      <c r="C51" s="181" t="str">
        <f>IFERROR(IF(VLOOKUP($A51,TableHandbook[],3,FALSE)=0,"",VLOOKUP($A51,TableHandbook[],3,FALSE)),"")</f>
        <v/>
      </c>
      <c r="D51" s="182" t="str">
        <f>IFERROR(IF(VLOOKUP($A51,TableHandbook[],4,FALSE)=0,"",VLOOKUP($A51,TableHandbook[],4,FALSE)),"")</f>
        <v/>
      </c>
      <c r="E51" s="183"/>
      <c r="F51" s="128" t="str">
        <f>IFERROR(IF(VLOOKUP($A51,TableHandbook[],6,FALSE)=0,"",VLOOKUP($A51,TableHandbook[],6,FALSE)),"")</f>
        <v/>
      </c>
      <c r="G51" s="183" t="str">
        <f>IFERROR(IF(VLOOKUP($A51,TableHandbook[],5,FALSE)=0,"",VLOOKUP($A51,TableHandbook[],5,FALSE)),"")</f>
        <v/>
      </c>
      <c r="H51" s="184" t="str">
        <f>IFERROR(VLOOKUP($A51,TableHandbook[],H$2,FALSE),"")</f>
        <v/>
      </c>
      <c r="I51" s="185" t="str">
        <f>IFERROR(VLOOKUP($A51,TableHandbook[],I$2,FALSE),"")</f>
        <v/>
      </c>
      <c r="J51" s="185" t="str">
        <f>IFERROR(VLOOKUP($A51,TableHandbook[],J$2,FALSE),"")</f>
        <v/>
      </c>
      <c r="K51" s="186" t="str">
        <f>IFERROR(VLOOKUP($A51,TableHandbook[],K$2,FALSE),"")</f>
        <v/>
      </c>
      <c r="L51" s="22"/>
      <c r="M51" s="132">
        <v>4</v>
      </c>
    </row>
    <row r="52" spans="1:13" x14ac:dyDescent="0.25">
      <c r="A52" s="180" t="str">
        <f t="shared" si="3"/>
        <v/>
      </c>
      <c r="B52" s="181" t="str">
        <f>IFERROR(IF(VLOOKUP($A52,TableHandbook[],2,FALSE)=0,"",VLOOKUP($A52,TableHandbook[],2,FALSE)),"")</f>
        <v/>
      </c>
      <c r="C52" s="181" t="str">
        <f>IFERROR(IF(VLOOKUP($A52,TableHandbook[],3,FALSE)=0,"",VLOOKUP($A52,TableHandbook[],3,FALSE)),"")</f>
        <v/>
      </c>
      <c r="D52" s="182" t="str">
        <f>IFERROR(IF(VLOOKUP($A52,TableHandbook[],4,FALSE)=0,"",VLOOKUP($A52,TableHandbook[],4,FALSE)),"")</f>
        <v/>
      </c>
      <c r="E52" s="183"/>
      <c r="F52" s="128" t="str">
        <f>IFERROR(IF(VLOOKUP($A52,TableHandbook[],6,FALSE)=0,"",VLOOKUP($A52,TableHandbook[],6,FALSE)),"")</f>
        <v/>
      </c>
      <c r="G52" s="183" t="str">
        <f>IFERROR(IF(VLOOKUP($A52,TableHandbook[],5,FALSE)=0,"",VLOOKUP($A52,TableHandbook[],5,FALSE)),"")</f>
        <v/>
      </c>
      <c r="H52" s="184" t="str">
        <f>IFERROR(VLOOKUP($A52,TableHandbook[],H$2,FALSE),"")</f>
        <v/>
      </c>
      <c r="I52" s="185" t="str">
        <f>IFERROR(VLOOKUP($A52,TableHandbook[],I$2,FALSE),"")</f>
        <v/>
      </c>
      <c r="J52" s="185" t="str">
        <f>IFERROR(VLOOKUP($A52,TableHandbook[],J$2,FALSE),"")</f>
        <v/>
      </c>
      <c r="K52" s="186" t="str">
        <f>IFERROR(VLOOKUP($A52,TableHandbook[],K$2,FALSE),"")</f>
        <v/>
      </c>
      <c r="L52" s="22"/>
      <c r="M52" s="132">
        <v>5</v>
      </c>
    </row>
    <row r="53" spans="1:13" x14ac:dyDescent="0.25">
      <c r="A53" s="180" t="str">
        <f t="shared" si="3"/>
        <v/>
      </c>
      <c r="B53" s="181" t="str">
        <f>IFERROR(IF(VLOOKUP($A53,TableHandbook[],2,FALSE)=0,"",VLOOKUP($A53,TableHandbook[],2,FALSE)),"")</f>
        <v/>
      </c>
      <c r="C53" s="181" t="str">
        <f>IFERROR(IF(VLOOKUP($A53,TableHandbook[],3,FALSE)=0,"",VLOOKUP($A53,TableHandbook[],3,FALSE)),"")</f>
        <v/>
      </c>
      <c r="D53" s="182" t="str">
        <f>IFERROR(IF(VLOOKUP($A53,TableHandbook[],4,FALSE)=0,"",VLOOKUP($A53,TableHandbook[],4,FALSE)),"")</f>
        <v/>
      </c>
      <c r="E53" s="183"/>
      <c r="F53" s="128" t="str">
        <f>IFERROR(IF(VLOOKUP($A53,TableHandbook[],6,FALSE)=0,"",VLOOKUP($A53,TableHandbook[],6,FALSE)),"")</f>
        <v/>
      </c>
      <c r="G53" s="183" t="str">
        <f>IFERROR(IF(VLOOKUP($A53,TableHandbook[],5,FALSE)=0,"",VLOOKUP($A53,TableHandbook[],5,FALSE)),"")</f>
        <v/>
      </c>
      <c r="H53" s="184" t="str">
        <f>IFERROR(VLOOKUP($A53,TableHandbook[],H$2,FALSE),"")</f>
        <v/>
      </c>
      <c r="I53" s="185" t="str">
        <f>IFERROR(VLOOKUP($A53,TableHandbook[],I$2,FALSE),"")</f>
        <v/>
      </c>
      <c r="J53" s="185" t="str">
        <f>IFERROR(VLOOKUP($A53,TableHandbook[],J$2,FALSE),"")</f>
        <v/>
      </c>
      <c r="K53" s="186" t="str">
        <f>IFERROR(VLOOKUP($A53,TableHandbook[],K$2,FALSE),"")</f>
        <v/>
      </c>
      <c r="L53" s="22"/>
      <c r="M53" s="132">
        <v>6</v>
      </c>
    </row>
    <row r="54" spans="1:13" x14ac:dyDescent="0.25">
      <c r="A54" s="180" t="str">
        <f t="shared" si="3"/>
        <v/>
      </c>
      <c r="B54" s="181" t="str">
        <f>IFERROR(IF(VLOOKUP($A54,TableHandbook[],2,FALSE)=0,"",VLOOKUP($A54,TableHandbook[],2,FALSE)),"")</f>
        <v/>
      </c>
      <c r="C54" s="181" t="str">
        <f>IFERROR(IF(VLOOKUP($A54,TableHandbook[],3,FALSE)=0,"",VLOOKUP($A54,TableHandbook[],3,FALSE)),"")</f>
        <v/>
      </c>
      <c r="D54" s="182" t="str">
        <f>IFERROR(IF(VLOOKUP($A54,TableHandbook[],4,FALSE)=0,"",VLOOKUP($A54,TableHandbook[],4,FALSE)),"")</f>
        <v/>
      </c>
      <c r="E54" s="183"/>
      <c r="F54" s="128" t="str">
        <f>IFERROR(IF(VLOOKUP($A54,TableHandbook[],6,FALSE)=0,"",VLOOKUP($A54,TableHandbook[],6,FALSE)),"")</f>
        <v/>
      </c>
      <c r="G54" s="183" t="str">
        <f>IFERROR(IF(VLOOKUP($A54,TableHandbook[],5,FALSE)=0,"",VLOOKUP($A54,TableHandbook[],5,FALSE)),"")</f>
        <v/>
      </c>
      <c r="H54" s="184" t="str">
        <f>IFERROR(VLOOKUP($A54,TableHandbook[],H$2,FALSE),"")</f>
        <v/>
      </c>
      <c r="I54" s="185" t="str">
        <f>IFERROR(VLOOKUP($A54,TableHandbook[],I$2,FALSE),"")</f>
        <v/>
      </c>
      <c r="J54" s="185" t="str">
        <f>IFERROR(VLOOKUP($A54,TableHandbook[],J$2,FALSE),"")</f>
        <v/>
      </c>
      <c r="K54" s="186" t="str">
        <f>IFERROR(VLOOKUP($A54,TableHandbook[],K$2,FALSE),"")</f>
        <v/>
      </c>
      <c r="L54" s="22"/>
      <c r="M54" s="132">
        <v>7</v>
      </c>
    </row>
    <row r="55" spans="1:13" x14ac:dyDescent="0.25">
      <c r="A55" s="180" t="str">
        <f t="shared" si="3"/>
        <v/>
      </c>
      <c r="B55" s="181" t="str">
        <f>IFERROR(IF(VLOOKUP($A55,TableHandbook[],2,FALSE)=0,"",VLOOKUP($A55,TableHandbook[],2,FALSE)),"")</f>
        <v/>
      </c>
      <c r="C55" s="181" t="str">
        <f>IFERROR(IF(VLOOKUP($A55,TableHandbook[],3,FALSE)=0,"",VLOOKUP($A55,TableHandbook[],3,FALSE)),"")</f>
        <v/>
      </c>
      <c r="D55" s="182" t="str">
        <f>IFERROR(IF(VLOOKUP($A55,TableHandbook[],4,FALSE)=0,"",VLOOKUP($A55,TableHandbook[],4,FALSE)),"")</f>
        <v/>
      </c>
      <c r="E55" s="183"/>
      <c r="F55" s="128" t="str">
        <f>IFERROR(IF(VLOOKUP($A55,TableHandbook[],6,FALSE)=0,"",VLOOKUP($A55,TableHandbook[],6,FALSE)),"")</f>
        <v/>
      </c>
      <c r="G55" s="183" t="str">
        <f>IFERROR(IF(VLOOKUP($A55,TableHandbook[],5,FALSE)=0,"",VLOOKUP($A55,TableHandbook[],5,FALSE)),"")</f>
        <v/>
      </c>
      <c r="H55" s="184" t="str">
        <f>IFERROR(VLOOKUP($A55,TableHandbook[],H$2,FALSE),"")</f>
        <v/>
      </c>
      <c r="I55" s="185" t="str">
        <f>IFERROR(VLOOKUP($A55,TableHandbook[],I$2,FALSE),"")</f>
        <v/>
      </c>
      <c r="J55" s="185" t="str">
        <f>IFERROR(VLOOKUP($A55,TableHandbook[],J$2,FALSE),"")</f>
        <v/>
      </c>
      <c r="K55" s="186" t="str">
        <f>IFERROR(VLOOKUP($A55,TableHandbook[],K$2,FALSE),"")</f>
        <v/>
      </c>
      <c r="L55" s="22"/>
      <c r="M55" s="132">
        <v>8</v>
      </c>
    </row>
    <row r="56" spans="1:13" x14ac:dyDescent="0.25">
      <c r="A56" s="180" t="str">
        <f t="shared" si="3"/>
        <v/>
      </c>
      <c r="B56" s="181" t="str">
        <f>IFERROR(IF(VLOOKUP($A56,TableHandbook[],2,FALSE)=0,"",VLOOKUP($A56,TableHandbook[],2,FALSE)),"")</f>
        <v/>
      </c>
      <c r="C56" s="181" t="str">
        <f>IFERROR(IF(VLOOKUP($A56,TableHandbook[],3,FALSE)=0,"",VLOOKUP($A56,TableHandbook[],3,FALSE)),"")</f>
        <v/>
      </c>
      <c r="D56" s="182" t="str">
        <f>IFERROR(IF(VLOOKUP($A56,TableHandbook[],4,FALSE)=0,"",VLOOKUP($A56,TableHandbook[],4,FALSE)),"")</f>
        <v/>
      </c>
      <c r="E56" s="183"/>
      <c r="F56" s="128" t="str">
        <f>IFERROR(IF(VLOOKUP($A56,TableHandbook[],6,FALSE)=0,"",VLOOKUP($A56,TableHandbook[],6,FALSE)),"")</f>
        <v/>
      </c>
      <c r="G56" s="183" t="str">
        <f>IFERROR(IF(VLOOKUP($A56,TableHandbook[],5,FALSE)=0,"",VLOOKUP($A56,TableHandbook[],5,FALSE)),"")</f>
        <v/>
      </c>
      <c r="H56" s="184" t="str">
        <f>IFERROR(VLOOKUP($A56,TableHandbook[],H$2,FALSE),"")</f>
        <v/>
      </c>
      <c r="I56" s="185" t="str">
        <f>IFERROR(VLOOKUP($A56,TableHandbook[],I$2,FALSE),"")</f>
        <v/>
      </c>
      <c r="J56" s="185" t="str">
        <f>IFERROR(VLOOKUP($A56,TableHandbook[],J$2,FALSE),"")</f>
        <v/>
      </c>
      <c r="K56" s="186" t="str">
        <f>IFERROR(VLOOKUP($A56,TableHandbook[],K$2,FALSE),"")</f>
        <v/>
      </c>
      <c r="L56" s="22"/>
      <c r="M56" s="132">
        <v>9</v>
      </c>
    </row>
    <row r="57" spans="1:13" x14ac:dyDescent="0.25">
      <c r="A57" s="180" t="str">
        <f t="shared" si="3"/>
        <v/>
      </c>
      <c r="B57" s="181" t="str">
        <f>IFERROR(IF(VLOOKUP($A57,TableHandbook[],2,FALSE)=0,"",VLOOKUP($A57,TableHandbook[],2,FALSE)),"")</f>
        <v/>
      </c>
      <c r="C57" s="181" t="str">
        <f>IFERROR(IF(VLOOKUP($A57,TableHandbook[],3,FALSE)=0,"",VLOOKUP($A57,TableHandbook[],3,FALSE)),"")</f>
        <v/>
      </c>
      <c r="D57" s="182" t="str">
        <f>IFERROR(IF(VLOOKUP($A57,TableHandbook[],4,FALSE)=0,"",VLOOKUP($A57,TableHandbook[],4,FALSE)),"")</f>
        <v/>
      </c>
      <c r="E57" s="183"/>
      <c r="F57" s="128" t="str">
        <f>IFERROR(IF(VLOOKUP($A57,TableHandbook[],6,FALSE)=0,"",VLOOKUP($A57,TableHandbook[],6,FALSE)),"")</f>
        <v/>
      </c>
      <c r="G57" s="183" t="str">
        <f>IFERROR(IF(VLOOKUP($A57,TableHandbook[],5,FALSE)=0,"",VLOOKUP($A57,TableHandbook[],5,FALSE)),"")</f>
        <v/>
      </c>
      <c r="H57" s="184" t="str">
        <f>IFERROR(VLOOKUP($A57,TableHandbook[],H$2,FALSE),"")</f>
        <v/>
      </c>
      <c r="I57" s="185" t="str">
        <f>IFERROR(VLOOKUP($A57,TableHandbook[],I$2,FALSE),"")</f>
        <v/>
      </c>
      <c r="J57" s="185" t="str">
        <f>IFERROR(VLOOKUP($A57,TableHandbook[],J$2,FALSE),"")</f>
        <v/>
      </c>
      <c r="K57" s="186" t="str">
        <f>IFERROR(VLOOKUP($A57,TableHandbook[],K$2,FALSE),"")</f>
        <v/>
      </c>
      <c r="L57" s="22"/>
      <c r="M57" s="132">
        <v>10</v>
      </c>
    </row>
    <row r="58" spans="1:13" x14ac:dyDescent="0.25">
      <c r="A58" s="180" t="str">
        <f t="shared" si="3"/>
        <v/>
      </c>
      <c r="B58" s="181" t="str">
        <f>IFERROR(IF(VLOOKUP($A58,TableHandbook[],2,FALSE)=0,"",VLOOKUP($A58,TableHandbook[],2,FALSE)),"")</f>
        <v/>
      </c>
      <c r="C58" s="181" t="str">
        <f>IFERROR(IF(VLOOKUP($A58,TableHandbook[],3,FALSE)=0,"",VLOOKUP($A58,TableHandbook[],3,FALSE)),"")</f>
        <v/>
      </c>
      <c r="D58" s="182" t="str">
        <f>IFERROR(IF(VLOOKUP($A58,TableHandbook[],4,FALSE)=0,"",VLOOKUP($A58,TableHandbook[],4,FALSE)),"")</f>
        <v/>
      </c>
      <c r="E58" s="183"/>
      <c r="F58" s="128" t="str">
        <f>IFERROR(IF(VLOOKUP($A58,TableHandbook[],6,FALSE)=0,"",VLOOKUP($A58,TableHandbook[],6,FALSE)),"")</f>
        <v/>
      </c>
      <c r="G58" s="183" t="str">
        <f>IFERROR(IF(VLOOKUP($A58,TableHandbook[],5,FALSE)=0,"",VLOOKUP($A58,TableHandbook[],5,FALSE)),"")</f>
        <v/>
      </c>
      <c r="H58" s="184" t="str">
        <f>IFERROR(VLOOKUP($A58,TableHandbook[],H$2,FALSE),"")</f>
        <v/>
      </c>
      <c r="I58" s="185" t="str">
        <f>IFERROR(VLOOKUP($A58,TableHandbook[],I$2,FALSE),"")</f>
        <v/>
      </c>
      <c r="J58" s="185" t="str">
        <f>IFERROR(VLOOKUP($A58,TableHandbook[],J$2,FALSE),"")</f>
        <v/>
      </c>
      <c r="K58" s="186" t="str">
        <f>IFERROR(VLOOKUP($A58,TableHandbook[],K$2,FALSE),"")</f>
        <v/>
      </c>
      <c r="L58" s="22"/>
      <c r="M58" s="132">
        <v>11</v>
      </c>
    </row>
    <row r="59" spans="1:13" x14ac:dyDescent="0.25">
      <c r="A59" s="180" t="str">
        <f t="shared" si="3"/>
        <v/>
      </c>
      <c r="B59" s="181" t="str">
        <f>IFERROR(IF(VLOOKUP($A59,TableHandbook[],2,FALSE)=0,"",VLOOKUP($A59,TableHandbook[],2,FALSE)),"")</f>
        <v/>
      </c>
      <c r="C59" s="181" t="str">
        <f>IFERROR(IF(VLOOKUP($A59,TableHandbook[],3,FALSE)=0,"",VLOOKUP($A59,TableHandbook[],3,FALSE)),"")</f>
        <v/>
      </c>
      <c r="D59" s="182" t="str">
        <f>IFERROR(IF(VLOOKUP($A59,TableHandbook[],4,FALSE)=0,"",VLOOKUP($A59,TableHandbook[],4,FALSE)),"")</f>
        <v/>
      </c>
      <c r="E59" s="183"/>
      <c r="F59" s="128" t="str">
        <f>IFERROR(IF(VLOOKUP($A59,TableHandbook[],6,FALSE)=0,"",VLOOKUP($A59,TableHandbook[],6,FALSE)),"")</f>
        <v/>
      </c>
      <c r="G59" s="183" t="str">
        <f>IFERROR(IF(VLOOKUP($A59,TableHandbook[],5,FALSE)=0,"",VLOOKUP($A59,TableHandbook[],5,FALSE)),"")</f>
        <v/>
      </c>
      <c r="H59" s="184" t="str">
        <f>IFERROR(VLOOKUP($A59,TableHandbook[],H$2,FALSE),"")</f>
        <v/>
      </c>
      <c r="I59" s="185" t="str">
        <f>IFERROR(VLOOKUP($A59,TableHandbook[],I$2,FALSE),"")</f>
        <v/>
      </c>
      <c r="J59" s="185" t="str">
        <f>IFERROR(VLOOKUP($A59,TableHandbook[],J$2,FALSE),"")</f>
        <v/>
      </c>
      <c r="K59" s="186" t="str">
        <f>IFERROR(VLOOKUP($A59,TableHandbook[],K$2,FALSE),"")</f>
        <v/>
      </c>
      <c r="L59" s="22"/>
      <c r="M59" s="132">
        <v>12</v>
      </c>
    </row>
    <row r="60" spans="1:13" x14ac:dyDescent="0.25">
      <c r="A60" s="180" t="str">
        <f t="shared" si="3"/>
        <v/>
      </c>
      <c r="B60" s="181" t="str">
        <f>IFERROR(IF(VLOOKUP($A60,TableHandbook[],2,FALSE)=0,"",VLOOKUP($A60,TableHandbook[],2,FALSE)),"")</f>
        <v/>
      </c>
      <c r="C60" s="181" t="str">
        <f>IFERROR(IF(VLOOKUP($A60,TableHandbook[],3,FALSE)=0,"",VLOOKUP($A60,TableHandbook[],3,FALSE)),"")</f>
        <v/>
      </c>
      <c r="D60" s="182" t="str">
        <f>IFERROR(IF(VLOOKUP($A60,TableHandbook[],4,FALSE)=0,"",VLOOKUP($A60,TableHandbook[],4,FALSE)),"")</f>
        <v/>
      </c>
      <c r="E60" s="183"/>
      <c r="F60" s="128" t="str">
        <f>IFERROR(IF(VLOOKUP($A60,TableHandbook[],6,FALSE)=0,"",VLOOKUP($A60,TableHandbook[],6,FALSE)),"")</f>
        <v/>
      </c>
      <c r="G60" s="183" t="str">
        <f>IFERROR(IF(VLOOKUP($A60,TableHandbook[],5,FALSE)=0,"",VLOOKUP($A60,TableHandbook[],5,FALSE)),"")</f>
        <v/>
      </c>
      <c r="H60" s="184" t="str">
        <f>IFERROR(VLOOKUP($A60,TableHandbook[],H$2,FALSE),"")</f>
        <v/>
      </c>
      <c r="I60" s="185" t="str">
        <f>IFERROR(VLOOKUP($A60,TableHandbook[],I$2,FALSE),"")</f>
        <v/>
      </c>
      <c r="J60" s="185" t="str">
        <f>IFERROR(VLOOKUP($A60,TableHandbook[],J$2,FALSE),"")</f>
        <v/>
      </c>
      <c r="K60" s="186" t="str">
        <f>IFERROR(VLOOKUP($A60,TableHandbook[],K$2,FALSE),"")</f>
        <v/>
      </c>
      <c r="L60" s="22"/>
      <c r="M60" s="132">
        <v>13</v>
      </c>
    </row>
    <row r="61" spans="1:13" x14ac:dyDescent="0.25">
      <c r="A61" s="180" t="str">
        <f t="shared" si="3"/>
        <v/>
      </c>
      <c r="B61" s="181" t="str">
        <f>IFERROR(IF(VLOOKUP($A61,TableHandbook[],2,FALSE)=0,"",VLOOKUP($A61,TableHandbook[],2,FALSE)),"")</f>
        <v/>
      </c>
      <c r="C61" s="181" t="str">
        <f>IFERROR(IF(VLOOKUP($A61,TableHandbook[],3,FALSE)=0,"",VLOOKUP($A61,TableHandbook[],3,FALSE)),"")</f>
        <v/>
      </c>
      <c r="D61" s="182" t="str">
        <f>IFERROR(IF(VLOOKUP($A61,TableHandbook[],4,FALSE)=0,"",VLOOKUP($A61,TableHandbook[],4,FALSE)),"")</f>
        <v/>
      </c>
      <c r="E61" s="183"/>
      <c r="F61" s="128" t="str">
        <f>IFERROR(IF(VLOOKUP($A61,TableHandbook[],6,FALSE)=0,"",VLOOKUP($A61,TableHandbook[],6,FALSE)),"")</f>
        <v/>
      </c>
      <c r="G61" s="183" t="str">
        <f>IFERROR(IF(VLOOKUP($A61,TableHandbook[],5,FALSE)=0,"",VLOOKUP($A61,TableHandbook[],5,FALSE)),"")</f>
        <v/>
      </c>
      <c r="H61" s="184" t="str">
        <f>IFERROR(VLOOKUP($A61,TableHandbook[],H$2,FALSE),"")</f>
        <v/>
      </c>
      <c r="I61" s="185" t="str">
        <f>IFERROR(VLOOKUP($A61,TableHandbook[],I$2,FALSE),"")</f>
        <v/>
      </c>
      <c r="J61" s="185" t="str">
        <f>IFERROR(VLOOKUP($A61,TableHandbook[],J$2,FALSE),"")</f>
        <v/>
      </c>
      <c r="K61" s="186" t="str">
        <f>IFERROR(VLOOKUP($A61,TableHandbook[],K$2,FALSE),"")</f>
        <v/>
      </c>
      <c r="L61" s="22"/>
      <c r="M61" s="132">
        <v>14</v>
      </c>
    </row>
    <row r="62" spans="1:13" x14ac:dyDescent="0.25">
      <c r="A62" s="180" t="str">
        <f t="shared" si="3"/>
        <v/>
      </c>
      <c r="B62" s="181" t="str">
        <f>IFERROR(IF(VLOOKUP($A62,TableHandbook[],2,FALSE)=0,"",VLOOKUP($A62,TableHandbook[],2,FALSE)),"")</f>
        <v/>
      </c>
      <c r="C62" s="181" t="str">
        <f>IFERROR(IF(VLOOKUP($A62,TableHandbook[],3,FALSE)=0,"",VLOOKUP($A62,TableHandbook[],3,FALSE)),"")</f>
        <v/>
      </c>
      <c r="D62" s="182" t="str">
        <f>IFERROR(IF(VLOOKUP($A62,TableHandbook[],4,FALSE)=0,"",VLOOKUP($A62,TableHandbook[],4,FALSE)),"")</f>
        <v/>
      </c>
      <c r="E62" s="183"/>
      <c r="F62" s="128" t="str">
        <f>IFERROR(IF(VLOOKUP($A62,TableHandbook[],6,FALSE)=0,"",VLOOKUP($A62,TableHandbook[],6,FALSE)),"")</f>
        <v/>
      </c>
      <c r="G62" s="183" t="str">
        <f>IFERROR(IF(VLOOKUP($A62,TableHandbook[],5,FALSE)=0,"",VLOOKUP($A62,TableHandbook[],5,FALSE)),"")</f>
        <v/>
      </c>
      <c r="H62" s="184" t="str">
        <f>IFERROR(VLOOKUP($A62,TableHandbook[],H$2,FALSE),"")</f>
        <v/>
      </c>
      <c r="I62" s="185" t="str">
        <f>IFERROR(VLOOKUP($A62,TableHandbook[],I$2,FALSE),"")</f>
        <v/>
      </c>
      <c r="J62" s="185" t="str">
        <f>IFERROR(VLOOKUP($A62,TableHandbook[],J$2,FALSE),"")</f>
        <v/>
      </c>
      <c r="K62" s="186" t="str">
        <f>IFERROR(VLOOKUP($A62,TableHandbook[],K$2,FALSE),"")</f>
        <v/>
      </c>
      <c r="L62" s="22"/>
      <c r="M62" s="132">
        <v>15</v>
      </c>
    </row>
    <row r="63" spans="1:13" x14ac:dyDescent="0.25">
      <c r="A63" s="180" t="str">
        <f t="shared" si="3"/>
        <v/>
      </c>
      <c r="B63" s="181" t="str">
        <f>IFERROR(IF(VLOOKUP($A63,TableHandbook[],2,FALSE)=0,"",VLOOKUP($A63,TableHandbook[],2,FALSE)),"")</f>
        <v/>
      </c>
      <c r="C63" s="181" t="str">
        <f>IFERROR(IF(VLOOKUP($A63,TableHandbook[],3,FALSE)=0,"",VLOOKUP($A63,TableHandbook[],3,FALSE)),"")</f>
        <v/>
      </c>
      <c r="D63" s="182" t="str">
        <f>IFERROR(IF(VLOOKUP($A63,TableHandbook[],4,FALSE)=0,"",VLOOKUP($A63,TableHandbook[],4,FALSE)),"")</f>
        <v/>
      </c>
      <c r="E63" s="183"/>
      <c r="F63" s="128" t="str">
        <f>IFERROR(IF(VLOOKUP($A63,TableHandbook[],6,FALSE)=0,"",VLOOKUP($A63,TableHandbook[],6,FALSE)),"")</f>
        <v/>
      </c>
      <c r="G63" s="183" t="str">
        <f>IFERROR(IF(VLOOKUP($A63,TableHandbook[],5,FALSE)=0,"",VLOOKUP($A63,TableHandbook[],5,FALSE)),"")</f>
        <v/>
      </c>
      <c r="H63" s="184" t="str">
        <f>IFERROR(VLOOKUP($A63,TableHandbook[],H$2,FALSE),"")</f>
        <v/>
      </c>
      <c r="I63" s="185" t="str">
        <f>IFERROR(VLOOKUP($A63,TableHandbook[],I$2,FALSE),"")</f>
        <v/>
      </c>
      <c r="J63" s="185" t="str">
        <f>IFERROR(VLOOKUP($A63,TableHandbook[],J$2,FALSE),"")</f>
        <v/>
      </c>
      <c r="K63" s="186" t="str">
        <f>IFERROR(VLOOKUP($A63,TableHandbook[],K$2,FALSE),"")</f>
        <v/>
      </c>
      <c r="L63" s="22"/>
      <c r="M63" s="132">
        <v>16</v>
      </c>
    </row>
    <row r="64" spans="1:13" ht="19.5" customHeight="1" x14ac:dyDescent="0.25">
      <c r="A64" s="187"/>
      <c r="B64" s="187"/>
      <c r="C64" s="187"/>
      <c r="D64" s="187"/>
      <c r="E64" s="187"/>
      <c r="F64" s="187"/>
      <c r="G64" s="187"/>
      <c r="H64" s="187"/>
      <c r="I64" s="187"/>
      <c r="J64" s="187"/>
      <c r="K64" s="187"/>
      <c r="L64" s="187"/>
      <c r="M64" s="132"/>
    </row>
    <row r="65" spans="1:15" ht="32.25" customHeight="1" x14ac:dyDescent="0.25">
      <c r="A65" s="188" t="s">
        <v>32</v>
      </c>
      <c r="B65" s="188"/>
      <c r="C65" s="188"/>
      <c r="D65" s="188"/>
      <c r="E65" s="188"/>
      <c r="F65" s="188"/>
      <c r="G65" s="188"/>
      <c r="H65" s="188"/>
      <c r="I65" s="188"/>
      <c r="J65" s="188"/>
      <c r="K65" s="188"/>
      <c r="L65" s="188"/>
    </row>
    <row r="66" spans="1:15" s="190" customFormat="1" ht="24.95" customHeight="1" x14ac:dyDescent="0.3">
      <c r="A66" s="13" t="s">
        <v>33</v>
      </c>
      <c r="B66" s="13"/>
      <c r="C66" s="13"/>
      <c r="D66" s="14"/>
      <c r="E66" s="39"/>
      <c r="F66" s="14"/>
      <c r="G66" s="14"/>
      <c r="H66" s="14"/>
      <c r="I66" s="14"/>
      <c r="J66" s="14"/>
      <c r="K66" s="14"/>
      <c r="L66" s="14"/>
      <c r="M66" s="189"/>
      <c r="N66" s="189"/>
      <c r="O66" s="189"/>
    </row>
    <row r="67" spans="1:15" ht="15" customHeight="1" x14ac:dyDescent="0.25">
      <c r="A67" s="191" t="s">
        <v>34</v>
      </c>
      <c r="B67" s="191"/>
      <c r="C67" s="191"/>
      <c r="D67" s="191"/>
      <c r="E67" s="192"/>
      <c r="F67" s="154"/>
      <c r="G67" s="193"/>
      <c r="H67" s="193"/>
      <c r="I67" s="193"/>
      <c r="J67" s="193"/>
      <c r="K67" s="193"/>
      <c r="L67" s="193" t="s">
        <v>35</v>
      </c>
    </row>
  </sheetData>
  <sheetProtection algorithmName="SHA-512" hashValue="MNrR0j9kV4lTn4+6FrUny13AGDakymAH9IKNJTpNtg9jMfHOtln2pxyHUOqsPA7RNIMdk9PpNMnSpniNjNJdEw==" saltValue="II9OWooG+9rjJsotaohm2A==" spinCount="100000" sheet="1" objects="1" scenarios="1" formatCells="0" formatColumns="0" formatRows="0"/>
  <mergeCells count="2">
    <mergeCell ref="A3:D3"/>
    <mergeCell ref="A65:L65"/>
  </mergeCells>
  <conditionalFormatting sqref="A10:L20 A22:L32 A34:L44 A21:B21 D21:G21 L21 A33:B33 D33:G33 L33">
    <cfRule type="expression" dxfId="28" priority="6">
      <formula>$A10="Spec"</formula>
    </cfRule>
  </conditionalFormatting>
  <conditionalFormatting sqref="A49:L63">
    <cfRule type="expression" dxfId="27" priority="3">
      <formula>$A49=""</formula>
    </cfRule>
    <cfRule type="expression" dxfId="26" priority="8">
      <formula>OR(LEFT($D49,3)="AND",LEFT($D49,5)="Study")</formula>
    </cfRule>
  </conditionalFormatting>
  <conditionalFormatting sqref="D5:D7">
    <cfRule type="containsText" dxfId="25" priority="11" operator="containsText" text="Choose">
      <formula>NOT(ISERROR(SEARCH("Choose",D5)))</formula>
    </cfRule>
  </conditionalFormatting>
  <conditionalFormatting sqref="D47:G48">
    <cfRule type="expression" dxfId="24" priority="4">
      <formula>$A47="Spec"</formula>
    </cfRule>
  </conditionalFormatting>
  <conditionalFormatting sqref="H10:K44">
    <cfRule type="expression" dxfId="23" priority="2">
      <formula>$E10=H$9</formula>
    </cfRule>
  </conditionalFormatting>
  <conditionalFormatting sqref="L47">
    <cfRule type="expression" dxfId="22" priority="1">
      <formula>$A47="Spec"</formula>
    </cfRule>
  </conditionalFormatting>
  <dataValidations count="1">
    <dataValidation type="list" allowBlank="1" showInputMessage="1" showErrorMessage="1" sqref="L27 L15 L39 L12 L18 L24 L30 L36 L42" xr:uid="{00000000-0002-0000-0000-000000000000}"/>
  </dataValidations>
  <hyperlinks>
    <hyperlink ref="A66:L66"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44" max="10" man="1"/>
  </rowBreaks>
  <ignoredErrors>
    <ignoredError sqref="M39"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Unitsets!$A$11:$A$15</xm:f>
          </x14:formula1>
          <xm:sqref>D7</xm:sqref>
        </x14:dataValidation>
        <x14:dataValidation type="list" showInputMessage="1" showErrorMessage="1" xr:uid="{00000000-0002-0000-0000-000002000000}">
          <x14:formula1>
            <xm:f>Unitsets!$A$18:$A$22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6"/>
  <sheetViews>
    <sheetView zoomScale="85" zoomScaleNormal="85" workbookViewId="0">
      <selection activeCell="A38" sqref="A38"/>
    </sheetView>
  </sheetViews>
  <sheetFormatPr defaultRowHeight="15.75" x14ac:dyDescent="0.25"/>
  <cols>
    <col min="1" max="1" width="62.875" style="7" customWidth="1"/>
    <col min="2" max="2" width="12" style="4" bestFit="1" customWidth="1"/>
    <col min="3" max="3" width="12.75" style="4" bestFit="1" customWidth="1"/>
    <col min="4" max="4" width="19.375" style="4" bestFit="1" customWidth="1"/>
    <col min="5" max="5" width="14.875" style="4" bestFit="1" customWidth="1"/>
    <col min="6" max="6" width="19.125" style="4" bestFit="1" customWidth="1"/>
    <col min="7" max="7" width="19.375" style="4" bestFit="1" customWidth="1"/>
    <col min="8" max="8" width="16.625" style="4" bestFit="1" customWidth="1"/>
    <col min="9" max="9" width="16.5" style="4" customWidth="1"/>
    <col min="10" max="10" width="13.25" style="4" bestFit="1" customWidth="1"/>
    <col min="11" max="11" width="5.875" bestFit="1" customWidth="1"/>
    <col min="12" max="12" width="5.25" bestFit="1" customWidth="1"/>
    <col min="13" max="13" width="15.125" bestFit="1" customWidth="1"/>
    <col min="14" max="14" width="5.25" bestFit="1" customWidth="1"/>
    <col min="15" max="15" width="15.375" bestFit="1" customWidth="1"/>
    <col min="16" max="16" width="5.5" bestFit="1" customWidth="1"/>
    <col min="17" max="17" width="15.375" bestFit="1" customWidth="1"/>
    <col min="18" max="18" width="5.25" bestFit="1" customWidth="1"/>
    <col min="19" max="19" width="15.375" bestFit="1" customWidth="1"/>
    <col min="20" max="20" width="5.25" bestFit="1" customWidth="1"/>
    <col min="21" max="21" width="15.25" bestFit="1" customWidth="1"/>
    <col min="22" max="22" width="5.25" bestFit="1" customWidth="1"/>
    <col min="23" max="23" width="15.625" bestFit="1" customWidth="1"/>
    <col min="24" max="24" width="5.25" bestFit="1" customWidth="1"/>
    <col min="25" max="25" width="15.625" bestFit="1" customWidth="1"/>
    <col min="26" max="26" width="5.25" bestFit="1" customWidth="1"/>
    <col min="27" max="27" width="15.625" bestFit="1" customWidth="1"/>
    <col min="28" max="28" width="5.25" bestFit="1" customWidth="1"/>
    <col min="29" max="29" width="14.25" bestFit="1" customWidth="1"/>
    <col min="30" max="30" width="5.25" bestFit="1" customWidth="1"/>
    <col min="31" max="31" width="14.5" bestFit="1" customWidth="1"/>
    <col min="32" max="32" width="5.25" bestFit="1" customWidth="1"/>
    <col min="33" max="33" width="14.5" bestFit="1" customWidth="1"/>
    <col min="34" max="34" width="5.25" bestFit="1" customWidth="1"/>
    <col min="35" max="35" width="14.5" bestFit="1" customWidth="1"/>
    <col min="36" max="36" width="5.25" bestFit="1" customWidth="1"/>
    <col min="37" max="37" width="14.625" bestFit="1" customWidth="1"/>
    <col min="38" max="38" width="5.25" bestFit="1" customWidth="1"/>
    <col min="39" max="39" width="15" bestFit="1" customWidth="1"/>
    <col min="40" max="40" width="5.25" bestFit="1" customWidth="1"/>
    <col min="41" max="41" width="15" bestFit="1" customWidth="1"/>
    <col min="42" max="42" width="5.25" bestFit="1" customWidth="1"/>
    <col min="43" max="43" width="15" bestFit="1" customWidth="1"/>
  </cols>
  <sheetData>
    <row r="1" spans="1:43" x14ac:dyDescent="0.25">
      <c r="A1" s="9" t="s">
        <v>11</v>
      </c>
      <c r="B1" s="10"/>
      <c r="C1" s="10"/>
      <c r="D1" s="10"/>
    </row>
    <row r="2" spans="1:43" x14ac:dyDescent="0.25">
      <c r="A2"/>
      <c r="B2"/>
      <c r="C2"/>
      <c r="D2"/>
      <c r="E2"/>
      <c r="F2"/>
      <c r="G2"/>
      <c r="H2"/>
      <c r="I2"/>
      <c r="J2"/>
      <c r="L2" s="18"/>
      <c r="M2" s="76" t="s">
        <v>36</v>
      </c>
      <c r="N2" s="2"/>
      <c r="O2" s="76" t="s">
        <v>36</v>
      </c>
      <c r="P2" s="2"/>
      <c r="Q2" s="76" t="s">
        <v>36</v>
      </c>
      <c r="R2" s="2"/>
      <c r="S2" s="76" t="s">
        <v>36</v>
      </c>
      <c r="T2" s="2"/>
      <c r="U2" s="77" t="s">
        <v>37</v>
      </c>
      <c r="V2" s="2"/>
      <c r="W2" s="77" t="s">
        <v>37</v>
      </c>
      <c r="X2" s="2"/>
      <c r="Y2" s="77" t="s">
        <v>37</v>
      </c>
      <c r="Z2" s="2"/>
      <c r="AA2" s="77" t="s">
        <v>37</v>
      </c>
      <c r="AB2" s="2"/>
      <c r="AC2" s="77" t="s">
        <v>37</v>
      </c>
      <c r="AD2" s="2"/>
      <c r="AE2" s="77" t="s">
        <v>37</v>
      </c>
      <c r="AF2" s="2"/>
      <c r="AG2" s="77" t="s">
        <v>37</v>
      </c>
      <c r="AH2" s="2"/>
      <c r="AI2" s="77" t="s">
        <v>37</v>
      </c>
      <c r="AJ2" s="2"/>
      <c r="AK2" s="77" t="s">
        <v>37</v>
      </c>
      <c r="AL2" s="2"/>
      <c r="AM2" s="77" t="s">
        <v>37</v>
      </c>
      <c r="AN2" s="2"/>
      <c r="AO2" s="77" t="s">
        <v>37</v>
      </c>
      <c r="AP2" s="2"/>
      <c r="AQ2" s="77" t="s">
        <v>37</v>
      </c>
    </row>
    <row r="3" spans="1:43" x14ac:dyDescent="0.25">
      <c r="J3" s="36" t="s">
        <v>38</v>
      </c>
      <c r="K3" s="1">
        <v>1</v>
      </c>
      <c r="L3" s="20"/>
      <c r="M3" s="5" t="s">
        <v>39</v>
      </c>
      <c r="N3" s="20"/>
      <c r="O3" s="6" t="s">
        <v>40</v>
      </c>
      <c r="P3" s="20"/>
      <c r="Q3" s="5" t="s">
        <v>41</v>
      </c>
      <c r="R3" s="20"/>
      <c r="S3" s="6" t="s">
        <v>42</v>
      </c>
      <c r="T3" s="20"/>
      <c r="U3" s="5" t="s">
        <v>43</v>
      </c>
      <c r="V3" s="20"/>
      <c r="W3" s="6" t="s">
        <v>44</v>
      </c>
      <c r="X3" s="20"/>
      <c r="Y3" s="5" t="s">
        <v>45</v>
      </c>
      <c r="Z3" s="20"/>
      <c r="AA3" s="6" t="s">
        <v>46</v>
      </c>
      <c r="AB3" s="20"/>
      <c r="AC3" s="5" t="s">
        <v>47</v>
      </c>
      <c r="AD3" s="20"/>
      <c r="AE3" s="6" t="s">
        <v>48</v>
      </c>
      <c r="AF3" s="20"/>
      <c r="AG3" s="5" t="s">
        <v>49</v>
      </c>
      <c r="AH3" s="20"/>
      <c r="AI3" s="6" t="s">
        <v>50</v>
      </c>
      <c r="AJ3" s="20"/>
      <c r="AK3" s="5" t="s">
        <v>51</v>
      </c>
      <c r="AL3" s="20"/>
      <c r="AM3" s="6" t="s">
        <v>52</v>
      </c>
      <c r="AN3" s="20"/>
      <c r="AO3" s="5" t="s">
        <v>53</v>
      </c>
      <c r="AP3" s="20"/>
      <c r="AQ3" s="6" t="s">
        <v>54</v>
      </c>
    </row>
    <row r="4" spans="1:43" x14ac:dyDescent="0.25">
      <c r="K4" s="12">
        <v>2</v>
      </c>
      <c r="L4" s="23" t="s">
        <v>55</v>
      </c>
      <c r="M4" s="16" t="s">
        <v>56</v>
      </c>
      <c r="N4" s="23" t="s">
        <v>57</v>
      </c>
      <c r="O4" s="16" t="s">
        <v>58</v>
      </c>
      <c r="P4" s="23" t="s">
        <v>59</v>
      </c>
      <c r="Q4" s="16" t="s">
        <v>56</v>
      </c>
      <c r="R4" s="23" t="s">
        <v>60</v>
      </c>
      <c r="S4" s="16" t="s">
        <v>58</v>
      </c>
      <c r="T4" s="23" t="s">
        <v>55</v>
      </c>
      <c r="U4" s="16" t="s">
        <v>61</v>
      </c>
      <c r="V4" s="23" t="s">
        <v>57</v>
      </c>
      <c r="W4" s="16" t="s">
        <v>62</v>
      </c>
      <c r="X4" s="23" t="s">
        <v>59</v>
      </c>
      <c r="Y4" s="16" t="s">
        <v>61</v>
      </c>
      <c r="Z4" s="23" t="s">
        <v>60</v>
      </c>
      <c r="AA4" s="16" t="s">
        <v>62</v>
      </c>
      <c r="AB4" s="23" t="s">
        <v>55</v>
      </c>
      <c r="AC4" s="16" t="s">
        <v>61</v>
      </c>
      <c r="AD4" s="23" t="s">
        <v>57</v>
      </c>
      <c r="AE4" s="16" t="s">
        <v>62</v>
      </c>
      <c r="AF4" s="23" t="s">
        <v>59</v>
      </c>
      <c r="AG4" s="16" t="s">
        <v>61</v>
      </c>
      <c r="AH4" s="23" t="s">
        <v>60</v>
      </c>
      <c r="AI4" s="16" t="s">
        <v>62</v>
      </c>
      <c r="AJ4" s="23" t="s">
        <v>55</v>
      </c>
      <c r="AK4" s="16" t="s">
        <v>61</v>
      </c>
      <c r="AL4" s="23" t="s">
        <v>57</v>
      </c>
      <c r="AM4" s="16" t="s">
        <v>62</v>
      </c>
      <c r="AN4" s="23" t="s">
        <v>59</v>
      </c>
      <c r="AO4" s="16" t="s">
        <v>61</v>
      </c>
      <c r="AP4" s="23" t="s">
        <v>60</v>
      </c>
      <c r="AQ4" s="16" t="s">
        <v>62</v>
      </c>
    </row>
    <row r="5" spans="1:43" x14ac:dyDescent="0.25">
      <c r="A5" s="44" t="s">
        <v>63</v>
      </c>
      <c r="K5" s="12">
        <v>3</v>
      </c>
      <c r="L5" s="24" t="s">
        <v>55</v>
      </c>
      <c r="M5" s="17" t="s">
        <v>61</v>
      </c>
      <c r="N5" s="24" t="s">
        <v>57</v>
      </c>
      <c r="O5" s="17" t="s">
        <v>62</v>
      </c>
      <c r="P5" s="24" t="s">
        <v>59</v>
      </c>
      <c r="Q5" s="17" t="s">
        <v>61</v>
      </c>
      <c r="R5" s="24" t="s">
        <v>60</v>
      </c>
      <c r="S5" s="17" t="s">
        <v>62</v>
      </c>
      <c r="T5" s="24" t="s">
        <v>55</v>
      </c>
      <c r="U5" s="17" t="s">
        <v>56</v>
      </c>
      <c r="V5" s="24" t="s">
        <v>57</v>
      </c>
      <c r="W5" s="17" t="s">
        <v>58</v>
      </c>
      <c r="X5" s="24" t="s">
        <v>59</v>
      </c>
      <c r="Y5" s="17" t="s">
        <v>56</v>
      </c>
      <c r="Z5" s="24" t="s">
        <v>60</v>
      </c>
      <c r="AA5" s="17" t="s">
        <v>58</v>
      </c>
      <c r="AB5" s="24" t="s">
        <v>55</v>
      </c>
      <c r="AC5" s="17" t="s">
        <v>56</v>
      </c>
      <c r="AD5" s="24" t="s">
        <v>57</v>
      </c>
      <c r="AE5" s="17" t="s">
        <v>58</v>
      </c>
      <c r="AF5" s="24" t="s">
        <v>59</v>
      </c>
      <c r="AG5" s="17" t="s">
        <v>56</v>
      </c>
      <c r="AH5" s="24" t="s">
        <v>60</v>
      </c>
      <c r="AI5" s="17" t="s">
        <v>58</v>
      </c>
      <c r="AJ5" s="24" t="s">
        <v>55</v>
      </c>
      <c r="AK5" s="17" t="s">
        <v>56</v>
      </c>
      <c r="AL5" s="24" t="s">
        <v>57</v>
      </c>
      <c r="AM5" s="17" t="s">
        <v>58</v>
      </c>
      <c r="AN5" s="24" t="s">
        <v>59</v>
      </c>
      <c r="AO5" s="17" t="s">
        <v>56</v>
      </c>
      <c r="AP5" s="24" t="s">
        <v>60</v>
      </c>
      <c r="AQ5" s="17" t="s">
        <v>58</v>
      </c>
    </row>
    <row r="6" spans="1:43" x14ac:dyDescent="0.25">
      <c r="A6" s="4" t="s">
        <v>64</v>
      </c>
      <c r="B6" s="7" t="s">
        <v>0</v>
      </c>
      <c r="C6" s="4" t="s">
        <v>65</v>
      </c>
      <c r="D6" s="4" t="s">
        <v>66</v>
      </c>
      <c r="E6" s="4" t="s">
        <v>67</v>
      </c>
      <c r="F6" s="4" t="s">
        <v>68</v>
      </c>
      <c r="G6" s="4" t="s">
        <v>69</v>
      </c>
      <c r="H6" s="4" t="s">
        <v>70</v>
      </c>
      <c r="K6" s="12">
        <v>4</v>
      </c>
      <c r="L6" s="24" t="s">
        <v>57</v>
      </c>
      <c r="M6" s="17" t="s">
        <v>58</v>
      </c>
      <c r="N6" s="24" t="s">
        <v>59</v>
      </c>
      <c r="O6" s="17" t="s">
        <v>56</v>
      </c>
      <c r="P6" s="24" t="s">
        <v>60</v>
      </c>
      <c r="Q6" s="17" t="s">
        <v>58</v>
      </c>
      <c r="R6" s="24" t="s">
        <v>55</v>
      </c>
      <c r="S6" s="17" t="s">
        <v>56</v>
      </c>
      <c r="T6" s="24" t="s">
        <v>57</v>
      </c>
      <c r="U6" s="17" t="s">
        <v>62</v>
      </c>
      <c r="V6" s="24" t="s">
        <v>59</v>
      </c>
      <c r="W6" s="17" t="s">
        <v>61</v>
      </c>
      <c r="X6" s="24" t="s">
        <v>60</v>
      </c>
      <c r="Y6" s="17" t="s">
        <v>62</v>
      </c>
      <c r="Z6" s="24" t="s">
        <v>55</v>
      </c>
      <c r="AA6" s="17" t="s">
        <v>61</v>
      </c>
      <c r="AB6" s="24" t="s">
        <v>57</v>
      </c>
      <c r="AC6" s="17" t="s">
        <v>62</v>
      </c>
      <c r="AD6" s="24" t="s">
        <v>59</v>
      </c>
      <c r="AE6" s="17" t="s">
        <v>61</v>
      </c>
      <c r="AF6" s="24" t="s">
        <v>60</v>
      </c>
      <c r="AG6" s="17" t="s">
        <v>62</v>
      </c>
      <c r="AH6" s="24" t="s">
        <v>55</v>
      </c>
      <c r="AI6" s="17" t="s">
        <v>61</v>
      </c>
      <c r="AJ6" s="24" t="s">
        <v>57</v>
      </c>
      <c r="AK6" s="17" t="s">
        <v>62</v>
      </c>
      <c r="AL6" s="24" t="s">
        <v>59</v>
      </c>
      <c r="AM6" s="17" t="s">
        <v>61</v>
      </c>
      <c r="AN6" s="24" t="s">
        <v>60</v>
      </c>
      <c r="AO6" s="17" t="s">
        <v>62</v>
      </c>
      <c r="AP6" s="24" t="s">
        <v>55</v>
      </c>
      <c r="AQ6" s="17" t="s">
        <v>61</v>
      </c>
    </row>
    <row r="7" spans="1:43" x14ac:dyDescent="0.25">
      <c r="A7" s="4" t="s">
        <v>11</v>
      </c>
      <c r="B7" s="66" t="s">
        <v>71</v>
      </c>
      <c r="C7" s="64" t="s">
        <v>72</v>
      </c>
      <c r="D7" s="65">
        <v>44378</v>
      </c>
      <c r="E7" s="61">
        <v>7</v>
      </c>
      <c r="F7" s="62">
        <v>45658</v>
      </c>
      <c r="G7" s="29" t="s">
        <v>73</v>
      </c>
      <c r="H7" s="29" t="s">
        <v>74</v>
      </c>
      <c r="I7" s="29"/>
      <c r="K7" s="12">
        <v>5</v>
      </c>
      <c r="L7" s="24" t="s">
        <v>57</v>
      </c>
      <c r="M7" s="17" t="s">
        <v>75</v>
      </c>
      <c r="N7" s="24" t="s">
        <v>59</v>
      </c>
      <c r="O7" s="17" t="s">
        <v>61</v>
      </c>
      <c r="P7" s="24" t="s">
        <v>60</v>
      </c>
      <c r="Q7" s="17" t="s">
        <v>75</v>
      </c>
      <c r="R7" s="24" t="s">
        <v>55</v>
      </c>
      <c r="S7" s="17" t="s">
        <v>61</v>
      </c>
      <c r="T7" s="24" t="s">
        <v>57</v>
      </c>
      <c r="U7" s="17" t="s">
        <v>58</v>
      </c>
      <c r="V7" s="24" t="s">
        <v>59</v>
      </c>
      <c r="W7" s="17" t="s">
        <v>56</v>
      </c>
      <c r="X7" s="24" t="s">
        <v>60</v>
      </c>
      <c r="Y7" s="17" t="s">
        <v>58</v>
      </c>
      <c r="Z7" s="24" t="s">
        <v>55</v>
      </c>
      <c r="AA7" s="17" t="s">
        <v>56</v>
      </c>
      <c r="AB7" s="24" t="s">
        <v>57</v>
      </c>
      <c r="AC7" s="17" t="s">
        <v>58</v>
      </c>
      <c r="AD7" s="24" t="s">
        <v>59</v>
      </c>
      <c r="AE7" s="17" t="s">
        <v>56</v>
      </c>
      <c r="AF7" s="24" t="s">
        <v>60</v>
      </c>
      <c r="AG7" s="17" t="s">
        <v>58</v>
      </c>
      <c r="AH7" s="24" t="s">
        <v>55</v>
      </c>
      <c r="AI7" s="17" t="s">
        <v>56</v>
      </c>
      <c r="AJ7" s="24" t="s">
        <v>57</v>
      </c>
      <c r="AK7" s="17" t="s">
        <v>58</v>
      </c>
      <c r="AL7" s="24" t="s">
        <v>59</v>
      </c>
      <c r="AM7" s="17" t="s">
        <v>56</v>
      </c>
      <c r="AN7" s="24" t="s">
        <v>60</v>
      </c>
      <c r="AO7" s="17" t="s">
        <v>58</v>
      </c>
      <c r="AP7" s="24" t="s">
        <v>55</v>
      </c>
      <c r="AQ7" s="17" t="s">
        <v>56</v>
      </c>
    </row>
    <row r="8" spans="1:43" x14ac:dyDescent="0.25">
      <c r="A8" s="4" t="s">
        <v>76</v>
      </c>
      <c r="B8" s="66" t="s">
        <v>77</v>
      </c>
      <c r="C8" s="64" t="s">
        <v>72</v>
      </c>
      <c r="D8" s="65">
        <v>44378</v>
      </c>
      <c r="E8" s="61">
        <v>7</v>
      </c>
      <c r="F8" s="63">
        <v>45658</v>
      </c>
      <c r="G8" s="29" t="s">
        <v>73</v>
      </c>
      <c r="H8" s="29" t="s">
        <v>74</v>
      </c>
      <c r="I8" s="29"/>
      <c r="K8" s="12">
        <v>6</v>
      </c>
      <c r="L8" s="24" t="s">
        <v>59</v>
      </c>
      <c r="M8" s="17" t="s">
        <v>78</v>
      </c>
      <c r="N8" s="24" t="s">
        <v>60</v>
      </c>
      <c r="O8" s="17" t="s">
        <v>79</v>
      </c>
      <c r="P8" s="24" t="s">
        <v>55</v>
      </c>
      <c r="Q8" s="17" t="s">
        <v>78</v>
      </c>
      <c r="R8" s="24" t="s">
        <v>57</v>
      </c>
      <c r="S8" s="17" t="s">
        <v>79</v>
      </c>
      <c r="T8" s="24" t="s">
        <v>59</v>
      </c>
      <c r="U8" s="17" t="s">
        <v>78</v>
      </c>
      <c r="V8" s="24" t="s">
        <v>60</v>
      </c>
      <c r="W8" s="17" t="s">
        <v>79</v>
      </c>
      <c r="X8" s="24" t="s">
        <v>55</v>
      </c>
      <c r="Y8" s="17" t="s">
        <v>78</v>
      </c>
      <c r="Z8" s="24" t="s">
        <v>57</v>
      </c>
      <c r="AA8" s="17" t="s">
        <v>79</v>
      </c>
      <c r="AB8" s="24" t="s">
        <v>59</v>
      </c>
      <c r="AC8" s="17" t="s">
        <v>78</v>
      </c>
      <c r="AD8" s="24" t="s">
        <v>60</v>
      </c>
      <c r="AE8" s="17" t="s">
        <v>79</v>
      </c>
      <c r="AF8" s="24" t="s">
        <v>55</v>
      </c>
      <c r="AG8" s="17" t="s">
        <v>78</v>
      </c>
      <c r="AH8" s="24" t="s">
        <v>57</v>
      </c>
      <c r="AI8" s="17" t="s">
        <v>79</v>
      </c>
      <c r="AJ8" s="24" t="s">
        <v>59</v>
      </c>
      <c r="AK8" s="17" t="s">
        <v>78</v>
      </c>
      <c r="AL8" s="24" t="s">
        <v>60</v>
      </c>
      <c r="AM8" s="17" t="s">
        <v>79</v>
      </c>
      <c r="AN8" s="24" t="s">
        <v>55</v>
      </c>
      <c r="AO8" s="17" t="s">
        <v>78</v>
      </c>
      <c r="AP8" s="24" t="s">
        <v>57</v>
      </c>
      <c r="AQ8" s="17" t="s">
        <v>79</v>
      </c>
    </row>
    <row r="9" spans="1:43" x14ac:dyDescent="0.25">
      <c r="K9" s="12">
        <v>7</v>
      </c>
      <c r="L9" s="24" t="s">
        <v>59</v>
      </c>
      <c r="M9" s="17" t="s">
        <v>80</v>
      </c>
      <c r="N9" s="24" t="s">
        <v>60</v>
      </c>
      <c r="O9" s="17" t="s">
        <v>75</v>
      </c>
      <c r="P9" s="24" t="s">
        <v>55</v>
      </c>
      <c r="Q9" s="17" t="s">
        <v>80</v>
      </c>
      <c r="R9" s="24" t="s">
        <v>57</v>
      </c>
      <c r="S9" s="17" t="s">
        <v>75</v>
      </c>
      <c r="T9" s="24" t="s">
        <v>59</v>
      </c>
      <c r="U9" s="17" t="s">
        <v>81</v>
      </c>
      <c r="V9" s="24" t="s">
        <v>60</v>
      </c>
      <c r="W9" s="17" t="s">
        <v>75</v>
      </c>
      <c r="X9" s="24" t="s">
        <v>55</v>
      </c>
      <c r="Y9" s="17" t="s">
        <v>81</v>
      </c>
      <c r="Z9" s="24" t="s">
        <v>57</v>
      </c>
      <c r="AA9" s="17" t="s">
        <v>75</v>
      </c>
      <c r="AB9" s="24" t="s">
        <v>59</v>
      </c>
      <c r="AC9" s="17" t="s">
        <v>81</v>
      </c>
      <c r="AD9" s="24" t="s">
        <v>60</v>
      </c>
      <c r="AE9" s="17" t="s">
        <v>75</v>
      </c>
      <c r="AF9" s="24" t="s">
        <v>55</v>
      </c>
      <c r="AG9" s="17" t="s">
        <v>81</v>
      </c>
      <c r="AH9" s="24" t="s">
        <v>57</v>
      </c>
      <c r="AI9" s="17" t="s">
        <v>75</v>
      </c>
      <c r="AJ9" s="24" t="s">
        <v>59</v>
      </c>
      <c r="AK9" s="17" t="s">
        <v>81</v>
      </c>
      <c r="AL9" s="24" t="s">
        <v>60</v>
      </c>
      <c r="AM9" s="17" t="s">
        <v>75</v>
      </c>
      <c r="AN9" s="24" t="s">
        <v>55</v>
      </c>
      <c r="AO9" s="17" t="s">
        <v>81</v>
      </c>
      <c r="AP9" s="24" t="s">
        <v>57</v>
      </c>
      <c r="AQ9" s="17" t="s">
        <v>75</v>
      </c>
    </row>
    <row r="10" spans="1:43" x14ac:dyDescent="0.25">
      <c r="A10" s="44" t="s">
        <v>82</v>
      </c>
      <c r="K10" s="12">
        <v>8</v>
      </c>
      <c r="L10" s="24" t="s">
        <v>60</v>
      </c>
      <c r="M10" s="17" t="s">
        <v>79</v>
      </c>
      <c r="N10" s="24" t="s">
        <v>55</v>
      </c>
      <c r="O10" s="17" t="s">
        <v>78</v>
      </c>
      <c r="P10" s="24" t="s">
        <v>57</v>
      </c>
      <c r="Q10" s="17" t="s">
        <v>79</v>
      </c>
      <c r="R10" s="24" t="s">
        <v>59</v>
      </c>
      <c r="S10" s="17" t="s">
        <v>78</v>
      </c>
      <c r="T10" s="24" t="s">
        <v>60</v>
      </c>
      <c r="U10" s="17" t="s">
        <v>79</v>
      </c>
      <c r="V10" s="24" t="s">
        <v>55</v>
      </c>
      <c r="W10" s="17" t="s">
        <v>78</v>
      </c>
      <c r="X10" s="24" t="s">
        <v>57</v>
      </c>
      <c r="Y10" s="17" t="s">
        <v>79</v>
      </c>
      <c r="Z10" s="24" t="s">
        <v>59</v>
      </c>
      <c r="AA10" s="17" t="s">
        <v>78</v>
      </c>
      <c r="AB10" s="24" t="s">
        <v>60</v>
      </c>
      <c r="AC10" s="17" t="s">
        <v>79</v>
      </c>
      <c r="AD10" s="24" t="s">
        <v>55</v>
      </c>
      <c r="AE10" s="17" t="s">
        <v>78</v>
      </c>
      <c r="AF10" s="24" t="s">
        <v>57</v>
      </c>
      <c r="AG10" s="17" t="s">
        <v>79</v>
      </c>
      <c r="AH10" s="24" t="s">
        <v>59</v>
      </c>
      <c r="AI10" s="17" t="s">
        <v>78</v>
      </c>
      <c r="AJ10" s="24" t="s">
        <v>60</v>
      </c>
      <c r="AK10" s="17" t="s">
        <v>79</v>
      </c>
      <c r="AL10" s="24" t="s">
        <v>55</v>
      </c>
      <c r="AM10" s="17" t="s">
        <v>78</v>
      </c>
      <c r="AN10" s="24" t="s">
        <v>57</v>
      </c>
      <c r="AO10" s="17" t="s">
        <v>79</v>
      </c>
      <c r="AP10" s="24" t="s">
        <v>59</v>
      </c>
      <c r="AQ10" s="17" t="s">
        <v>78</v>
      </c>
    </row>
    <row r="11" spans="1:43" x14ac:dyDescent="0.25">
      <c r="A11" s="8" t="s">
        <v>83</v>
      </c>
      <c r="B11" s="11" t="s">
        <v>84</v>
      </c>
      <c r="C11" s="4" t="s">
        <v>85</v>
      </c>
      <c r="D11" s="4" t="s">
        <v>86</v>
      </c>
      <c r="E11" s="4" t="s">
        <v>87</v>
      </c>
      <c r="K11" s="12">
        <v>9</v>
      </c>
      <c r="L11" s="24" t="s">
        <v>60</v>
      </c>
      <c r="M11" s="17" t="s">
        <v>62</v>
      </c>
      <c r="N11" s="25" t="s">
        <v>55</v>
      </c>
      <c r="O11" s="17" t="s">
        <v>80</v>
      </c>
      <c r="P11" s="24" t="s">
        <v>57</v>
      </c>
      <c r="Q11" s="17" t="s">
        <v>62</v>
      </c>
      <c r="R11" s="25" t="s">
        <v>59</v>
      </c>
      <c r="S11" s="17" t="s">
        <v>80</v>
      </c>
      <c r="T11" s="24" t="s">
        <v>60</v>
      </c>
      <c r="U11" s="17" t="s">
        <v>75</v>
      </c>
      <c r="V11" s="25" t="s">
        <v>55</v>
      </c>
      <c r="W11" s="17" t="s">
        <v>81</v>
      </c>
      <c r="X11" s="24" t="s">
        <v>57</v>
      </c>
      <c r="Y11" s="17" t="s">
        <v>75</v>
      </c>
      <c r="Z11" s="25" t="s">
        <v>59</v>
      </c>
      <c r="AA11" s="17" t="s">
        <v>81</v>
      </c>
      <c r="AB11" s="24" t="s">
        <v>60</v>
      </c>
      <c r="AC11" s="17" t="s">
        <v>75</v>
      </c>
      <c r="AD11" s="25" t="s">
        <v>55</v>
      </c>
      <c r="AE11" s="17" t="s">
        <v>81</v>
      </c>
      <c r="AF11" s="24" t="s">
        <v>57</v>
      </c>
      <c r="AG11" s="17" t="s">
        <v>75</v>
      </c>
      <c r="AH11" s="25" t="s">
        <v>59</v>
      </c>
      <c r="AI11" s="17" t="s">
        <v>81</v>
      </c>
      <c r="AJ11" s="24" t="s">
        <v>60</v>
      </c>
      <c r="AK11" s="17" t="s">
        <v>75</v>
      </c>
      <c r="AL11" s="25" t="s">
        <v>55</v>
      </c>
      <c r="AM11" s="17" t="s">
        <v>81</v>
      </c>
      <c r="AN11" s="24" t="s">
        <v>57</v>
      </c>
      <c r="AO11" s="17" t="s">
        <v>75</v>
      </c>
      <c r="AP11" s="25" t="s">
        <v>59</v>
      </c>
      <c r="AQ11" s="17" t="s">
        <v>81</v>
      </c>
    </row>
    <row r="12" spans="1:43" x14ac:dyDescent="0.25">
      <c r="A12" s="4" t="s">
        <v>17</v>
      </c>
      <c r="B12" s="29" t="s">
        <v>24</v>
      </c>
      <c r="C12" s="29" t="s">
        <v>25</v>
      </c>
      <c r="D12" s="29" t="s">
        <v>26</v>
      </c>
      <c r="E12" s="29" t="s">
        <v>27</v>
      </c>
      <c r="K12" s="12">
        <v>10</v>
      </c>
      <c r="L12" s="51" t="s">
        <v>88</v>
      </c>
      <c r="M12" s="16" t="s">
        <v>89</v>
      </c>
      <c r="N12" s="51" t="s">
        <v>90</v>
      </c>
      <c r="O12" s="16" t="s">
        <v>91</v>
      </c>
      <c r="P12" s="51" t="s">
        <v>92</v>
      </c>
      <c r="Q12" s="16" t="s">
        <v>89</v>
      </c>
      <c r="R12" s="51" t="s">
        <v>93</v>
      </c>
      <c r="S12" s="16" t="s">
        <v>91</v>
      </c>
      <c r="T12" s="51" t="s">
        <v>88</v>
      </c>
      <c r="U12" s="16" t="s">
        <v>89</v>
      </c>
      <c r="V12" s="51" t="s">
        <v>90</v>
      </c>
      <c r="W12" s="16" t="s">
        <v>91</v>
      </c>
      <c r="X12" s="51" t="s">
        <v>92</v>
      </c>
      <c r="Y12" s="16" t="s">
        <v>89</v>
      </c>
      <c r="Z12" s="51" t="s">
        <v>93</v>
      </c>
      <c r="AA12" s="16" t="s">
        <v>91</v>
      </c>
      <c r="AB12" s="51" t="s">
        <v>88</v>
      </c>
      <c r="AC12" s="16" t="s">
        <v>89</v>
      </c>
      <c r="AD12" s="51" t="s">
        <v>90</v>
      </c>
      <c r="AE12" s="16" t="s">
        <v>91</v>
      </c>
      <c r="AF12" s="51" t="s">
        <v>92</v>
      </c>
      <c r="AG12" s="16" t="s">
        <v>89</v>
      </c>
      <c r="AH12" s="51" t="s">
        <v>93</v>
      </c>
      <c r="AI12" s="16" t="s">
        <v>91</v>
      </c>
      <c r="AJ12" s="51" t="s">
        <v>88</v>
      </c>
      <c r="AK12" s="16" t="s">
        <v>89</v>
      </c>
      <c r="AL12" s="51" t="s">
        <v>90</v>
      </c>
      <c r="AM12" s="16" t="s">
        <v>91</v>
      </c>
      <c r="AN12" s="51" t="s">
        <v>92</v>
      </c>
      <c r="AO12" s="16" t="s">
        <v>89</v>
      </c>
      <c r="AP12" s="51" t="s">
        <v>93</v>
      </c>
      <c r="AQ12" s="16" t="s">
        <v>91</v>
      </c>
    </row>
    <row r="13" spans="1:43" x14ac:dyDescent="0.25">
      <c r="A13" s="4" t="s">
        <v>94</v>
      </c>
      <c r="B13" s="29" t="s">
        <v>25</v>
      </c>
      <c r="C13" s="29" t="s">
        <v>26</v>
      </c>
      <c r="D13" s="29" t="s">
        <v>27</v>
      </c>
      <c r="E13" s="29" t="s">
        <v>24</v>
      </c>
      <c r="K13" s="12">
        <v>11</v>
      </c>
      <c r="L13" s="37" t="s">
        <v>88</v>
      </c>
      <c r="M13" s="17" t="s">
        <v>95</v>
      </c>
      <c r="N13" s="37" t="s">
        <v>90</v>
      </c>
      <c r="O13" s="17" t="s">
        <v>96</v>
      </c>
      <c r="P13" s="37" t="s">
        <v>92</v>
      </c>
      <c r="Q13" s="17" t="s">
        <v>95</v>
      </c>
      <c r="R13" s="37" t="s">
        <v>93</v>
      </c>
      <c r="S13" s="17" t="s">
        <v>96</v>
      </c>
      <c r="T13" s="37" t="s">
        <v>88</v>
      </c>
      <c r="U13" s="17" t="s">
        <v>81</v>
      </c>
      <c r="V13" s="37" t="s">
        <v>90</v>
      </c>
      <c r="W13" s="17" t="s">
        <v>96</v>
      </c>
      <c r="X13" s="37" t="s">
        <v>92</v>
      </c>
      <c r="Y13" s="17" t="s">
        <v>81</v>
      </c>
      <c r="Z13" s="37" t="s">
        <v>93</v>
      </c>
      <c r="AA13" s="17" t="s">
        <v>96</v>
      </c>
      <c r="AB13" s="37" t="s">
        <v>88</v>
      </c>
      <c r="AC13" s="17" t="s">
        <v>80</v>
      </c>
      <c r="AD13" s="37" t="s">
        <v>90</v>
      </c>
      <c r="AE13" s="17" t="s">
        <v>81</v>
      </c>
      <c r="AF13" s="37" t="s">
        <v>92</v>
      </c>
      <c r="AG13" s="17" t="s">
        <v>80</v>
      </c>
      <c r="AH13" s="37" t="s">
        <v>93</v>
      </c>
      <c r="AI13" s="17" t="s">
        <v>96</v>
      </c>
      <c r="AJ13" s="37" t="s">
        <v>88</v>
      </c>
      <c r="AK13" s="17" t="s">
        <v>80</v>
      </c>
      <c r="AL13" s="37" t="s">
        <v>90</v>
      </c>
      <c r="AM13" s="17" t="s">
        <v>96</v>
      </c>
      <c r="AN13" s="37" t="s">
        <v>92</v>
      </c>
      <c r="AO13" s="17" t="s">
        <v>80</v>
      </c>
      <c r="AP13" s="37" t="s">
        <v>93</v>
      </c>
      <c r="AQ13" s="17" t="s">
        <v>96</v>
      </c>
    </row>
    <row r="14" spans="1:43" x14ac:dyDescent="0.25">
      <c r="A14" s="4" t="s">
        <v>97</v>
      </c>
      <c r="B14" s="29" t="s">
        <v>26</v>
      </c>
      <c r="C14" s="29" t="s">
        <v>27</v>
      </c>
      <c r="D14" s="29" t="s">
        <v>24</v>
      </c>
      <c r="E14" s="29" t="s">
        <v>25</v>
      </c>
      <c r="K14" s="12">
        <v>12</v>
      </c>
      <c r="L14" s="37" t="s">
        <v>90</v>
      </c>
      <c r="M14" s="17" t="s">
        <v>91</v>
      </c>
      <c r="N14" s="37" t="s">
        <v>92</v>
      </c>
      <c r="O14" s="17" t="s">
        <v>89</v>
      </c>
      <c r="P14" s="37" t="s">
        <v>93</v>
      </c>
      <c r="Q14" s="17" t="s">
        <v>91</v>
      </c>
      <c r="R14" s="37" t="s">
        <v>88</v>
      </c>
      <c r="S14" s="17" t="s">
        <v>89</v>
      </c>
      <c r="T14" s="37" t="s">
        <v>90</v>
      </c>
      <c r="U14" s="17" t="s">
        <v>91</v>
      </c>
      <c r="V14" s="37" t="s">
        <v>92</v>
      </c>
      <c r="W14" s="17" t="s">
        <v>89</v>
      </c>
      <c r="X14" s="37" t="s">
        <v>93</v>
      </c>
      <c r="Y14" s="17" t="s">
        <v>91</v>
      </c>
      <c r="Z14" s="37" t="s">
        <v>88</v>
      </c>
      <c r="AA14" s="17" t="s">
        <v>89</v>
      </c>
      <c r="AB14" s="37" t="s">
        <v>90</v>
      </c>
      <c r="AC14" s="17" t="s">
        <v>91</v>
      </c>
      <c r="AD14" s="37" t="s">
        <v>92</v>
      </c>
      <c r="AE14" s="17" t="s">
        <v>89</v>
      </c>
      <c r="AF14" s="37" t="s">
        <v>93</v>
      </c>
      <c r="AG14" s="17" t="s">
        <v>91</v>
      </c>
      <c r="AH14" s="37" t="s">
        <v>88</v>
      </c>
      <c r="AI14" s="17" t="s">
        <v>89</v>
      </c>
      <c r="AJ14" s="37" t="s">
        <v>90</v>
      </c>
      <c r="AK14" s="17" t="s">
        <v>91</v>
      </c>
      <c r="AL14" s="37" t="s">
        <v>92</v>
      </c>
      <c r="AM14" s="17" t="s">
        <v>89</v>
      </c>
      <c r="AN14" s="37" t="s">
        <v>93</v>
      </c>
      <c r="AO14" s="17" t="s">
        <v>91</v>
      </c>
      <c r="AP14" s="37" t="s">
        <v>88</v>
      </c>
      <c r="AQ14" s="17" t="s">
        <v>89</v>
      </c>
    </row>
    <row r="15" spans="1:43" x14ac:dyDescent="0.25">
      <c r="A15" s="4" t="s">
        <v>98</v>
      </c>
      <c r="B15" s="29" t="s">
        <v>27</v>
      </c>
      <c r="C15" s="29" t="s">
        <v>24</v>
      </c>
      <c r="D15" s="29" t="s">
        <v>25</v>
      </c>
      <c r="E15" s="29" t="s">
        <v>26</v>
      </c>
      <c r="K15" s="12">
        <v>13</v>
      </c>
      <c r="L15" s="37" t="s">
        <v>90</v>
      </c>
      <c r="M15" s="17" t="s">
        <v>81</v>
      </c>
      <c r="N15" s="37" t="s">
        <v>92</v>
      </c>
      <c r="O15" s="17" t="s">
        <v>95</v>
      </c>
      <c r="P15" s="37" t="s">
        <v>93</v>
      </c>
      <c r="Q15" s="17" t="s">
        <v>81</v>
      </c>
      <c r="R15" s="37" t="s">
        <v>88</v>
      </c>
      <c r="S15" s="17" t="s">
        <v>95</v>
      </c>
      <c r="T15" s="37" t="s">
        <v>90</v>
      </c>
      <c r="U15" s="17" t="s">
        <v>81</v>
      </c>
      <c r="V15" s="37" t="s">
        <v>92</v>
      </c>
      <c r="W15" s="17" t="s">
        <v>81</v>
      </c>
      <c r="X15" s="37" t="s">
        <v>93</v>
      </c>
      <c r="Y15" s="17" t="s">
        <v>81</v>
      </c>
      <c r="Z15" s="37" t="s">
        <v>88</v>
      </c>
      <c r="AA15" s="17" t="s">
        <v>81</v>
      </c>
      <c r="AB15" s="37" t="s">
        <v>90</v>
      </c>
      <c r="AC15" s="17" t="s">
        <v>81</v>
      </c>
      <c r="AD15" s="37" t="s">
        <v>92</v>
      </c>
      <c r="AE15" s="17" t="s">
        <v>80</v>
      </c>
      <c r="AF15" s="37" t="s">
        <v>93</v>
      </c>
      <c r="AG15" s="17" t="s">
        <v>96</v>
      </c>
      <c r="AH15" s="37" t="s">
        <v>88</v>
      </c>
      <c r="AI15" s="17" t="s">
        <v>80</v>
      </c>
      <c r="AJ15" s="37" t="s">
        <v>90</v>
      </c>
      <c r="AK15" s="17" t="s">
        <v>81</v>
      </c>
      <c r="AL15" s="37" t="s">
        <v>92</v>
      </c>
      <c r="AM15" s="17" t="s">
        <v>80</v>
      </c>
      <c r="AN15" s="37" t="s">
        <v>93</v>
      </c>
      <c r="AO15" s="17" t="s">
        <v>81</v>
      </c>
      <c r="AP15" s="37" t="s">
        <v>88</v>
      </c>
      <c r="AQ15" s="17" t="s">
        <v>80</v>
      </c>
    </row>
    <row r="16" spans="1:43" x14ac:dyDescent="0.25">
      <c r="A16" s="4"/>
      <c r="K16" s="12">
        <v>14</v>
      </c>
      <c r="L16" s="37" t="s">
        <v>92</v>
      </c>
      <c r="M16" s="17" t="s">
        <v>99</v>
      </c>
      <c r="N16" s="37" t="s">
        <v>93</v>
      </c>
      <c r="O16" s="17" t="s">
        <v>100</v>
      </c>
      <c r="P16" s="37" t="s">
        <v>88</v>
      </c>
      <c r="Q16" s="17" t="s">
        <v>99</v>
      </c>
      <c r="R16" s="37" t="s">
        <v>90</v>
      </c>
      <c r="S16" s="17" t="s">
        <v>100</v>
      </c>
      <c r="T16" s="37" t="s">
        <v>92</v>
      </c>
      <c r="U16" s="17" t="s">
        <v>99</v>
      </c>
      <c r="V16" s="37" t="s">
        <v>93</v>
      </c>
      <c r="W16" s="17" t="s">
        <v>100</v>
      </c>
      <c r="X16" s="37" t="s">
        <v>88</v>
      </c>
      <c r="Y16" s="17" t="s">
        <v>99</v>
      </c>
      <c r="Z16" s="37" t="s">
        <v>90</v>
      </c>
      <c r="AA16" s="17" t="s">
        <v>100</v>
      </c>
      <c r="AB16" s="37" t="s">
        <v>92</v>
      </c>
      <c r="AC16" s="17" t="s">
        <v>99</v>
      </c>
      <c r="AD16" s="37" t="s">
        <v>93</v>
      </c>
      <c r="AE16" s="17" t="s">
        <v>100</v>
      </c>
      <c r="AF16" s="37" t="s">
        <v>88</v>
      </c>
      <c r="AG16" s="17" t="s">
        <v>99</v>
      </c>
      <c r="AH16" s="37" t="s">
        <v>90</v>
      </c>
      <c r="AI16" s="17" t="s">
        <v>100</v>
      </c>
      <c r="AJ16" s="37" t="s">
        <v>92</v>
      </c>
      <c r="AK16" s="17" t="s">
        <v>99</v>
      </c>
      <c r="AL16" s="37" t="s">
        <v>93</v>
      </c>
      <c r="AM16" s="17" t="s">
        <v>100</v>
      </c>
      <c r="AN16" s="37" t="s">
        <v>88</v>
      </c>
      <c r="AO16" s="17" t="s">
        <v>99</v>
      </c>
      <c r="AP16" s="37" t="s">
        <v>90</v>
      </c>
      <c r="AQ16" s="17" t="s">
        <v>100</v>
      </c>
    </row>
    <row r="17" spans="1:43" x14ac:dyDescent="0.25">
      <c r="A17" s="44" t="s">
        <v>101</v>
      </c>
      <c r="B17"/>
      <c r="C17"/>
      <c r="D17"/>
      <c r="E17"/>
      <c r="F17"/>
      <c r="G17"/>
      <c r="K17" s="12">
        <v>15</v>
      </c>
      <c r="L17" s="37" t="s">
        <v>92</v>
      </c>
      <c r="M17" s="17" t="s">
        <v>81</v>
      </c>
      <c r="N17" s="37" t="s">
        <v>93</v>
      </c>
      <c r="O17" s="17" t="s">
        <v>81</v>
      </c>
      <c r="P17" s="37" t="s">
        <v>88</v>
      </c>
      <c r="Q17" s="17" t="s">
        <v>81</v>
      </c>
      <c r="R17" s="37" t="s">
        <v>90</v>
      </c>
      <c r="S17" s="17" t="s">
        <v>81</v>
      </c>
      <c r="T17" s="37" t="s">
        <v>92</v>
      </c>
      <c r="U17" s="17" t="s">
        <v>80</v>
      </c>
      <c r="V17" s="37" t="s">
        <v>93</v>
      </c>
      <c r="W17" s="17" t="s">
        <v>81</v>
      </c>
      <c r="X17" s="37" t="s">
        <v>88</v>
      </c>
      <c r="Y17" s="17" t="s">
        <v>80</v>
      </c>
      <c r="Z17" s="37" t="s">
        <v>90</v>
      </c>
      <c r="AA17" s="17" t="s">
        <v>81</v>
      </c>
      <c r="AB17" s="37" t="s">
        <v>92</v>
      </c>
      <c r="AC17" s="17" t="s">
        <v>95</v>
      </c>
      <c r="AD17" s="37" t="s">
        <v>93</v>
      </c>
      <c r="AE17" s="17" t="s">
        <v>96</v>
      </c>
      <c r="AF17" s="37" t="s">
        <v>88</v>
      </c>
      <c r="AG17" s="17" t="s">
        <v>95</v>
      </c>
      <c r="AH17" s="37" t="s">
        <v>90</v>
      </c>
      <c r="AI17" s="17" t="s">
        <v>81</v>
      </c>
      <c r="AJ17" s="37" t="s">
        <v>92</v>
      </c>
      <c r="AK17" s="17" t="s">
        <v>81</v>
      </c>
      <c r="AL17" s="37" t="s">
        <v>93</v>
      </c>
      <c r="AM17" s="17" t="s">
        <v>81</v>
      </c>
      <c r="AN17" s="37" t="s">
        <v>88</v>
      </c>
      <c r="AO17" s="17" t="s">
        <v>95</v>
      </c>
      <c r="AP17" s="37" t="s">
        <v>90</v>
      </c>
      <c r="AQ17" s="17" t="s">
        <v>81</v>
      </c>
    </row>
    <row r="18" spans="1:43" x14ac:dyDescent="0.25">
      <c r="A18" s="4" t="s">
        <v>102</v>
      </c>
      <c r="B18" s="7" t="s">
        <v>0</v>
      </c>
      <c r="C18" s="4" t="s">
        <v>65</v>
      </c>
      <c r="D18" s="4" t="s">
        <v>66</v>
      </c>
      <c r="E18" s="4" t="s">
        <v>67</v>
      </c>
      <c r="F18" s="4" t="s">
        <v>68</v>
      </c>
      <c r="G18" s="4" t="s">
        <v>69</v>
      </c>
      <c r="H18"/>
      <c r="I18"/>
      <c r="K18" s="12">
        <v>16</v>
      </c>
      <c r="L18" s="37" t="s">
        <v>93</v>
      </c>
      <c r="M18" s="17" t="s">
        <v>100</v>
      </c>
      <c r="N18" s="37" t="s">
        <v>88</v>
      </c>
      <c r="O18" s="17" t="s">
        <v>99</v>
      </c>
      <c r="P18" s="37" t="s">
        <v>90</v>
      </c>
      <c r="Q18" s="17" t="s">
        <v>100</v>
      </c>
      <c r="R18" s="37" t="s">
        <v>92</v>
      </c>
      <c r="S18" s="17" t="s">
        <v>99</v>
      </c>
      <c r="T18" s="37" t="s">
        <v>93</v>
      </c>
      <c r="U18" s="17" t="s">
        <v>100</v>
      </c>
      <c r="V18" s="37" t="s">
        <v>88</v>
      </c>
      <c r="W18" s="17" t="s">
        <v>99</v>
      </c>
      <c r="X18" s="37" t="s">
        <v>90</v>
      </c>
      <c r="Y18" s="17" t="s">
        <v>100</v>
      </c>
      <c r="Z18" s="37" t="s">
        <v>92</v>
      </c>
      <c r="AA18" s="17" t="s">
        <v>99</v>
      </c>
      <c r="AB18" s="37" t="s">
        <v>93</v>
      </c>
      <c r="AC18" s="17" t="s">
        <v>100</v>
      </c>
      <c r="AD18" s="37" t="s">
        <v>88</v>
      </c>
      <c r="AE18" s="17" t="s">
        <v>99</v>
      </c>
      <c r="AF18" s="37" t="s">
        <v>90</v>
      </c>
      <c r="AG18" s="17" t="s">
        <v>100</v>
      </c>
      <c r="AH18" s="37" t="s">
        <v>92</v>
      </c>
      <c r="AI18" s="17" t="s">
        <v>99</v>
      </c>
      <c r="AJ18" s="37" t="s">
        <v>93</v>
      </c>
      <c r="AK18" s="17" t="s">
        <v>100</v>
      </c>
      <c r="AL18" s="37" t="s">
        <v>88</v>
      </c>
      <c r="AM18" s="17" t="s">
        <v>99</v>
      </c>
      <c r="AN18" s="37" t="s">
        <v>90</v>
      </c>
      <c r="AO18" s="17" t="s">
        <v>100</v>
      </c>
      <c r="AP18" s="37" t="s">
        <v>92</v>
      </c>
      <c r="AQ18" s="17" t="s">
        <v>99</v>
      </c>
    </row>
    <row r="19" spans="1:43" x14ac:dyDescent="0.25">
      <c r="A19" s="4" t="s">
        <v>103</v>
      </c>
      <c r="B19" s="64" t="s">
        <v>104</v>
      </c>
      <c r="C19" s="64" t="s">
        <v>105</v>
      </c>
      <c r="D19" s="65">
        <v>44562</v>
      </c>
      <c r="E19" s="64">
        <v>1</v>
      </c>
      <c r="F19" s="65">
        <v>44562</v>
      </c>
      <c r="G19" s="54" t="s">
        <v>106</v>
      </c>
      <c r="H19"/>
      <c r="I19"/>
      <c r="K19" s="12">
        <v>17</v>
      </c>
      <c r="L19" s="38" t="s">
        <v>93</v>
      </c>
      <c r="M19" s="17" t="s">
        <v>96</v>
      </c>
      <c r="N19" s="38" t="s">
        <v>88</v>
      </c>
      <c r="O19" s="17" t="s">
        <v>81</v>
      </c>
      <c r="P19" s="38" t="s">
        <v>90</v>
      </c>
      <c r="Q19" s="17" t="s">
        <v>96</v>
      </c>
      <c r="R19" s="38" t="s">
        <v>92</v>
      </c>
      <c r="S19" s="17" t="s">
        <v>81</v>
      </c>
      <c r="T19" s="38" t="s">
        <v>93</v>
      </c>
      <c r="U19" s="17" t="s">
        <v>96</v>
      </c>
      <c r="V19" s="38" t="s">
        <v>88</v>
      </c>
      <c r="W19" s="17" t="s">
        <v>80</v>
      </c>
      <c r="X19" s="38" t="s">
        <v>90</v>
      </c>
      <c r="Y19" s="17" t="s">
        <v>96</v>
      </c>
      <c r="Z19" s="38" t="s">
        <v>92</v>
      </c>
      <c r="AA19" s="17" t="s">
        <v>80</v>
      </c>
      <c r="AB19" s="38" t="s">
        <v>93</v>
      </c>
      <c r="AC19" s="17" t="s">
        <v>96</v>
      </c>
      <c r="AD19" s="38" t="s">
        <v>88</v>
      </c>
      <c r="AE19" s="17" t="s">
        <v>81</v>
      </c>
      <c r="AF19" s="38" t="s">
        <v>90</v>
      </c>
      <c r="AG19" s="17" t="s">
        <v>81</v>
      </c>
      <c r="AH19" s="38" t="s">
        <v>92</v>
      </c>
      <c r="AI19" s="17" t="s">
        <v>95</v>
      </c>
      <c r="AJ19" s="38" t="s">
        <v>93</v>
      </c>
      <c r="AK19" s="17" t="s">
        <v>96</v>
      </c>
      <c r="AL19" s="38" t="s">
        <v>88</v>
      </c>
      <c r="AM19" s="17" t="s">
        <v>95</v>
      </c>
      <c r="AN19" s="38" t="s">
        <v>90</v>
      </c>
      <c r="AO19" s="17" t="s">
        <v>96</v>
      </c>
      <c r="AP19" s="38" t="s">
        <v>92</v>
      </c>
      <c r="AQ19" s="17" t="s">
        <v>81</v>
      </c>
    </row>
    <row r="20" spans="1:43" x14ac:dyDescent="0.25">
      <c r="A20" s="4" t="s">
        <v>107</v>
      </c>
      <c r="B20" s="64" t="s">
        <v>108</v>
      </c>
      <c r="C20" s="79" t="s">
        <v>109</v>
      </c>
      <c r="D20" s="80">
        <v>45658</v>
      </c>
      <c r="E20" s="79">
        <v>3</v>
      </c>
      <c r="F20" s="80">
        <v>45658</v>
      </c>
      <c r="G20" s="54" t="s">
        <v>106</v>
      </c>
      <c r="H20"/>
      <c r="I20"/>
      <c r="K20" s="12">
        <v>18</v>
      </c>
      <c r="L20" s="51" t="s">
        <v>110</v>
      </c>
      <c r="M20" s="16" t="s">
        <v>111</v>
      </c>
      <c r="N20" s="51" t="s">
        <v>112</v>
      </c>
      <c r="O20" s="16" t="s">
        <v>113</v>
      </c>
      <c r="P20" s="51" t="s">
        <v>114</v>
      </c>
      <c r="Q20" s="16" t="s">
        <v>111</v>
      </c>
      <c r="R20" s="51" t="s">
        <v>115</v>
      </c>
      <c r="S20" s="16" t="s">
        <v>113</v>
      </c>
      <c r="T20" s="51" t="s">
        <v>110</v>
      </c>
      <c r="U20" s="16" t="s">
        <v>111</v>
      </c>
      <c r="V20" s="51" t="s">
        <v>112</v>
      </c>
      <c r="W20" s="16" t="s">
        <v>113</v>
      </c>
      <c r="X20" s="51" t="s">
        <v>114</v>
      </c>
      <c r="Y20" s="16" t="s">
        <v>111</v>
      </c>
      <c r="Z20" s="51" t="s">
        <v>115</v>
      </c>
      <c r="AA20" s="16" t="s">
        <v>113</v>
      </c>
      <c r="AB20" s="51" t="s">
        <v>110</v>
      </c>
      <c r="AC20" s="16" t="s">
        <v>111</v>
      </c>
      <c r="AD20" s="51" t="s">
        <v>112</v>
      </c>
      <c r="AE20" s="16" t="s">
        <v>113</v>
      </c>
      <c r="AF20" s="51" t="s">
        <v>114</v>
      </c>
      <c r="AG20" s="16" t="s">
        <v>111</v>
      </c>
      <c r="AH20" s="51" t="s">
        <v>115</v>
      </c>
      <c r="AI20" s="16" t="s">
        <v>113</v>
      </c>
      <c r="AJ20" s="51" t="s">
        <v>110</v>
      </c>
      <c r="AK20" s="16" t="s">
        <v>111</v>
      </c>
      <c r="AL20" s="51" t="s">
        <v>112</v>
      </c>
      <c r="AM20" s="16" t="s">
        <v>113</v>
      </c>
      <c r="AN20" s="51" t="s">
        <v>114</v>
      </c>
      <c r="AO20" s="16" t="s">
        <v>111</v>
      </c>
      <c r="AP20" s="51" t="s">
        <v>115</v>
      </c>
      <c r="AQ20" s="16" t="s">
        <v>113</v>
      </c>
    </row>
    <row r="21" spans="1:43" x14ac:dyDescent="0.25">
      <c r="A21" s="54" t="s">
        <v>14</v>
      </c>
      <c r="B21" s="64" t="s">
        <v>116</v>
      </c>
      <c r="C21" s="64" t="s">
        <v>72</v>
      </c>
      <c r="D21" s="65">
        <v>45292</v>
      </c>
      <c r="E21" s="64">
        <v>4</v>
      </c>
      <c r="F21" s="65">
        <v>45292</v>
      </c>
      <c r="G21" s="54" t="s">
        <v>106</v>
      </c>
      <c r="H21"/>
      <c r="I21"/>
      <c r="K21" s="12">
        <v>19</v>
      </c>
      <c r="L21" s="37" t="s">
        <v>110</v>
      </c>
      <c r="M21" s="17" t="s">
        <v>117</v>
      </c>
      <c r="N21" s="37" t="s">
        <v>112</v>
      </c>
      <c r="O21" s="17" t="s">
        <v>118</v>
      </c>
      <c r="P21" s="37" t="s">
        <v>114</v>
      </c>
      <c r="Q21" s="17" t="s">
        <v>117</v>
      </c>
      <c r="R21" s="37" t="s">
        <v>115</v>
      </c>
      <c r="S21" s="17" t="s">
        <v>118</v>
      </c>
      <c r="T21" s="37" t="s">
        <v>110</v>
      </c>
      <c r="U21" s="17" t="s">
        <v>95</v>
      </c>
      <c r="V21" s="37" t="s">
        <v>112</v>
      </c>
      <c r="W21" s="17" t="s">
        <v>118</v>
      </c>
      <c r="X21" s="37" t="s">
        <v>114</v>
      </c>
      <c r="Y21" s="17" t="s">
        <v>95</v>
      </c>
      <c r="Z21" s="37" t="s">
        <v>115</v>
      </c>
      <c r="AA21" s="17" t="s">
        <v>118</v>
      </c>
      <c r="AB21" s="37" t="s">
        <v>110</v>
      </c>
      <c r="AC21" s="17" t="s">
        <v>81</v>
      </c>
      <c r="AD21" s="37" t="s">
        <v>112</v>
      </c>
      <c r="AE21" s="17" t="s">
        <v>118</v>
      </c>
      <c r="AF21" s="37" t="s">
        <v>114</v>
      </c>
      <c r="AG21" s="17" t="s">
        <v>117</v>
      </c>
      <c r="AH21" s="37" t="s">
        <v>115</v>
      </c>
      <c r="AI21" s="17" t="s">
        <v>118</v>
      </c>
      <c r="AJ21" s="37" t="s">
        <v>110</v>
      </c>
      <c r="AK21" s="17" t="s">
        <v>95</v>
      </c>
      <c r="AL21" s="37" t="s">
        <v>112</v>
      </c>
      <c r="AM21" s="17" t="s">
        <v>118</v>
      </c>
      <c r="AN21" s="37" t="s">
        <v>114</v>
      </c>
      <c r="AO21" s="17" t="s">
        <v>81</v>
      </c>
      <c r="AP21" s="37" t="s">
        <v>115</v>
      </c>
      <c r="AQ21" s="17" t="s">
        <v>118</v>
      </c>
    </row>
    <row r="22" spans="1:43" x14ac:dyDescent="0.25">
      <c r="A22" s="4" t="s">
        <v>119</v>
      </c>
      <c r="B22" s="64" t="s">
        <v>120</v>
      </c>
      <c r="C22" s="64" t="s">
        <v>105</v>
      </c>
      <c r="D22" s="65">
        <v>44743</v>
      </c>
      <c r="E22" s="64">
        <v>1</v>
      </c>
      <c r="F22" s="65">
        <v>44743</v>
      </c>
      <c r="G22" s="54" t="s">
        <v>106</v>
      </c>
      <c r="H22"/>
      <c r="I22"/>
      <c r="K22" s="12">
        <v>20</v>
      </c>
      <c r="L22" s="37" t="s">
        <v>112</v>
      </c>
      <c r="M22" s="17" t="s">
        <v>113</v>
      </c>
      <c r="N22" s="37" t="s">
        <v>114</v>
      </c>
      <c r="O22" s="17" t="s">
        <v>111</v>
      </c>
      <c r="P22" s="37" t="s">
        <v>115</v>
      </c>
      <c r="Q22" s="17" t="s">
        <v>113</v>
      </c>
      <c r="R22" s="37" t="s">
        <v>110</v>
      </c>
      <c r="S22" s="17" t="s">
        <v>111</v>
      </c>
      <c r="T22" s="37" t="s">
        <v>112</v>
      </c>
      <c r="U22" s="17" t="s">
        <v>113</v>
      </c>
      <c r="V22" s="37" t="s">
        <v>114</v>
      </c>
      <c r="W22" s="17" t="s">
        <v>111</v>
      </c>
      <c r="X22" s="37" t="s">
        <v>115</v>
      </c>
      <c r="Y22" s="17" t="s">
        <v>113</v>
      </c>
      <c r="Z22" s="37" t="s">
        <v>110</v>
      </c>
      <c r="AA22" s="17" t="s">
        <v>111</v>
      </c>
      <c r="AB22" s="37" t="s">
        <v>112</v>
      </c>
      <c r="AC22" s="17" t="s">
        <v>113</v>
      </c>
      <c r="AD22" s="37" t="s">
        <v>114</v>
      </c>
      <c r="AE22" s="17" t="s">
        <v>111</v>
      </c>
      <c r="AF22" s="37" t="s">
        <v>115</v>
      </c>
      <c r="AG22" s="17" t="s">
        <v>113</v>
      </c>
      <c r="AH22" s="37" t="s">
        <v>110</v>
      </c>
      <c r="AI22" s="17" t="s">
        <v>111</v>
      </c>
      <c r="AJ22" s="37" t="s">
        <v>112</v>
      </c>
      <c r="AK22" s="17" t="s">
        <v>113</v>
      </c>
      <c r="AL22" s="37" t="s">
        <v>114</v>
      </c>
      <c r="AM22" s="17" t="s">
        <v>111</v>
      </c>
      <c r="AN22" s="37" t="s">
        <v>115</v>
      </c>
      <c r="AO22" s="17" t="s">
        <v>113</v>
      </c>
      <c r="AP22" s="37" t="s">
        <v>110</v>
      </c>
      <c r="AQ22" s="17" t="s">
        <v>111</v>
      </c>
    </row>
    <row r="23" spans="1:43" x14ac:dyDescent="0.25">
      <c r="F23"/>
      <c r="G23"/>
      <c r="H23"/>
      <c r="I23"/>
      <c r="K23" s="12">
        <v>21</v>
      </c>
      <c r="L23" s="37" t="s">
        <v>112</v>
      </c>
      <c r="M23" s="17" t="s">
        <v>81</v>
      </c>
      <c r="N23" s="37" t="s">
        <v>114</v>
      </c>
      <c r="O23" s="17" t="s">
        <v>117</v>
      </c>
      <c r="P23" s="37" t="s">
        <v>115</v>
      </c>
      <c r="Q23" s="17" t="s">
        <v>81</v>
      </c>
      <c r="R23" s="37" t="s">
        <v>110</v>
      </c>
      <c r="S23" s="17" t="s">
        <v>117</v>
      </c>
      <c r="T23" s="37" t="s">
        <v>112</v>
      </c>
      <c r="U23" s="17" t="s">
        <v>118</v>
      </c>
      <c r="V23" s="37" t="s">
        <v>114</v>
      </c>
      <c r="W23" s="17" t="s">
        <v>95</v>
      </c>
      <c r="X23" s="37" t="s">
        <v>115</v>
      </c>
      <c r="Y23" s="17" t="s">
        <v>118</v>
      </c>
      <c r="Z23" s="37" t="s">
        <v>110</v>
      </c>
      <c r="AA23" s="17" t="s">
        <v>95</v>
      </c>
      <c r="AB23" s="37" t="s">
        <v>112</v>
      </c>
      <c r="AC23" s="17" t="s">
        <v>118</v>
      </c>
      <c r="AD23" s="37" t="s">
        <v>114</v>
      </c>
      <c r="AE23" s="17" t="s">
        <v>95</v>
      </c>
      <c r="AF23" s="37" t="s">
        <v>115</v>
      </c>
      <c r="AG23" s="17" t="s">
        <v>118</v>
      </c>
      <c r="AH23" s="37" t="s">
        <v>110</v>
      </c>
      <c r="AI23" s="17" t="s">
        <v>81</v>
      </c>
      <c r="AJ23" s="37" t="s">
        <v>112</v>
      </c>
      <c r="AK23" s="17" t="s">
        <v>118</v>
      </c>
      <c r="AL23" s="37" t="s">
        <v>114</v>
      </c>
      <c r="AM23" s="17" t="s">
        <v>81</v>
      </c>
      <c r="AN23" s="37" t="s">
        <v>115</v>
      </c>
      <c r="AO23" s="17" t="s">
        <v>118</v>
      </c>
      <c r="AP23" s="37" t="s">
        <v>110</v>
      </c>
      <c r="AQ23" s="17" t="s">
        <v>95</v>
      </c>
    </row>
    <row r="24" spans="1:43" x14ac:dyDescent="0.25">
      <c r="A24"/>
      <c r="B24"/>
      <c r="C24"/>
      <c r="D24"/>
      <c r="E24"/>
      <c r="F24"/>
      <c r="G24"/>
      <c r="H24"/>
      <c r="I24"/>
      <c r="K24" s="12">
        <v>22</v>
      </c>
      <c r="L24" s="37" t="s">
        <v>114</v>
      </c>
      <c r="M24" s="17" t="s">
        <v>121</v>
      </c>
      <c r="N24" s="37" t="s">
        <v>115</v>
      </c>
      <c r="O24" s="17" t="s">
        <v>122</v>
      </c>
      <c r="P24" s="37" t="s">
        <v>110</v>
      </c>
      <c r="Q24" s="17" t="s">
        <v>121</v>
      </c>
      <c r="R24" s="37" t="s">
        <v>112</v>
      </c>
      <c r="S24" s="17" t="s">
        <v>122</v>
      </c>
      <c r="T24" s="37" t="s">
        <v>114</v>
      </c>
      <c r="U24" s="17" t="s">
        <v>121</v>
      </c>
      <c r="V24" s="37" t="s">
        <v>115</v>
      </c>
      <c r="W24" s="17" t="s">
        <v>122</v>
      </c>
      <c r="X24" s="37" t="s">
        <v>110</v>
      </c>
      <c r="Y24" s="17" t="s">
        <v>121</v>
      </c>
      <c r="Z24" s="37" t="s">
        <v>112</v>
      </c>
      <c r="AA24" s="17" t="s">
        <v>122</v>
      </c>
      <c r="AB24" s="37" t="s">
        <v>114</v>
      </c>
      <c r="AC24" s="17" t="s">
        <v>121</v>
      </c>
      <c r="AD24" s="37" t="s">
        <v>115</v>
      </c>
      <c r="AE24" s="17" t="s">
        <v>122</v>
      </c>
      <c r="AF24" s="37" t="s">
        <v>110</v>
      </c>
      <c r="AG24" s="17" t="s">
        <v>121</v>
      </c>
      <c r="AH24" s="37" t="s">
        <v>112</v>
      </c>
      <c r="AI24" s="17" t="s">
        <v>122</v>
      </c>
      <c r="AJ24" s="37" t="s">
        <v>114</v>
      </c>
      <c r="AK24" s="17" t="s">
        <v>121</v>
      </c>
      <c r="AL24" s="37" t="s">
        <v>115</v>
      </c>
      <c r="AM24" s="17" t="s">
        <v>122</v>
      </c>
      <c r="AN24" s="37" t="s">
        <v>110</v>
      </c>
      <c r="AO24" s="17" t="s">
        <v>121</v>
      </c>
      <c r="AP24" s="37" t="s">
        <v>112</v>
      </c>
      <c r="AQ24" s="17" t="s">
        <v>122</v>
      </c>
    </row>
    <row r="25" spans="1:43" x14ac:dyDescent="0.25">
      <c r="A25"/>
      <c r="B25"/>
      <c r="C25"/>
      <c r="D25"/>
      <c r="E25"/>
      <c r="F25"/>
      <c r="G25"/>
      <c r="H25"/>
      <c r="I25"/>
      <c r="K25" s="12">
        <v>23</v>
      </c>
      <c r="L25" s="37" t="s">
        <v>114</v>
      </c>
      <c r="M25" s="17" t="s">
        <v>81</v>
      </c>
      <c r="N25" s="37" t="s">
        <v>115</v>
      </c>
      <c r="O25" s="17" t="s">
        <v>81</v>
      </c>
      <c r="P25" s="37" t="s">
        <v>110</v>
      </c>
      <c r="Q25" s="17" t="s">
        <v>81</v>
      </c>
      <c r="R25" s="37" t="s">
        <v>112</v>
      </c>
      <c r="S25" s="17" t="s">
        <v>81</v>
      </c>
      <c r="T25" s="37" t="s">
        <v>114</v>
      </c>
      <c r="U25" s="17" t="s">
        <v>117</v>
      </c>
      <c r="V25" s="37" t="s">
        <v>115</v>
      </c>
      <c r="W25" s="17" t="s">
        <v>81</v>
      </c>
      <c r="X25" s="37" t="s">
        <v>110</v>
      </c>
      <c r="Y25" s="17" t="s">
        <v>117</v>
      </c>
      <c r="Z25" s="37" t="s">
        <v>112</v>
      </c>
      <c r="AA25" s="17" t="s">
        <v>81</v>
      </c>
      <c r="AB25" s="37" t="s">
        <v>114</v>
      </c>
      <c r="AC25" s="17" t="s">
        <v>117</v>
      </c>
      <c r="AD25" s="37" t="s">
        <v>115</v>
      </c>
      <c r="AE25" s="75" t="s">
        <v>81</v>
      </c>
      <c r="AF25" s="37" t="s">
        <v>110</v>
      </c>
      <c r="AG25" s="17" t="s">
        <v>81</v>
      </c>
      <c r="AH25" s="37" t="s">
        <v>112</v>
      </c>
      <c r="AI25" s="75" t="s">
        <v>81</v>
      </c>
      <c r="AJ25" s="37" t="s">
        <v>114</v>
      </c>
      <c r="AK25" s="17" t="s">
        <v>117</v>
      </c>
      <c r="AL25" s="37" t="s">
        <v>115</v>
      </c>
      <c r="AM25" s="75" t="s">
        <v>81</v>
      </c>
      <c r="AN25" s="37" t="s">
        <v>110</v>
      </c>
      <c r="AO25" s="17" t="s">
        <v>117</v>
      </c>
      <c r="AP25" s="37" t="s">
        <v>112</v>
      </c>
      <c r="AQ25" s="75" t="s">
        <v>81</v>
      </c>
    </row>
    <row r="26" spans="1:43" x14ac:dyDescent="0.25">
      <c r="A26" s="35" t="s">
        <v>123</v>
      </c>
      <c r="B26"/>
      <c r="C26"/>
      <c r="D26"/>
      <c r="E26"/>
      <c r="F26"/>
      <c r="G26"/>
      <c r="H26"/>
      <c r="I26"/>
      <c r="K26" s="12">
        <v>24</v>
      </c>
      <c r="L26" s="37" t="s">
        <v>115</v>
      </c>
      <c r="M26" s="17" t="s">
        <v>122</v>
      </c>
      <c r="N26" s="37" t="s">
        <v>110</v>
      </c>
      <c r="O26" s="17" t="s">
        <v>121</v>
      </c>
      <c r="P26" s="37" t="s">
        <v>112</v>
      </c>
      <c r="Q26" s="17" t="s">
        <v>122</v>
      </c>
      <c r="R26" s="37" t="s">
        <v>114</v>
      </c>
      <c r="S26" s="17" t="s">
        <v>121</v>
      </c>
      <c r="T26" s="37" t="s">
        <v>115</v>
      </c>
      <c r="U26" s="17" t="s">
        <v>122</v>
      </c>
      <c r="V26" s="37" t="s">
        <v>110</v>
      </c>
      <c r="W26" s="17" t="s">
        <v>121</v>
      </c>
      <c r="X26" s="37" t="s">
        <v>112</v>
      </c>
      <c r="Y26" s="17" t="s">
        <v>122</v>
      </c>
      <c r="Z26" s="37" t="s">
        <v>114</v>
      </c>
      <c r="AA26" s="17" t="s">
        <v>121</v>
      </c>
      <c r="AB26" s="37" t="s">
        <v>115</v>
      </c>
      <c r="AC26" s="17" t="s">
        <v>122</v>
      </c>
      <c r="AD26" s="37" t="s">
        <v>110</v>
      </c>
      <c r="AE26" s="17" t="s">
        <v>121</v>
      </c>
      <c r="AF26" s="37" t="s">
        <v>112</v>
      </c>
      <c r="AG26" s="17" t="s">
        <v>122</v>
      </c>
      <c r="AH26" s="37" t="s">
        <v>114</v>
      </c>
      <c r="AI26" s="17" t="s">
        <v>121</v>
      </c>
      <c r="AJ26" s="37" t="s">
        <v>115</v>
      </c>
      <c r="AK26" s="17" t="s">
        <v>122</v>
      </c>
      <c r="AL26" s="37" t="s">
        <v>110</v>
      </c>
      <c r="AM26" s="17" t="s">
        <v>121</v>
      </c>
      <c r="AN26" s="37" t="s">
        <v>112</v>
      </c>
      <c r="AO26" s="17" t="s">
        <v>122</v>
      </c>
      <c r="AP26" s="37" t="s">
        <v>114</v>
      </c>
      <c r="AQ26" s="17" t="s">
        <v>121</v>
      </c>
    </row>
    <row r="27" spans="1:43" x14ac:dyDescent="0.25">
      <c r="A27"/>
      <c r="B27"/>
      <c r="C27"/>
      <c r="D27"/>
      <c r="E27"/>
      <c r="F27"/>
      <c r="G27"/>
      <c r="H27"/>
      <c r="I27"/>
      <c r="K27" s="12">
        <v>25</v>
      </c>
      <c r="L27" s="38" t="s">
        <v>115</v>
      </c>
      <c r="M27" s="17" t="s">
        <v>118</v>
      </c>
      <c r="N27" s="38" t="s">
        <v>110</v>
      </c>
      <c r="O27" s="52" t="s">
        <v>81</v>
      </c>
      <c r="P27" s="38" t="s">
        <v>112</v>
      </c>
      <c r="Q27" s="17" t="s">
        <v>118</v>
      </c>
      <c r="R27" s="38" t="s">
        <v>114</v>
      </c>
      <c r="S27" s="52" t="s">
        <v>81</v>
      </c>
      <c r="T27" s="38" t="s">
        <v>115</v>
      </c>
      <c r="U27" s="17" t="s">
        <v>81</v>
      </c>
      <c r="V27" s="38" t="s">
        <v>110</v>
      </c>
      <c r="W27" s="52" t="s">
        <v>117</v>
      </c>
      <c r="X27" s="38" t="s">
        <v>112</v>
      </c>
      <c r="Y27" s="17" t="s">
        <v>81</v>
      </c>
      <c r="Z27" s="38" t="s">
        <v>114</v>
      </c>
      <c r="AA27" s="52" t="s">
        <v>117</v>
      </c>
      <c r="AB27" s="38" t="s">
        <v>115</v>
      </c>
      <c r="AC27" s="74" t="s">
        <v>81</v>
      </c>
      <c r="AD27" s="38" t="s">
        <v>110</v>
      </c>
      <c r="AE27" s="52" t="s">
        <v>117</v>
      </c>
      <c r="AF27" s="38" t="s">
        <v>112</v>
      </c>
      <c r="AG27" s="74" t="s">
        <v>81</v>
      </c>
      <c r="AH27" s="38" t="s">
        <v>114</v>
      </c>
      <c r="AI27" s="52" t="s">
        <v>117</v>
      </c>
      <c r="AJ27" s="38" t="s">
        <v>115</v>
      </c>
      <c r="AK27" s="75" t="s">
        <v>81</v>
      </c>
      <c r="AL27" s="38" t="s">
        <v>110</v>
      </c>
      <c r="AM27" s="52" t="s">
        <v>117</v>
      </c>
      <c r="AN27" s="38" t="s">
        <v>112</v>
      </c>
      <c r="AO27" s="75" t="s">
        <v>81</v>
      </c>
      <c r="AP27" s="38" t="s">
        <v>114</v>
      </c>
      <c r="AQ27" s="52" t="s">
        <v>117</v>
      </c>
    </row>
    <row r="28" spans="1:43" x14ac:dyDescent="0.25">
      <c r="A28" s="7" t="s">
        <v>124</v>
      </c>
      <c r="B28" s="43">
        <v>45572</v>
      </c>
      <c r="C28"/>
      <c r="D28"/>
      <c r="E28"/>
      <c r="F28"/>
      <c r="G28"/>
      <c r="H28"/>
      <c r="I28"/>
      <c r="L28" s="19"/>
      <c r="M28" s="34" t="s">
        <v>125</v>
      </c>
      <c r="N28" s="19"/>
      <c r="O28" s="34" t="s">
        <v>125</v>
      </c>
      <c r="P28" s="19"/>
      <c r="Q28" s="34" t="s">
        <v>125</v>
      </c>
      <c r="R28" s="19"/>
      <c r="S28" s="34" t="s">
        <v>125</v>
      </c>
      <c r="T28" s="19"/>
      <c r="U28" s="34" t="s">
        <v>125</v>
      </c>
      <c r="V28" s="19"/>
      <c r="W28" s="34" t="s">
        <v>125</v>
      </c>
      <c r="X28" s="19"/>
      <c r="Y28" s="34" t="s">
        <v>125</v>
      </c>
      <c r="Z28" s="19"/>
      <c r="AA28" s="34" t="s">
        <v>125</v>
      </c>
      <c r="AB28" s="19"/>
      <c r="AC28" s="34" t="s">
        <v>125</v>
      </c>
      <c r="AD28" s="19"/>
      <c r="AE28" s="34" t="s">
        <v>125</v>
      </c>
      <c r="AF28" s="19"/>
      <c r="AG28" s="34" t="s">
        <v>125</v>
      </c>
      <c r="AH28" s="19"/>
      <c r="AI28" s="34" t="s">
        <v>125</v>
      </c>
      <c r="AJ28" s="19"/>
      <c r="AK28" s="34" t="s">
        <v>125</v>
      </c>
      <c r="AL28" s="19"/>
      <c r="AM28" s="34" t="s">
        <v>125</v>
      </c>
      <c r="AN28" s="19"/>
      <c r="AO28" s="34" t="s">
        <v>125</v>
      </c>
      <c r="AP28" s="19"/>
      <c r="AQ28" s="34" t="s">
        <v>125</v>
      </c>
    </row>
    <row r="29" spans="1:43" x14ac:dyDescent="0.25">
      <c r="A29" s="7" t="s">
        <v>126</v>
      </c>
      <c r="B29" s="43">
        <v>45572</v>
      </c>
      <c r="C29"/>
      <c r="D29"/>
      <c r="E29"/>
      <c r="F29"/>
      <c r="G29"/>
      <c r="H29"/>
      <c r="I29"/>
      <c r="J29"/>
    </row>
    <row r="30" spans="1:43" x14ac:dyDescent="0.25">
      <c r="A30" s="7" t="s">
        <v>127</v>
      </c>
      <c r="B30" s="43">
        <v>45618</v>
      </c>
      <c r="C30"/>
      <c r="D30"/>
      <c r="E30"/>
      <c r="F30"/>
      <c r="G30"/>
      <c r="H30"/>
      <c r="I30"/>
      <c r="J30"/>
    </row>
    <row r="31" spans="1:43" x14ac:dyDescent="0.25">
      <c r="A31" s="7" t="s">
        <v>128</v>
      </c>
      <c r="B31" s="43">
        <v>45572</v>
      </c>
      <c r="C31"/>
      <c r="D31"/>
      <c r="E31"/>
      <c r="I31"/>
      <c r="J31"/>
    </row>
    <row r="32" spans="1:43" x14ac:dyDescent="0.25">
      <c r="A32" s="7" t="s">
        <v>129</v>
      </c>
      <c r="B32" s="43">
        <v>45597</v>
      </c>
      <c r="C32"/>
      <c r="D32"/>
      <c r="E32"/>
      <c r="I32"/>
      <c r="J32"/>
    </row>
    <row r="33" spans="1:19" x14ac:dyDescent="0.25">
      <c r="A33" s="7" t="s">
        <v>130</v>
      </c>
      <c r="B33" s="43">
        <v>45597</v>
      </c>
      <c r="C33"/>
      <c r="D33"/>
      <c r="E33"/>
      <c r="I33"/>
      <c r="J33" s="36" t="s">
        <v>131</v>
      </c>
      <c r="L33" s="31"/>
      <c r="M33" s="32" t="s">
        <v>104</v>
      </c>
      <c r="N33" s="31"/>
      <c r="O33" s="32" t="s">
        <v>108</v>
      </c>
      <c r="P33" s="41"/>
      <c r="Q33" s="41" t="s">
        <v>116</v>
      </c>
      <c r="R33" s="31"/>
      <c r="S33" s="32" t="s">
        <v>120</v>
      </c>
    </row>
    <row r="34" spans="1:19" ht="15.75" customHeight="1" x14ac:dyDescent="0.25">
      <c r="A34" s="7" t="s">
        <v>132</v>
      </c>
      <c r="B34" s="43" t="s">
        <v>133</v>
      </c>
      <c r="C34"/>
      <c r="I34"/>
      <c r="J34"/>
      <c r="K34" s="12">
        <v>2</v>
      </c>
      <c r="L34" s="23" t="s">
        <v>134</v>
      </c>
      <c r="M34" s="49" t="s">
        <v>135</v>
      </c>
      <c r="N34" s="23" t="s">
        <v>134</v>
      </c>
      <c r="O34" s="49" t="s">
        <v>135</v>
      </c>
      <c r="P34" s="23" t="s">
        <v>134</v>
      </c>
      <c r="Q34" s="16" t="s">
        <v>136</v>
      </c>
      <c r="R34" s="23" t="s">
        <v>134</v>
      </c>
      <c r="S34" s="16" t="s">
        <v>135</v>
      </c>
    </row>
    <row r="35" spans="1:19" x14ac:dyDescent="0.25">
      <c r="A35" s="7" t="s">
        <v>137</v>
      </c>
      <c r="B35" s="43">
        <v>45618</v>
      </c>
      <c r="C35"/>
      <c r="I35"/>
      <c r="J35"/>
      <c r="K35" s="12">
        <v>3</v>
      </c>
      <c r="L35" s="24" t="s">
        <v>138</v>
      </c>
      <c r="M35" s="17" t="s">
        <v>139</v>
      </c>
      <c r="N35" s="24" t="s">
        <v>138</v>
      </c>
      <c r="O35" s="17" t="s">
        <v>140</v>
      </c>
      <c r="P35" s="24" t="s">
        <v>138</v>
      </c>
      <c r="Q35" s="17" t="s">
        <v>141</v>
      </c>
      <c r="R35" s="24" t="s">
        <v>138</v>
      </c>
      <c r="S35" s="17" t="s">
        <v>142</v>
      </c>
    </row>
    <row r="36" spans="1:19" ht="15.75" customHeight="1" x14ac:dyDescent="0.25">
      <c r="A36" s="7" t="s">
        <v>143</v>
      </c>
      <c r="B36" s="43">
        <v>45618</v>
      </c>
      <c r="C36"/>
      <c r="I36"/>
      <c r="J36"/>
      <c r="K36" s="12">
        <v>4</v>
      </c>
      <c r="L36" s="24" t="s">
        <v>144</v>
      </c>
      <c r="M36" s="17" t="s">
        <v>145</v>
      </c>
      <c r="N36" s="24" t="s">
        <v>144</v>
      </c>
      <c r="O36" s="17" t="s">
        <v>146</v>
      </c>
      <c r="P36" s="24" t="s">
        <v>144</v>
      </c>
      <c r="Q36" s="17" t="s">
        <v>147</v>
      </c>
      <c r="R36" s="24" t="s">
        <v>144</v>
      </c>
      <c r="S36" s="17" t="s">
        <v>148</v>
      </c>
    </row>
    <row r="37" spans="1:19" ht="15.75" customHeight="1" x14ac:dyDescent="0.25">
      <c r="A37"/>
      <c r="B37"/>
      <c r="C37"/>
      <c r="J37"/>
      <c r="K37" s="12">
        <v>5</v>
      </c>
      <c r="L37" s="24" t="s">
        <v>149</v>
      </c>
      <c r="M37" s="17" t="s">
        <v>150</v>
      </c>
      <c r="N37" s="24" t="s">
        <v>149</v>
      </c>
      <c r="O37" s="17" t="s">
        <v>151</v>
      </c>
      <c r="P37" s="24" t="s">
        <v>149</v>
      </c>
      <c r="Q37" s="17" t="s">
        <v>152</v>
      </c>
      <c r="R37" s="24" t="s">
        <v>149</v>
      </c>
      <c r="S37" s="17" t="s">
        <v>153</v>
      </c>
    </row>
    <row r="38" spans="1:19" ht="16.5" customHeight="1" x14ac:dyDescent="0.25">
      <c r="A38" s="83" t="s">
        <v>396</v>
      </c>
      <c r="B38"/>
      <c r="C38"/>
      <c r="J38"/>
      <c r="K38" s="12">
        <v>6</v>
      </c>
      <c r="L38" s="24" t="s">
        <v>154</v>
      </c>
      <c r="M38" s="17" t="s">
        <v>152</v>
      </c>
      <c r="N38" s="24" t="s">
        <v>154</v>
      </c>
      <c r="O38" s="17" t="s">
        <v>152</v>
      </c>
      <c r="P38" s="24" t="s">
        <v>154</v>
      </c>
      <c r="Q38" s="50" t="s">
        <v>155</v>
      </c>
      <c r="R38" s="24" t="s">
        <v>154</v>
      </c>
      <c r="S38" s="17" t="s">
        <v>152</v>
      </c>
    </row>
    <row r="39" spans="1:19" x14ac:dyDescent="0.25">
      <c r="A39"/>
      <c r="B39"/>
      <c r="C39"/>
      <c r="J39"/>
      <c r="K39" s="12">
        <v>7</v>
      </c>
      <c r="L39" s="24" t="s">
        <v>156</v>
      </c>
      <c r="M39" s="17" t="s">
        <v>157</v>
      </c>
      <c r="N39" s="24" t="s">
        <v>156</v>
      </c>
      <c r="O39" s="17" t="s">
        <v>158</v>
      </c>
      <c r="P39" s="24" t="s">
        <v>156</v>
      </c>
      <c r="Q39" s="17" t="s">
        <v>159</v>
      </c>
      <c r="R39" s="24" t="s">
        <v>156</v>
      </c>
      <c r="S39" s="17" t="s">
        <v>160</v>
      </c>
    </row>
    <row r="40" spans="1:19" x14ac:dyDescent="0.25">
      <c r="A40"/>
      <c r="B40"/>
      <c r="C40"/>
      <c r="J40"/>
      <c r="K40" s="12">
        <v>8</v>
      </c>
      <c r="L40" s="24" t="s">
        <v>161</v>
      </c>
      <c r="M40" s="17" t="s">
        <v>162</v>
      </c>
      <c r="N40" s="24" t="s">
        <v>161</v>
      </c>
      <c r="O40" s="50" t="s">
        <v>163</v>
      </c>
      <c r="P40" s="24" t="s">
        <v>161</v>
      </c>
      <c r="Q40" s="17" t="s">
        <v>164</v>
      </c>
      <c r="R40" s="24" t="s">
        <v>161</v>
      </c>
      <c r="S40" s="17" t="s">
        <v>165</v>
      </c>
    </row>
    <row r="41" spans="1:19" x14ac:dyDescent="0.25">
      <c r="A41"/>
      <c r="B41"/>
      <c r="C41"/>
      <c r="F41"/>
      <c r="G41"/>
      <c r="H41"/>
      <c r="J41"/>
      <c r="K41" s="12">
        <v>9</v>
      </c>
      <c r="L41" s="24" t="s">
        <v>166</v>
      </c>
      <c r="M41" s="17" t="s">
        <v>167</v>
      </c>
      <c r="N41" s="24" t="s">
        <v>166</v>
      </c>
      <c r="O41" s="17" t="s">
        <v>168</v>
      </c>
      <c r="P41" s="24" t="s">
        <v>166</v>
      </c>
      <c r="Q41" s="17" t="s">
        <v>152</v>
      </c>
      <c r="R41" s="24"/>
      <c r="S41" s="17" t="s">
        <v>167</v>
      </c>
    </row>
    <row r="42" spans="1:19" x14ac:dyDescent="0.25">
      <c r="A42"/>
      <c r="B42"/>
      <c r="C42"/>
      <c r="D42"/>
      <c r="E42"/>
      <c r="F42"/>
      <c r="G42"/>
      <c r="H42"/>
      <c r="J42"/>
      <c r="K42" s="12">
        <v>10</v>
      </c>
      <c r="L42" s="24"/>
      <c r="M42" s="17"/>
      <c r="N42" s="24"/>
      <c r="O42" s="17"/>
      <c r="P42" s="37" t="s">
        <v>169</v>
      </c>
      <c r="Q42" s="17" t="s">
        <v>170</v>
      </c>
      <c r="R42" s="24"/>
      <c r="S42" s="17"/>
    </row>
    <row r="43" spans="1:19" x14ac:dyDescent="0.25">
      <c r="A43"/>
      <c r="B43"/>
      <c r="C43"/>
      <c r="D43"/>
      <c r="E43"/>
      <c r="F43"/>
      <c r="G43"/>
      <c r="H43"/>
      <c r="J43"/>
      <c r="K43" s="12">
        <v>11</v>
      </c>
      <c r="L43" s="24"/>
      <c r="M43" s="17"/>
      <c r="N43" s="24"/>
      <c r="O43" s="17"/>
      <c r="P43" s="37" t="s">
        <v>171</v>
      </c>
      <c r="Q43" s="17" t="s">
        <v>172</v>
      </c>
      <c r="R43" s="24"/>
      <c r="S43" s="17"/>
    </row>
    <row r="44" spans="1:19" x14ac:dyDescent="0.25">
      <c r="A44"/>
      <c r="B44"/>
      <c r="C44"/>
      <c r="D44"/>
      <c r="E44"/>
      <c r="F44"/>
      <c r="G44"/>
      <c r="H44"/>
      <c r="J44"/>
      <c r="K44" s="12">
        <v>12</v>
      </c>
      <c r="L44" s="24"/>
      <c r="M44" s="17"/>
      <c r="N44" s="24"/>
      <c r="O44" s="17"/>
      <c r="P44" s="37" t="s">
        <v>173</v>
      </c>
      <c r="Q44" s="17" t="s">
        <v>174</v>
      </c>
      <c r="R44" s="24"/>
      <c r="S44" s="17"/>
    </row>
    <row r="45" spans="1:19" x14ac:dyDescent="0.25">
      <c r="A45"/>
      <c r="B45"/>
      <c r="C45"/>
      <c r="D45"/>
      <c r="E45"/>
      <c r="F45"/>
      <c r="G45"/>
      <c r="H45"/>
      <c r="J45"/>
      <c r="K45" s="12">
        <v>13</v>
      </c>
      <c r="L45" s="24"/>
      <c r="M45" s="17"/>
      <c r="N45" s="24"/>
      <c r="O45" s="17"/>
      <c r="P45" s="37" t="s">
        <v>175</v>
      </c>
      <c r="Q45" s="17" t="s">
        <v>391</v>
      </c>
      <c r="R45" s="24"/>
      <c r="S45" s="17"/>
    </row>
    <row r="46" spans="1:19" x14ac:dyDescent="0.25">
      <c r="A46"/>
      <c r="B46"/>
      <c r="C46"/>
      <c r="D46"/>
      <c r="E46"/>
      <c r="F46"/>
      <c r="G46"/>
      <c r="H46"/>
      <c r="J46"/>
      <c r="K46" s="12">
        <v>14</v>
      </c>
      <c r="L46" s="24"/>
      <c r="M46" s="17"/>
      <c r="N46" s="24"/>
      <c r="O46" s="17"/>
      <c r="P46" s="37" t="s">
        <v>177</v>
      </c>
      <c r="Q46" s="17" t="s">
        <v>167</v>
      </c>
      <c r="R46" s="24"/>
      <c r="S46" s="17"/>
    </row>
    <row r="47" spans="1:19" x14ac:dyDescent="0.25">
      <c r="A47"/>
      <c r="B47"/>
      <c r="C47"/>
      <c r="D47"/>
      <c r="E47"/>
      <c r="F47"/>
      <c r="G47"/>
      <c r="H47"/>
      <c r="I47"/>
      <c r="J47"/>
      <c r="K47" s="12">
        <v>15</v>
      </c>
      <c r="L47" s="24"/>
      <c r="M47" s="17"/>
      <c r="N47" s="24"/>
      <c r="O47" s="17"/>
      <c r="P47" s="37" t="s">
        <v>178</v>
      </c>
      <c r="Q47" s="17" t="s">
        <v>394</v>
      </c>
      <c r="R47" s="24"/>
      <c r="S47" s="17"/>
    </row>
    <row r="48" spans="1:19" x14ac:dyDescent="0.25">
      <c r="A48"/>
      <c r="B48"/>
      <c r="C48"/>
      <c r="D48"/>
      <c r="E48"/>
      <c r="F48"/>
      <c r="G48"/>
      <c r="H48"/>
      <c r="I48"/>
      <c r="J48"/>
      <c r="K48" s="12">
        <v>16</v>
      </c>
      <c r="L48" s="24"/>
      <c r="M48" s="33"/>
      <c r="N48" s="24"/>
      <c r="O48" s="17"/>
      <c r="P48" s="37" t="s">
        <v>180</v>
      </c>
      <c r="Q48" s="17"/>
      <c r="R48" s="24"/>
      <c r="S48" s="17"/>
    </row>
    <row r="49" spans="1:19" x14ac:dyDescent="0.25">
      <c r="A49"/>
      <c r="B49"/>
      <c r="C49"/>
      <c r="D49"/>
      <c r="E49"/>
      <c r="F49"/>
      <c r="G49"/>
      <c r="H49"/>
      <c r="I49"/>
      <c r="J49"/>
      <c r="K49" s="12">
        <v>17</v>
      </c>
      <c r="L49" s="25"/>
      <c r="M49" s="30"/>
      <c r="N49" s="25"/>
      <c r="O49" s="30"/>
      <c r="P49" s="38" t="s">
        <v>181</v>
      </c>
      <c r="Q49" s="30"/>
      <c r="R49" s="25"/>
      <c r="S49" s="30"/>
    </row>
    <row r="50" spans="1:19" x14ac:dyDescent="0.25">
      <c r="A50"/>
      <c r="B50"/>
      <c r="C50"/>
      <c r="D50"/>
      <c r="E50"/>
      <c r="F50"/>
      <c r="G50"/>
      <c r="H50"/>
      <c r="I50"/>
      <c r="Q50" t="s">
        <v>182</v>
      </c>
    </row>
    <row r="51" spans="1:19" x14ac:dyDescent="0.25">
      <c r="A51"/>
      <c r="B51"/>
      <c r="C51"/>
      <c r="D51"/>
      <c r="E51"/>
      <c r="F51"/>
      <c r="G51"/>
      <c r="H51"/>
      <c r="I51"/>
    </row>
    <row r="52" spans="1:19" x14ac:dyDescent="0.25">
      <c r="A52"/>
      <c r="B52"/>
      <c r="C52"/>
      <c r="D52"/>
      <c r="E52"/>
      <c r="F52"/>
      <c r="G52"/>
      <c r="H52"/>
      <c r="I52"/>
    </row>
    <row r="53" spans="1:19" x14ac:dyDescent="0.25">
      <c r="A53"/>
      <c r="B53"/>
      <c r="C53"/>
      <c r="D53"/>
      <c r="E53"/>
      <c r="F53"/>
      <c r="G53"/>
      <c r="H53"/>
      <c r="I53"/>
      <c r="J53"/>
    </row>
    <row r="54" spans="1:19" x14ac:dyDescent="0.25">
      <c r="A54"/>
      <c r="B54"/>
      <c r="C54"/>
      <c r="D54"/>
      <c r="E54"/>
      <c r="F54"/>
      <c r="G54"/>
      <c r="H54"/>
      <c r="I54"/>
      <c r="J54"/>
    </row>
    <row r="55" spans="1:19" x14ac:dyDescent="0.25">
      <c r="I55"/>
      <c r="J55"/>
    </row>
    <row r="56" spans="1:19" ht="24.75" customHeight="1" x14ac:dyDescent="0.25">
      <c r="I56"/>
      <c r="J56"/>
    </row>
    <row r="57" spans="1:19" ht="22.5" customHeight="1" x14ac:dyDescent="0.25">
      <c r="I57"/>
      <c r="J57"/>
    </row>
    <row r="58" spans="1:19" x14ac:dyDescent="0.25">
      <c r="I58"/>
      <c r="J58"/>
    </row>
    <row r="59" spans="1:19" x14ac:dyDescent="0.25">
      <c r="I59"/>
      <c r="J59"/>
    </row>
    <row r="60" spans="1:19" x14ac:dyDescent="0.25">
      <c r="I60"/>
      <c r="J60"/>
    </row>
    <row r="61" spans="1:19" x14ac:dyDescent="0.25">
      <c r="J61"/>
    </row>
    <row r="62" spans="1:19" x14ac:dyDescent="0.25">
      <c r="J62"/>
    </row>
    <row r="63" spans="1:19" x14ac:dyDescent="0.25">
      <c r="J63"/>
    </row>
    <row r="64" spans="1:19" x14ac:dyDescent="0.25">
      <c r="J64"/>
    </row>
    <row r="65" spans="10:10" x14ac:dyDescent="0.25">
      <c r="J65"/>
    </row>
    <row r="66" spans="10:10" x14ac:dyDescent="0.25">
      <c r="J66"/>
    </row>
  </sheetData>
  <conditionalFormatting sqref="L4:AQ27">
    <cfRule type="cellIs" dxfId="21" priority="1" operator="equal">
      <formula>"Spec"</formula>
    </cfRule>
  </conditionalFormatting>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5"/>
  <sheetViews>
    <sheetView zoomScale="85" zoomScaleNormal="85" workbookViewId="0">
      <pane ySplit="2" topLeftCell="A27" activePane="bottomLeft" state="frozen"/>
      <selection activeCell="A38" sqref="A38"/>
      <selection pane="bottomLeft" activeCell="A38" sqref="A38"/>
    </sheetView>
  </sheetViews>
  <sheetFormatPr defaultRowHeight="15.75" x14ac:dyDescent="0.25"/>
  <cols>
    <col min="1" max="1" width="13.875" bestFit="1" customWidth="1"/>
    <col min="2" max="2" width="6.25" style="2" customWidth="1"/>
    <col min="3" max="3" width="9.875" bestFit="1" customWidth="1"/>
    <col min="4" max="4" width="69.125" bestFit="1" customWidth="1"/>
    <col min="5" max="5" width="9.375" style="2" bestFit="1" customWidth="1"/>
    <col min="6" max="6" width="31.5" bestFit="1" customWidth="1"/>
    <col min="7" max="10" width="6.25" bestFit="1" customWidth="1"/>
    <col min="11" max="11" width="44" customWidth="1"/>
    <col min="12" max="15" width="6.25" style="2" bestFit="1" customWidth="1"/>
    <col min="16" max="16" width="6.25" bestFit="1" customWidth="1"/>
    <col min="17" max="17" width="6" bestFit="1" customWidth="1"/>
    <col min="18" max="21" width="6.5" bestFit="1" customWidth="1"/>
  </cols>
  <sheetData>
    <row r="1" spans="1:17" x14ac:dyDescent="0.25">
      <c r="A1" s="15">
        <f>COLUMN()</f>
        <v>1</v>
      </c>
      <c r="B1" s="15">
        <f>COLUMN()</f>
        <v>2</v>
      </c>
      <c r="C1" s="15">
        <f>COLUMN()</f>
        <v>3</v>
      </c>
      <c r="D1" s="15">
        <f>COLUMN()</f>
        <v>4</v>
      </c>
      <c r="E1" s="15">
        <f>COLUMN()</f>
        <v>5</v>
      </c>
      <c r="F1" s="15">
        <f>COLUMN()</f>
        <v>6</v>
      </c>
      <c r="G1" s="15">
        <f>COLUMN()</f>
        <v>7</v>
      </c>
      <c r="H1" s="15">
        <f>COLUMN()</f>
        <v>8</v>
      </c>
      <c r="I1" s="15">
        <f>COLUMN()</f>
        <v>9</v>
      </c>
      <c r="J1" s="15">
        <f>COLUMN()</f>
        <v>10</v>
      </c>
      <c r="K1" s="15">
        <f>COLUMN()</f>
        <v>11</v>
      </c>
      <c r="L1" s="15">
        <f>COLUMN()</f>
        <v>12</v>
      </c>
      <c r="M1" s="15">
        <f>COLUMN()</f>
        <v>13</v>
      </c>
      <c r="N1" s="15">
        <f>COLUMN()</f>
        <v>14</v>
      </c>
      <c r="O1" s="15">
        <f>COLUMN()</f>
        <v>15</v>
      </c>
      <c r="P1" s="15">
        <f>COLUMN()</f>
        <v>16</v>
      </c>
    </row>
    <row r="2" spans="1:17" ht="74.25" x14ac:dyDescent="0.25">
      <c r="A2" s="55" t="s">
        <v>0</v>
      </c>
      <c r="B2" s="55" t="s">
        <v>1</v>
      </c>
      <c r="C2" s="55" t="s">
        <v>2</v>
      </c>
      <c r="D2" s="55" t="s">
        <v>183</v>
      </c>
      <c r="E2" s="55" t="s">
        <v>5</v>
      </c>
      <c r="F2" s="55" t="s">
        <v>184</v>
      </c>
      <c r="G2" s="56" t="s">
        <v>24</v>
      </c>
      <c r="H2" s="56" t="s">
        <v>25</v>
      </c>
      <c r="I2" s="56" t="s">
        <v>26</v>
      </c>
      <c r="J2" s="56" t="s">
        <v>27</v>
      </c>
      <c r="K2" s="55" t="s">
        <v>185</v>
      </c>
      <c r="L2" s="56" t="s">
        <v>71</v>
      </c>
      <c r="M2" s="56" t="s">
        <v>104</v>
      </c>
      <c r="N2" s="56" t="s">
        <v>108</v>
      </c>
      <c r="O2" s="56" t="s">
        <v>116</v>
      </c>
      <c r="P2" s="56" t="s">
        <v>120</v>
      </c>
      <c r="Q2" s="3"/>
    </row>
    <row r="3" spans="1:17" x14ac:dyDescent="0.25">
      <c r="A3" s="4" t="s">
        <v>186</v>
      </c>
      <c r="B3" s="29"/>
      <c r="C3" s="29"/>
      <c r="D3" s="4" t="s">
        <v>187</v>
      </c>
      <c r="E3" s="29"/>
      <c r="F3" s="57"/>
      <c r="G3" s="58" t="str">
        <f>IFERROR(IF(VLOOKUP(TableHandbook[[#This Row],[UDC]],TableAvailabilities[],2,FALSE)&gt;0,"Y",""),"")</f>
        <v/>
      </c>
      <c r="H3" s="58" t="str">
        <f>IFERROR(IF(VLOOKUP(TableHandbook[[#This Row],[UDC]],TableAvailabilities[],3,FALSE)&gt;0,"Y",""),"")</f>
        <v/>
      </c>
      <c r="I3" s="58" t="str">
        <f>IFERROR(IF(VLOOKUP(TableHandbook[[#This Row],[UDC]],TableAvailabilities[],4,FALSE)&gt;0,"Y",""),"")</f>
        <v/>
      </c>
      <c r="J3" s="58" t="str">
        <f>IFERROR(IF(VLOOKUP(TableHandbook[[#This Row],[UDC]],TableAvailabilities[],5,FALSE)&gt;0,"Y",""),"")</f>
        <v/>
      </c>
      <c r="K3" s="71"/>
      <c r="L3" s="59" t="str">
        <f>IFERROR(VLOOKUP(TableHandbook[[#This Row],[UDC]],TableOBARCH[],7,FALSE),"")</f>
        <v/>
      </c>
      <c r="M3" s="59" t="str">
        <f>IFERROR(VLOOKUP(TableHandbook[[#This Row],[UDC]],TableOSCUANGAD[],7,FALSE),"")</f>
        <v/>
      </c>
      <c r="N3" s="59" t="str">
        <f>IFERROR(VLOOKUP(TableHandbook[[#This Row],[UDC]],TableOSCUCONMS[],7,FALSE),"")</f>
        <v/>
      </c>
      <c r="O3" s="59" t="str">
        <f>IFERROR(VLOOKUP(TableHandbook[[#This Row],[UDC]],TableOSCUINARS[],7,FALSE),"")</f>
        <v/>
      </c>
      <c r="P3" s="59" t="str">
        <f>IFERROR(VLOOKUP(TableHandbook[[#This Row],[UDC]],TableOSCUPLGEO[],7,FALSE),"")</f>
        <v/>
      </c>
      <c r="Q3" s="3"/>
    </row>
    <row r="4" spans="1:17" x14ac:dyDescent="0.25">
      <c r="A4" s="4" t="s">
        <v>155</v>
      </c>
      <c r="B4" s="29"/>
      <c r="C4" s="29"/>
      <c r="D4" s="4" t="s">
        <v>188</v>
      </c>
      <c r="E4" s="29">
        <v>50</v>
      </c>
      <c r="F4" s="57"/>
      <c r="G4" s="58" t="str">
        <f>IFERROR(IF(VLOOKUP(TableHandbook[[#This Row],[UDC]],TableAvailabilities[],2,FALSE)&gt;0,"Y",""),"")</f>
        <v/>
      </c>
      <c r="H4" s="58" t="str">
        <f>IFERROR(IF(VLOOKUP(TableHandbook[[#This Row],[UDC]],TableAvailabilities[],3,FALSE)&gt;0,"Y",""),"")</f>
        <v/>
      </c>
      <c r="I4" s="58" t="str">
        <f>IFERROR(IF(VLOOKUP(TableHandbook[[#This Row],[UDC]],TableAvailabilities[],4,FALSE)&gt;0,"Y",""),"")</f>
        <v/>
      </c>
      <c r="J4" s="58" t="str">
        <f>IFERROR(IF(VLOOKUP(TableHandbook[[#This Row],[UDC]],TableAvailabilities[],5,FALSE)&gt;0,"Y",""),"")</f>
        <v/>
      </c>
      <c r="K4" s="71"/>
      <c r="L4" s="59" t="str">
        <f>IFERROR(VLOOKUP(TableHandbook[[#This Row],[UDC]],TableOBARCH[],7,FALSE),"")</f>
        <v/>
      </c>
      <c r="M4" s="59" t="str">
        <f>IFERROR(VLOOKUP(TableHandbook[[#This Row],[UDC]],TableOSCUANGAD[],7,FALSE),"")</f>
        <v/>
      </c>
      <c r="N4" s="59" t="str">
        <f>IFERROR(VLOOKUP(TableHandbook[[#This Row],[UDC]],TableOSCUCONMS[],7,FALSE),"")</f>
        <v/>
      </c>
      <c r="O4" s="59" t="str">
        <f>IFERROR(VLOOKUP(TableHandbook[[#This Row],[UDC]],TableOSCUINARS[],7,FALSE),"")</f>
        <v/>
      </c>
      <c r="P4" s="59" t="str">
        <f>IFERROR(VLOOKUP(TableHandbook[[#This Row],[UDC]],TableOSCUPLGEO[],7,FALSE),"")</f>
        <v/>
      </c>
    </row>
    <row r="5" spans="1:17" x14ac:dyDescent="0.25">
      <c r="A5" s="4" t="s">
        <v>135</v>
      </c>
      <c r="B5" s="29"/>
      <c r="C5" s="29"/>
      <c r="D5" s="4" t="s">
        <v>189</v>
      </c>
      <c r="E5" s="29">
        <v>75</v>
      </c>
      <c r="F5" s="57"/>
      <c r="G5" s="58" t="str">
        <f>IFERROR(IF(VLOOKUP(TableHandbook[[#This Row],[UDC]],TableAvailabilities[],2,FALSE)&gt;0,"Y",""),"")</f>
        <v/>
      </c>
      <c r="H5" s="58" t="str">
        <f>IFERROR(IF(VLOOKUP(TableHandbook[[#This Row],[UDC]],TableAvailabilities[],3,FALSE)&gt;0,"Y",""),"")</f>
        <v/>
      </c>
      <c r="I5" s="58" t="str">
        <f>IFERROR(IF(VLOOKUP(TableHandbook[[#This Row],[UDC]],TableAvailabilities[],4,FALSE)&gt;0,"Y",""),"")</f>
        <v/>
      </c>
      <c r="J5" s="58" t="str">
        <f>IFERROR(IF(VLOOKUP(TableHandbook[[#This Row],[UDC]],TableAvailabilities[],5,FALSE)&gt;0,"Y",""),"")</f>
        <v/>
      </c>
      <c r="K5" s="71"/>
      <c r="L5" s="59" t="str">
        <f>IFERROR(VLOOKUP(TableHandbook[[#This Row],[UDC]],TableOBARCH[],7,FALSE),"")</f>
        <v/>
      </c>
      <c r="M5" s="59" t="str">
        <f>IFERROR(VLOOKUP(TableHandbook[[#This Row],[UDC]],TableOSCUANGAD[],7,FALSE),"")</f>
        <v/>
      </c>
      <c r="N5" s="59" t="str">
        <f>IFERROR(VLOOKUP(TableHandbook[[#This Row],[UDC]],TableOSCUCONMS[],7,FALSE),"")</f>
        <v/>
      </c>
      <c r="O5" s="59" t="str">
        <f>IFERROR(VLOOKUP(TableHandbook[[#This Row],[UDC]],TableOSCUINARS[],7,FALSE),"")</f>
        <v/>
      </c>
      <c r="P5" s="59" t="str">
        <f>IFERROR(VLOOKUP(TableHandbook[[#This Row],[UDC]],TableOSCUPLGEO[],7,FALSE),"")</f>
        <v/>
      </c>
    </row>
    <row r="6" spans="1:17" x14ac:dyDescent="0.25">
      <c r="A6" s="4" t="s">
        <v>157</v>
      </c>
      <c r="B6" s="29">
        <v>0</v>
      </c>
      <c r="C6" s="29"/>
      <c r="D6" s="4" t="s">
        <v>190</v>
      </c>
      <c r="E6" s="29">
        <v>25</v>
      </c>
      <c r="F6" s="57"/>
      <c r="G6" s="58" t="str">
        <f>IFERROR(IF(VLOOKUP(TableHandbook[[#This Row],[UDC]],TableAvailabilities[],2,FALSE)&gt;0,"Y",""),"")</f>
        <v/>
      </c>
      <c r="H6" s="58" t="str">
        <f>IFERROR(IF(VLOOKUP(TableHandbook[[#This Row],[UDC]],TableAvailabilities[],3,FALSE)&gt;0,"Y",""),"")</f>
        <v/>
      </c>
      <c r="I6" s="58" t="str">
        <f>IFERROR(IF(VLOOKUP(TableHandbook[[#This Row],[UDC]],TableAvailabilities[],4,FALSE)&gt;0,"Y",""),"")</f>
        <v/>
      </c>
      <c r="J6" s="58" t="str">
        <f>IFERROR(IF(VLOOKUP(TableHandbook[[#This Row],[UDC]],TableAvailabilities[],5,FALSE)&gt;0,"Y",""),"")</f>
        <v/>
      </c>
      <c r="K6" s="71"/>
      <c r="L6" s="59" t="str">
        <f>IFERROR(VLOOKUP(TableHandbook[[#This Row],[UDC]],TableOBARCH[],7,FALSE),"")</f>
        <v/>
      </c>
      <c r="M6" s="59" t="str">
        <f>IFERROR(VLOOKUP(TableHandbook[[#This Row],[UDC]],TableOSCUANGAD[],7,FALSE),"")</f>
        <v>AltCore</v>
      </c>
      <c r="N6" s="59" t="str">
        <f>IFERROR(VLOOKUP(TableHandbook[[#This Row],[UDC]],TableOSCUCONMS[],7,FALSE),"")</f>
        <v/>
      </c>
      <c r="O6" s="59" t="str">
        <f>IFERROR(VLOOKUP(TableHandbook[[#This Row],[UDC]],TableOSCUINARS[],7,FALSE),"")</f>
        <v/>
      </c>
      <c r="P6" s="59" t="str">
        <f>IFERROR(VLOOKUP(TableHandbook[[#This Row],[UDC]],TableOSCUPLGEO[],7,FALSE),"")</f>
        <v/>
      </c>
    </row>
    <row r="7" spans="1:17" x14ac:dyDescent="0.25">
      <c r="A7" s="4" t="s">
        <v>158</v>
      </c>
      <c r="B7" s="29">
        <v>0</v>
      </c>
      <c r="C7" s="29"/>
      <c r="D7" s="4" t="s">
        <v>191</v>
      </c>
      <c r="E7" s="29">
        <v>25</v>
      </c>
      <c r="F7" s="57"/>
      <c r="G7" s="58" t="str">
        <f>IFERROR(IF(VLOOKUP(TableHandbook[[#This Row],[UDC]],TableAvailabilities[],2,FALSE)&gt;0,"Y",""),"")</f>
        <v/>
      </c>
      <c r="H7" s="58" t="str">
        <f>IFERROR(IF(VLOOKUP(TableHandbook[[#This Row],[UDC]],TableAvailabilities[],3,FALSE)&gt;0,"Y",""),"")</f>
        <v/>
      </c>
      <c r="I7" s="58" t="str">
        <f>IFERROR(IF(VLOOKUP(TableHandbook[[#This Row],[UDC]],TableAvailabilities[],4,FALSE)&gt;0,"Y",""),"")</f>
        <v/>
      </c>
      <c r="J7" s="58" t="str">
        <f>IFERROR(IF(VLOOKUP(TableHandbook[[#This Row],[UDC]],TableAvailabilities[],5,FALSE)&gt;0,"Y",""),"")</f>
        <v/>
      </c>
      <c r="K7" s="71"/>
      <c r="L7" s="59" t="str">
        <f>IFERROR(VLOOKUP(TableHandbook[[#This Row],[UDC]],TableOBARCH[],7,FALSE),"")</f>
        <v/>
      </c>
      <c r="M7" s="59" t="str">
        <f>IFERROR(VLOOKUP(TableHandbook[[#This Row],[UDC]],TableOSCUANGAD[],7,FALSE),"")</f>
        <v/>
      </c>
      <c r="N7" s="59" t="str">
        <f>IFERROR(VLOOKUP(TableHandbook[[#This Row],[UDC]],TableOSCUCONMS[],7,FALSE),"")</f>
        <v>AltCore</v>
      </c>
      <c r="O7" s="59" t="str">
        <f>IFERROR(VLOOKUP(TableHandbook[[#This Row],[UDC]],TableOSCUINARS[],7,FALSE),"")</f>
        <v/>
      </c>
      <c r="P7" s="59" t="str">
        <f>IFERROR(VLOOKUP(TableHandbook[[#This Row],[UDC]],TableOSCUPLGEO[],7,FALSE),"")</f>
        <v/>
      </c>
    </row>
    <row r="8" spans="1:17" x14ac:dyDescent="0.25">
      <c r="A8" s="4" t="s">
        <v>136</v>
      </c>
      <c r="B8" s="29">
        <v>0</v>
      </c>
      <c r="C8" s="29"/>
      <c r="D8" s="4" t="s">
        <v>192</v>
      </c>
      <c r="E8" s="29">
        <v>25</v>
      </c>
      <c r="F8" s="57"/>
      <c r="G8" s="58" t="str">
        <f>IFERROR(IF(VLOOKUP(TableHandbook[[#This Row],[UDC]],TableAvailabilities[],2,FALSE)&gt;0,"Y",""),"")</f>
        <v/>
      </c>
      <c r="H8" s="58" t="str">
        <f>IFERROR(IF(VLOOKUP(TableHandbook[[#This Row],[UDC]],TableAvailabilities[],3,FALSE)&gt;0,"Y",""),"")</f>
        <v/>
      </c>
      <c r="I8" s="58" t="str">
        <f>IFERROR(IF(VLOOKUP(TableHandbook[[#This Row],[UDC]],TableAvailabilities[],4,FALSE)&gt;0,"Y",""),"")</f>
        <v/>
      </c>
      <c r="J8" s="58" t="str">
        <f>IFERROR(IF(VLOOKUP(TableHandbook[[#This Row],[UDC]],TableAvailabilities[],5,FALSE)&gt;0,"Y",""),"")</f>
        <v/>
      </c>
      <c r="K8" s="71"/>
      <c r="L8" s="59" t="str">
        <f>IFERROR(VLOOKUP(TableHandbook[[#This Row],[UDC]],TableOBARCH[],7,FALSE),"")</f>
        <v/>
      </c>
      <c r="M8" s="59" t="str">
        <f>IFERROR(VLOOKUP(TableHandbook[[#This Row],[UDC]],TableOSCUANGAD[],7,FALSE),"")</f>
        <v/>
      </c>
      <c r="N8" s="59" t="str">
        <f>IFERROR(VLOOKUP(TableHandbook[[#This Row],[UDC]],TableOSCUCONMS[],7,FALSE),"")</f>
        <v/>
      </c>
      <c r="O8" s="59" t="str">
        <f>IFERROR(VLOOKUP(TableHandbook[[#This Row],[UDC]],TableOSCUINARS[],7,FALSE),"")</f>
        <v>AltCore</v>
      </c>
      <c r="P8" s="59" t="str">
        <f>IFERROR(VLOOKUP(TableHandbook[[#This Row],[UDC]],TableOSCUPLGEO[],7,FALSE),"")</f>
        <v/>
      </c>
    </row>
    <row r="9" spans="1:17" x14ac:dyDescent="0.25">
      <c r="A9" s="4" t="s">
        <v>160</v>
      </c>
      <c r="B9" s="29">
        <v>0</v>
      </c>
      <c r="C9" s="29"/>
      <c r="D9" s="4" t="s">
        <v>193</v>
      </c>
      <c r="E9" s="29">
        <v>25</v>
      </c>
      <c r="F9" s="57"/>
      <c r="G9" s="58" t="str">
        <f>IFERROR(IF(VLOOKUP(TableHandbook[[#This Row],[UDC]],TableAvailabilities[],2,FALSE)&gt;0,"Y",""),"")</f>
        <v/>
      </c>
      <c r="H9" s="58" t="str">
        <f>IFERROR(IF(VLOOKUP(TableHandbook[[#This Row],[UDC]],TableAvailabilities[],3,FALSE)&gt;0,"Y",""),"")</f>
        <v/>
      </c>
      <c r="I9" s="58" t="str">
        <f>IFERROR(IF(VLOOKUP(TableHandbook[[#This Row],[UDC]],TableAvailabilities[],4,FALSE)&gt;0,"Y",""),"")</f>
        <v/>
      </c>
      <c r="J9" s="58" t="str">
        <f>IFERROR(IF(VLOOKUP(TableHandbook[[#This Row],[UDC]],TableAvailabilities[],5,FALSE)&gt;0,"Y",""),"")</f>
        <v/>
      </c>
      <c r="K9" s="71"/>
      <c r="L9" s="59" t="str">
        <f>IFERROR(VLOOKUP(TableHandbook[[#This Row],[UDC]],TableOBARCH[],7,FALSE),"")</f>
        <v/>
      </c>
      <c r="M9" s="59" t="str">
        <f>IFERROR(VLOOKUP(TableHandbook[[#This Row],[UDC]],TableOSCUANGAD[],7,FALSE),"")</f>
        <v/>
      </c>
      <c r="N9" s="59" t="str">
        <f>IFERROR(VLOOKUP(TableHandbook[[#This Row],[UDC]],TableOSCUCONMS[],7,FALSE),"")</f>
        <v/>
      </c>
      <c r="O9" s="59" t="str">
        <f>IFERROR(VLOOKUP(TableHandbook[[#This Row],[UDC]],TableOSCUINARS[],7,FALSE),"")</f>
        <v/>
      </c>
      <c r="P9" s="59" t="str">
        <f>IFERROR(VLOOKUP(TableHandbook[[#This Row],[UDC]],TableOSCUPLGEO[],7,FALSE),"")</f>
        <v>AltCore</v>
      </c>
    </row>
    <row r="10" spans="1:17" x14ac:dyDescent="0.25">
      <c r="A10" s="4" t="s">
        <v>75</v>
      </c>
      <c r="B10" s="29">
        <v>2</v>
      </c>
      <c r="C10" s="29" t="s">
        <v>194</v>
      </c>
      <c r="D10" s="4" t="s">
        <v>195</v>
      </c>
      <c r="E10" s="29">
        <v>25</v>
      </c>
      <c r="F10" s="57" t="s">
        <v>196</v>
      </c>
      <c r="G10" s="58" t="str">
        <f>IFERROR(IF(VLOOKUP(TableHandbook[[#This Row],[UDC]],TableAvailabilities[],2,FALSE)&gt;0,"Y",""),"")</f>
        <v/>
      </c>
      <c r="H10" s="58" t="str">
        <f>IFERROR(IF(VLOOKUP(TableHandbook[[#This Row],[UDC]],TableAvailabilities[],3,FALSE)&gt;0,"Y",""),"")</f>
        <v>Y</v>
      </c>
      <c r="I10" s="58" t="str">
        <f>IFERROR(IF(VLOOKUP(TableHandbook[[#This Row],[UDC]],TableAvailabilities[],4,FALSE)&gt;0,"Y",""),"")</f>
        <v/>
      </c>
      <c r="J10" s="58" t="str">
        <f>IFERROR(IF(VLOOKUP(TableHandbook[[#This Row],[UDC]],TableAvailabilities[],5,FALSE)&gt;0,"Y",""),"")</f>
        <v>Y</v>
      </c>
      <c r="K10" s="71"/>
      <c r="L10" s="59" t="str">
        <f>IFERROR(VLOOKUP(TableHandbook[[#This Row],[UDC]],TableOBARCH[],7,FALSE),"")</f>
        <v>Core</v>
      </c>
      <c r="M10" s="59" t="str">
        <f>IFERROR(VLOOKUP(TableHandbook[[#This Row],[UDC]],TableOSCUANGAD[],7,FALSE),"")</f>
        <v/>
      </c>
      <c r="N10" s="59" t="str">
        <f>IFERROR(VLOOKUP(TableHandbook[[#This Row],[UDC]],TableOSCUCONMS[],7,FALSE),"")</f>
        <v/>
      </c>
      <c r="O10" s="59" t="str">
        <f>IFERROR(VLOOKUP(TableHandbook[[#This Row],[UDC]],TableOSCUINARS[],7,FALSE),"")</f>
        <v/>
      </c>
      <c r="P10" s="59" t="str">
        <f>IFERROR(VLOOKUP(TableHandbook[[#This Row],[UDC]],TableOSCUPLGEO[],7,FALSE),"")</f>
        <v/>
      </c>
    </row>
    <row r="11" spans="1:17" x14ac:dyDescent="0.25">
      <c r="A11" s="4" t="s">
        <v>56</v>
      </c>
      <c r="B11" s="29">
        <v>3</v>
      </c>
      <c r="C11" s="29" t="s">
        <v>197</v>
      </c>
      <c r="D11" s="4" t="s">
        <v>198</v>
      </c>
      <c r="E11" s="29">
        <v>25</v>
      </c>
      <c r="F11" s="57" t="s">
        <v>196</v>
      </c>
      <c r="G11" s="58" t="str">
        <f>IFERROR(IF(VLOOKUP(TableHandbook[[#This Row],[UDC]],TableAvailabilities[],2,FALSE)&gt;0,"Y",""),"")</f>
        <v>Y</v>
      </c>
      <c r="H11" s="58" t="str">
        <f>IFERROR(IF(VLOOKUP(TableHandbook[[#This Row],[UDC]],TableAvailabilities[],3,FALSE)&gt;0,"Y",""),"")</f>
        <v/>
      </c>
      <c r="I11" s="58" t="str">
        <f>IFERROR(IF(VLOOKUP(TableHandbook[[#This Row],[UDC]],TableAvailabilities[],4,FALSE)&gt;0,"Y",""),"")</f>
        <v>Y</v>
      </c>
      <c r="J11" s="58" t="str">
        <f>IFERROR(IF(VLOOKUP(TableHandbook[[#This Row],[UDC]],TableAvailabilities[],5,FALSE)&gt;0,"Y",""),"")</f>
        <v/>
      </c>
      <c r="K11" s="71"/>
      <c r="L11" s="59" t="str">
        <f>IFERROR(VLOOKUP(TableHandbook[[#This Row],[UDC]],TableOBARCH[],7,FALSE),"")</f>
        <v>Core</v>
      </c>
      <c r="M11" s="59" t="str">
        <f>IFERROR(VLOOKUP(TableHandbook[[#This Row],[UDC]],TableOSCUANGAD[],7,FALSE),"")</f>
        <v/>
      </c>
      <c r="N11" s="59" t="str">
        <f>IFERROR(VLOOKUP(TableHandbook[[#This Row],[UDC]],TableOSCUCONMS[],7,FALSE),"")</f>
        <v/>
      </c>
      <c r="O11" s="59" t="str">
        <f>IFERROR(VLOOKUP(TableHandbook[[#This Row],[UDC]],TableOSCUINARS[],7,FALSE),"")</f>
        <v/>
      </c>
      <c r="P11" s="59" t="str">
        <f>IFERROR(VLOOKUP(TableHandbook[[#This Row],[UDC]],TableOSCUPLGEO[],7,FALSE),"")</f>
        <v/>
      </c>
    </row>
    <row r="12" spans="1:17" x14ac:dyDescent="0.25">
      <c r="A12" s="4" t="s">
        <v>61</v>
      </c>
      <c r="B12" s="29">
        <v>3</v>
      </c>
      <c r="C12" s="29" t="s">
        <v>199</v>
      </c>
      <c r="D12" s="4" t="s">
        <v>200</v>
      </c>
      <c r="E12" s="29">
        <v>25</v>
      </c>
      <c r="F12" s="57" t="s">
        <v>196</v>
      </c>
      <c r="G12" s="58" t="str">
        <f>IFERROR(IF(VLOOKUP(TableHandbook[[#This Row],[UDC]],TableAvailabilities[],2,FALSE)&gt;0,"Y",""),"")</f>
        <v>Y</v>
      </c>
      <c r="H12" s="58" t="str">
        <f>IFERROR(IF(VLOOKUP(TableHandbook[[#This Row],[UDC]],TableAvailabilities[],3,FALSE)&gt;0,"Y",""),"")</f>
        <v/>
      </c>
      <c r="I12" s="58" t="str">
        <f>IFERROR(IF(VLOOKUP(TableHandbook[[#This Row],[UDC]],TableAvailabilities[],4,FALSE)&gt;0,"Y",""),"")</f>
        <v>Y</v>
      </c>
      <c r="J12" s="58" t="str">
        <f>IFERROR(IF(VLOOKUP(TableHandbook[[#This Row],[UDC]],TableAvailabilities[],5,FALSE)&gt;0,"Y",""),"")</f>
        <v/>
      </c>
      <c r="K12" s="71"/>
      <c r="L12" s="59" t="str">
        <f>IFERROR(VLOOKUP(TableHandbook[[#This Row],[UDC]],TableOBARCH[],7,FALSE),"")</f>
        <v>Core</v>
      </c>
      <c r="M12" s="59" t="str">
        <f>IFERROR(VLOOKUP(TableHandbook[[#This Row],[UDC]],TableOSCUANGAD[],7,FALSE),"")</f>
        <v/>
      </c>
      <c r="N12" s="59" t="str">
        <f>IFERROR(VLOOKUP(TableHandbook[[#This Row],[UDC]],TableOSCUCONMS[],7,FALSE),"")</f>
        <v/>
      </c>
      <c r="O12" s="59" t="str">
        <f>IFERROR(VLOOKUP(TableHandbook[[#This Row],[UDC]],TableOSCUINARS[],7,FALSE),"")</f>
        <v/>
      </c>
      <c r="P12" s="59" t="str">
        <f>IFERROR(VLOOKUP(TableHandbook[[#This Row],[UDC]],TableOSCUPLGEO[],7,FALSE),"")</f>
        <v/>
      </c>
    </row>
    <row r="13" spans="1:17" x14ac:dyDescent="0.25">
      <c r="A13" s="4" t="s">
        <v>58</v>
      </c>
      <c r="B13" s="29">
        <v>3</v>
      </c>
      <c r="C13" s="29" t="s">
        <v>201</v>
      </c>
      <c r="D13" s="4" t="s">
        <v>202</v>
      </c>
      <c r="E13" s="29">
        <v>25</v>
      </c>
      <c r="F13" s="57" t="s">
        <v>196</v>
      </c>
      <c r="G13" s="58" t="str">
        <f>IFERROR(IF(VLOOKUP(TableHandbook[[#This Row],[UDC]],TableAvailabilities[],2,FALSE)&gt;0,"Y",""),"")</f>
        <v/>
      </c>
      <c r="H13" s="58" t="str">
        <f>IFERROR(IF(VLOOKUP(TableHandbook[[#This Row],[UDC]],TableAvailabilities[],3,FALSE)&gt;0,"Y",""),"")</f>
        <v>Y</v>
      </c>
      <c r="I13" s="58" t="str">
        <f>IFERROR(IF(VLOOKUP(TableHandbook[[#This Row],[UDC]],TableAvailabilities[],4,FALSE)&gt;0,"Y",""),"")</f>
        <v/>
      </c>
      <c r="J13" s="58" t="str">
        <f>IFERROR(IF(VLOOKUP(TableHandbook[[#This Row],[UDC]],TableAvailabilities[],5,FALSE)&gt;0,"Y",""),"")</f>
        <v>Y</v>
      </c>
      <c r="K13" s="71"/>
      <c r="L13" s="59" t="str">
        <f>IFERROR(VLOOKUP(TableHandbook[[#This Row],[UDC]],TableOBARCH[],7,FALSE),"")</f>
        <v>Core</v>
      </c>
      <c r="M13" s="59" t="str">
        <f>IFERROR(VLOOKUP(TableHandbook[[#This Row],[UDC]],TableOSCUANGAD[],7,FALSE),"")</f>
        <v/>
      </c>
      <c r="N13" s="59" t="str">
        <f>IFERROR(VLOOKUP(TableHandbook[[#This Row],[UDC]],TableOSCUCONMS[],7,FALSE),"")</f>
        <v/>
      </c>
      <c r="O13" s="59" t="str">
        <f>IFERROR(VLOOKUP(TableHandbook[[#This Row],[UDC]],TableOSCUINARS[],7,FALSE),"")</f>
        <v/>
      </c>
      <c r="P13" s="59" t="str">
        <f>IFERROR(VLOOKUP(TableHandbook[[#This Row],[UDC]],TableOSCUPLGEO[],7,FALSE),"")</f>
        <v/>
      </c>
    </row>
    <row r="14" spans="1:17" x14ac:dyDescent="0.25">
      <c r="A14" s="4" t="s">
        <v>79</v>
      </c>
      <c r="B14" s="29">
        <v>3</v>
      </c>
      <c r="C14" s="29" t="s">
        <v>203</v>
      </c>
      <c r="D14" s="4" t="s">
        <v>204</v>
      </c>
      <c r="E14" s="29">
        <v>25</v>
      </c>
      <c r="F14" s="73" t="s">
        <v>205</v>
      </c>
      <c r="G14" s="58" t="str">
        <f>IFERROR(IF(VLOOKUP(TableHandbook[[#This Row],[UDC]],TableAvailabilities[],2,FALSE)&gt;0,"Y",""),"")</f>
        <v/>
      </c>
      <c r="H14" s="58" t="str">
        <f>IFERROR(IF(VLOOKUP(TableHandbook[[#This Row],[UDC]],TableAvailabilities[],3,FALSE)&gt;0,"Y",""),"")</f>
        <v>Y</v>
      </c>
      <c r="I14" s="58" t="str">
        <f>IFERROR(IF(VLOOKUP(TableHandbook[[#This Row],[UDC]],TableAvailabilities[],4,FALSE)&gt;0,"Y",""),"")</f>
        <v/>
      </c>
      <c r="J14" s="58" t="str">
        <f>IFERROR(IF(VLOOKUP(TableHandbook[[#This Row],[UDC]],TableAvailabilities[],5,FALSE)&gt;0,"Y",""),"")</f>
        <v>Y</v>
      </c>
      <c r="K14" s="71"/>
      <c r="L14" s="59" t="str">
        <f>IFERROR(VLOOKUP(TableHandbook[[#This Row],[UDC]],TableOBARCH[],7,FALSE),"")</f>
        <v>Core</v>
      </c>
      <c r="M14" s="59" t="str">
        <f>IFERROR(VLOOKUP(TableHandbook[[#This Row],[UDC]],TableOSCUANGAD[],7,FALSE),"")</f>
        <v/>
      </c>
      <c r="N14" s="59" t="str">
        <f>IFERROR(VLOOKUP(TableHandbook[[#This Row],[UDC]],TableOSCUCONMS[],7,FALSE),"")</f>
        <v/>
      </c>
      <c r="O14" s="59" t="str">
        <f>IFERROR(VLOOKUP(TableHandbook[[#This Row],[UDC]],TableOSCUINARS[],7,FALSE),"")</f>
        <v/>
      </c>
      <c r="P14" s="59" t="str">
        <f>IFERROR(VLOOKUP(TableHandbook[[#This Row],[UDC]],TableOSCUPLGEO[],7,FALSE),"")</f>
        <v/>
      </c>
    </row>
    <row r="15" spans="1:17" x14ac:dyDescent="0.25">
      <c r="A15" s="4" t="s">
        <v>78</v>
      </c>
      <c r="B15" s="29">
        <v>2</v>
      </c>
      <c r="C15" s="29" t="s">
        <v>206</v>
      </c>
      <c r="D15" s="4" t="s">
        <v>207</v>
      </c>
      <c r="E15" s="29">
        <v>25</v>
      </c>
      <c r="F15" s="57" t="s">
        <v>196</v>
      </c>
      <c r="G15" s="58" t="str">
        <f>IFERROR(IF(VLOOKUP(TableHandbook[[#This Row],[UDC]],TableAvailabilities[],2,FALSE)&gt;0,"Y",""),"")</f>
        <v>Y</v>
      </c>
      <c r="H15" s="58" t="str">
        <f>IFERROR(IF(VLOOKUP(TableHandbook[[#This Row],[UDC]],TableAvailabilities[],3,FALSE)&gt;0,"Y",""),"")</f>
        <v/>
      </c>
      <c r="I15" s="58" t="str">
        <f>IFERROR(IF(VLOOKUP(TableHandbook[[#This Row],[UDC]],TableAvailabilities[],4,FALSE)&gt;0,"Y",""),"")</f>
        <v>Y</v>
      </c>
      <c r="J15" s="58" t="str">
        <f>IFERROR(IF(VLOOKUP(TableHandbook[[#This Row],[UDC]],TableAvailabilities[],5,FALSE)&gt;0,"Y",""),"")</f>
        <v/>
      </c>
      <c r="K15" s="71"/>
      <c r="L15" s="59" t="str">
        <f>IFERROR(VLOOKUP(TableHandbook[[#This Row],[UDC]],TableOBARCH[],7,FALSE),"")</f>
        <v>Core</v>
      </c>
      <c r="M15" s="59" t="str">
        <f>IFERROR(VLOOKUP(TableHandbook[[#This Row],[UDC]],TableOSCUANGAD[],7,FALSE),"")</f>
        <v/>
      </c>
      <c r="N15" s="59" t="str">
        <f>IFERROR(VLOOKUP(TableHandbook[[#This Row],[UDC]],TableOSCUCONMS[],7,FALSE),"")</f>
        <v/>
      </c>
      <c r="O15" s="59" t="str">
        <f>IFERROR(VLOOKUP(TableHandbook[[#This Row],[UDC]],TableOSCUINARS[],7,FALSE),"")</f>
        <v/>
      </c>
      <c r="P15" s="59" t="str">
        <f>IFERROR(VLOOKUP(TableHandbook[[#This Row],[UDC]],TableOSCUPLGEO[],7,FALSE),"")</f>
        <v/>
      </c>
    </row>
    <row r="16" spans="1:17" x14ac:dyDescent="0.25">
      <c r="A16" s="4" t="s">
        <v>80</v>
      </c>
      <c r="B16" s="29">
        <v>2</v>
      </c>
      <c r="C16" s="29" t="s">
        <v>208</v>
      </c>
      <c r="D16" s="4" t="s">
        <v>209</v>
      </c>
      <c r="E16" s="29">
        <v>25</v>
      </c>
      <c r="F16" s="73" t="s">
        <v>194</v>
      </c>
      <c r="G16" s="58" t="str">
        <f>IFERROR(IF(VLOOKUP(TableHandbook[[#This Row],[UDC]],TableAvailabilities[],2,FALSE)&gt;0,"Y",""),"")</f>
        <v>Y</v>
      </c>
      <c r="H16" s="58" t="str">
        <f>IFERROR(IF(VLOOKUP(TableHandbook[[#This Row],[UDC]],TableAvailabilities[],3,FALSE)&gt;0,"Y",""),"")</f>
        <v/>
      </c>
      <c r="I16" s="58" t="str">
        <f>IFERROR(IF(VLOOKUP(TableHandbook[[#This Row],[UDC]],TableAvailabilities[],4,FALSE)&gt;0,"Y",""),"")</f>
        <v>Y</v>
      </c>
      <c r="J16" s="58" t="str">
        <f>IFERROR(IF(VLOOKUP(TableHandbook[[#This Row],[UDC]],TableAvailabilities[],5,FALSE)&gt;0,"Y",""),"")</f>
        <v/>
      </c>
      <c r="K16" s="71"/>
      <c r="L16" s="59" t="str">
        <f>IFERROR(VLOOKUP(TableHandbook[[#This Row],[UDC]],TableOBARCH[],7,FALSE),"")</f>
        <v>Core</v>
      </c>
      <c r="M16" s="59" t="str">
        <f>IFERROR(VLOOKUP(TableHandbook[[#This Row],[UDC]],TableOSCUANGAD[],7,FALSE),"")</f>
        <v/>
      </c>
      <c r="N16" s="59" t="str">
        <f>IFERROR(VLOOKUP(TableHandbook[[#This Row],[UDC]],TableOSCUCONMS[],7,FALSE),"")</f>
        <v/>
      </c>
      <c r="O16" s="59" t="str">
        <f>IFERROR(VLOOKUP(TableHandbook[[#This Row],[UDC]],TableOSCUINARS[],7,FALSE),"")</f>
        <v/>
      </c>
      <c r="P16" s="59" t="str">
        <f>IFERROR(VLOOKUP(TableHandbook[[#This Row],[UDC]],TableOSCUPLGEO[],7,FALSE),"")</f>
        <v/>
      </c>
    </row>
    <row r="17" spans="1:16" x14ac:dyDescent="0.25">
      <c r="A17" s="4" t="s">
        <v>96</v>
      </c>
      <c r="B17" s="29">
        <v>4</v>
      </c>
      <c r="C17" s="29" t="s">
        <v>210</v>
      </c>
      <c r="D17" s="4" t="s">
        <v>211</v>
      </c>
      <c r="E17" s="29">
        <v>25</v>
      </c>
      <c r="F17" s="73" t="s">
        <v>212</v>
      </c>
      <c r="G17" s="58" t="str">
        <f>IFERROR(IF(VLOOKUP(TableHandbook[[#This Row],[UDC]],TableAvailabilities[],2,FALSE)&gt;0,"Y",""),"")</f>
        <v/>
      </c>
      <c r="H17" s="58" t="str">
        <f>IFERROR(IF(VLOOKUP(TableHandbook[[#This Row],[UDC]],TableAvailabilities[],3,FALSE)&gt;0,"Y",""),"")</f>
        <v>Y</v>
      </c>
      <c r="I17" s="58" t="str">
        <f>IFERROR(IF(VLOOKUP(TableHandbook[[#This Row],[UDC]],TableAvailabilities[],4,FALSE)&gt;0,"Y",""),"")</f>
        <v/>
      </c>
      <c r="J17" s="58" t="str">
        <f>IFERROR(IF(VLOOKUP(TableHandbook[[#This Row],[UDC]],TableAvailabilities[],5,FALSE)&gt;0,"Y",""),"")</f>
        <v>Y</v>
      </c>
      <c r="K17" s="71"/>
      <c r="L17" s="59" t="str">
        <f>IFERROR(VLOOKUP(TableHandbook[[#This Row],[UDC]],TableOBARCH[],7,FALSE),"")</f>
        <v>Core</v>
      </c>
      <c r="M17" s="59" t="str">
        <f>IFERROR(VLOOKUP(TableHandbook[[#This Row],[UDC]],TableOSCUANGAD[],7,FALSE),"")</f>
        <v/>
      </c>
      <c r="N17" s="59" t="str">
        <f>IFERROR(VLOOKUP(TableHandbook[[#This Row],[UDC]],TableOSCUCONMS[],7,FALSE),"")</f>
        <v/>
      </c>
      <c r="O17" s="59" t="str">
        <f>IFERROR(VLOOKUP(TableHandbook[[#This Row],[UDC]],TableOSCUINARS[],7,FALSE),"")</f>
        <v/>
      </c>
      <c r="P17" s="59" t="str">
        <f>IFERROR(VLOOKUP(TableHandbook[[#This Row],[UDC]],TableOSCUPLGEO[],7,FALSE),"")</f>
        <v/>
      </c>
    </row>
    <row r="18" spans="1:16" x14ac:dyDescent="0.25">
      <c r="A18" s="4" t="s">
        <v>100</v>
      </c>
      <c r="B18" s="29">
        <v>3</v>
      </c>
      <c r="C18" s="29" t="s">
        <v>213</v>
      </c>
      <c r="D18" s="4" t="s">
        <v>214</v>
      </c>
      <c r="E18" s="29">
        <v>25</v>
      </c>
      <c r="F18" s="73" t="s">
        <v>215</v>
      </c>
      <c r="G18" s="58" t="str">
        <f>IFERROR(IF(VLOOKUP(TableHandbook[[#This Row],[UDC]],TableAvailabilities[],2,FALSE)&gt;0,"Y",""),"")</f>
        <v/>
      </c>
      <c r="H18" s="58" t="str">
        <f>IFERROR(IF(VLOOKUP(TableHandbook[[#This Row],[UDC]],TableAvailabilities[],3,FALSE)&gt;0,"Y",""),"")</f>
        <v>Y</v>
      </c>
      <c r="I18" s="58" t="str">
        <f>IFERROR(IF(VLOOKUP(TableHandbook[[#This Row],[UDC]],TableAvailabilities[],4,FALSE)&gt;0,"Y",""),"")</f>
        <v/>
      </c>
      <c r="J18" s="58" t="str">
        <f>IFERROR(IF(VLOOKUP(TableHandbook[[#This Row],[UDC]],TableAvailabilities[],5,FALSE)&gt;0,"Y",""),"")</f>
        <v>Y</v>
      </c>
      <c r="K18" s="71"/>
      <c r="L18" s="59" t="str">
        <f>IFERROR(VLOOKUP(TableHandbook[[#This Row],[UDC]],TableOBARCH[],7,FALSE),"")</f>
        <v>Core</v>
      </c>
      <c r="M18" s="59" t="str">
        <f>IFERROR(VLOOKUP(TableHandbook[[#This Row],[UDC]],TableOSCUANGAD[],7,FALSE),"")</f>
        <v/>
      </c>
      <c r="N18" s="59" t="str">
        <f>IFERROR(VLOOKUP(TableHandbook[[#This Row],[UDC]],TableOSCUCONMS[],7,FALSE),"")</f>
        <v/>
      </c>
      <c r="O18" s="59" t="str">
        <f>IFERROR(VLOOKUP(TableHandbook[[#This Row],[UDC]],TableOSCUINARS[],7,FALSE),"")</f>
        <v/>
      </c>
      <c r="P18" s="59" t="str">
        <f>IFERROR(VLOOKUP(TableHandbook[[#This Row],[UDC]],TableOSCUPLGEO[],7,FALSE),"")</f>
        <v/>
      </c>
    </row>
    <row r="19" spans="1:16" x14ac:dyDescent="0.25">
      <c r="A19" s="4" t="s">
        <v>91</v>
      </c>
      <c r="B19" s="29">
        <v>3</v>
      </c>
      <c r="C19" s="29" t="s">
        <v>216</v>
      </c>
      <c r="D19" s="4" t="s">
        <v>217</v>
      </c>
      <c r="E19" s="29">
        <v>25</v>
      </c>
      <c r="F19" s="73" t="s">
        <v>215</v>
      </c>
      <c r="G19" s="58" t="str">
        <f>IFERROR(IF(VLOOKUP(TableHandbook[[#This Row],[UDC]],TableAvailabilities[],2,FALSE)&gt;0,"Y",""),"")</f>
        <v/>
      </c>
      <c r="H19" s="58" t="str">
        <f>IFERROR(IF(VLOOKUP(TableHandbook[[#This Row],[UDC]],TableAvailabilities[],3,FALSE)&gt;0,"Y",""),"")</f>
        <v>Y</v>
      </c>
      <c r="I19" s="58" t="str">
        <f>IFERROR(IF(VLOOKUP(TableHandbook[[#This Row],[UDC]],TableAvailabilities[],4,FALSE)&gt;0,"Y",""),"")</f>
        <v/>
      </c>
      <c r="J19" s="58" t="str">
        <f>IFERROR(IF(VLOOKUP(TableHandbook[[#This Row],[UDC]],TableAvailabilities[],5,FALSE)&gt;0,"Y",""),"")</f>
        <v>Y</v>
      </c>
      <c r="K19" s="71"/>
      <c r="L19" s="59" t="str">
        <f>IFERROR(VLOOKUP(TableHandbook[[#This Row],[UDC]],TableOBARCH[],7,FALSE),"")</f>
        <v>Core</v>
      </c>
      <c r="M19" s="59" t="str">
        <f>IFERROR(VLOOKUP(TableHandbook[[#This Row],[UDC]],TableOSCUANGAD[],7,FALSE),"")</f>
        <v/>
      </c>
      <c r="N19" s="59" t="str">
        <f>IFERROR(VLOOKUP(TableHandbook[[#This Row],[UDC]],TableOSCUCONMS[],7,FALSE),"")</f>
        <v/>
      </c>
      <c r="O19" s="59" t="str">
        <f>IFERROR(VLOOKUP(TableHandbook[[#This Row],[UDC]],TableOSCUINARS[],7,FALSE),"")</f>
        <v/>
      </c>
      <c r="P19" s="59" t="str">
        <f>IFERROR(VLOOKUP(TableHandbook[[#This Row],[UDC]],TableOSCUPLGEO[],7,FALSE),"")</f>
        <v/>
      </c>
    </row>
    <row r="20" spans="1:16" x14ac:dyDescent="0.25">
      <c r="A20" s="4" t="s">
        <v>99</v>
      </c>
      <c r="B20" s="29">
        <v>3</v>
      </c>
      <c r="C20" s="29" t="s">
        <v>218</v>
      </c>
      <c r="D20" s="4" t="s">
        <v>219</v>
      </c>
      <c r="E20" s="29">
        <v>25</v>
      </c>
      <c r="F20" s="73" t="s">
        <v>215</v>
      </c>
      <c r="G20" s="58" t="str">
        <f>IFERROR(IF(VLOOKUP(TableHandbook[[#This Row],[UDC]],TableAvailabilities[],2,FALSE)&gt;0,"Y",""),"")</f>
        <v>Y</v>
      </c>
      <c r="H20" s="58" t="str">
        <f>IFERROR(IF(VLOOKUP(TableHandbook[[#This Row],[UDC]],TableAvailabilities[],3,FALSE)&gt;0,"Y",""),"")</f>
        <v/>
      </c>
      <c r="I20" s="58" t="str">
        <f>IFERROR(IF(VLOOKUP(TableHandbook[[#This Row],[UDC]],TableAvailabilities[],4,FALSE)&gt;0,"Y",""),"")</f>
        <v>Y</v>
      </c>
      <c r="J20" s="58" t="str">
        <f>IFERROR(IF(VLOOKUP(TableHandbook[[#This Row],[UDC]],TableAvailabilities[],5,FALSE)&gt;0,"Y",""),"")</f>
        <v/>
      </c>
      <c r="K20" s="71"/>
      <c r="L20" s="59" t="str">
        <f>IFERROR(VLOOKUP(TableHandbook[[#This Row],[UDC]],TableOBARCH[],7,FALSE),"")</f>
        <v>Core</v>
      </c>
      <c r="M20" s="59" t="str">
        <f>IFERROR(VLOOKUP(TableHandbook[[#This Row],[UDC]],TableOSCUANGAD[],7,FALSE),"")</f>
        <v/>
      </c>
      <c r="N20" s="59" t="str">
        <f>IFERROR(VLOOKUP(TableHandbook[[#This Row],[UDC]],TableOSCUCONMS[],7,FALSE),"")</f>
        <v/>
      </c>
      <c r="O20" s="59" t="str">
        <f>IFERROR(VLOOKUP(TableHandbook[[#This Row],[UDC]],TableOSCUINARS[],7,FALSE),"")</f>
        <v/>
      </c>
      <c r="P20" s="59" t="str">
        <f>IFERROR(VLOOKUP(TableHandbook[[#This Row],[UDC]],TableOSCUPLGEO[],7,FALSE),"")</f>
        <v/>
      </c>
    </row>
    <row r="21" spans="1:16" x14ac:dyDescent="0.25">
      <c r="A21" s="4" t="s">
        <v>89</v>
      </c>
      <c r="B21" s="29">
        <v>3</v>
      </c>
      <c r="C21" s="29" t="s">
        <v>220</v>
      </c>
      <c r="D21" s="4" t="s">
        <v>221</v>
      </c>
      <c r="E21" s="29">
        <v>25</v>
      </c>
      <c r="F21" s="73" t="s">
        <v>215</v>
      </c>
      <c r="G21" s="58" t="str">
        <f>IFERROR(IF(VLOOKUP(TableHandbook[[#This Row],[UDC]],TableAvailabilities[],2,FALSE)&gt;0,"Y",""),"")</f>
        <v>Y</v>
      </c>
      <c r="H21" s="58" t="str">
        <f>IFERROR(IF(VLOOKUP(TableHandbook[[#This Row],[UDC]],TableAvailabilities[],3,FALSE)&gt;0,"Y",""),"")</f>
        <v/>
      </c>
      <c r="I21" s="58" t="str">
        <f>IFERROR(IF(VLOOKUP(TableHandbook[[#This Row],[UDC]],TableAvailabilities[],4,FALSE)&gt;0,"Y",""),"")</f>
        <v>Y</v>
      </c>
      <c r="J21" s="58" t="str">
        <f>IFERROR(IF(VLOOKUP(TableHandbook[[#This Row],[UDC]],TableAvailabilities[],5,FALSE)&gt;0,"Y",""),"")</f>
        <v/>
      </c>
      <c r="K21" s="71"/>
      <c r="L21" s="59" t="str">
        <f>IFERROR(VLOOKUP(TableHandbook[[#This Row],[UDC]],TableOBARCH[],7,FALSE),"")</f>
        <v>Core</v>
      </c>
      <c r="M21" s="59" t="str">
        <f>IFERROR(VLOOKUP(TableHandbook[[#This Row],[UDC]],TableOSCUANGAD[],7,FALSE),"")</f>
        <v/>
      </c>
      <c r="N21" s="59" t="str">
        <f>IFERROR(VLOOKUP(TableHandbook[[#This Row],[UDC]],TableOSCUCONMS[],7,FALSE),"")</f>
        <v/>
      </c>
      <c r="O21" s="59" t="str">
        <f>IFERROR(VLOOKUP(TableHandbook[[#This Row],[UDC]],TableOSCUINARS[],7,FALSE),"")</f>
        <v/>
      </c>
      <c r="P21" s="59" t="str">
        <f>IFERROR(VLOOKUP(TableHandbook[[#This Row],[UDC]],TableOSCUPLGEO[],7,FALSE),"")</f>
        <v/>
      </c>
    </row>
    <row r="22" spans="1:16" x14ac:dyDescent="0.25">
      <c r="A22" s="4" t="s">
        <v>113</v>
      </c>
      <c r="B22" s="29">
        <v>4</v>
      </c>
      <c r="C22" s="29" t="s">
        <v>222</v>
      </c>
      <c r="D22" s="4" t="s">
        <v>223</v>
      </c>
      <c r="E22" s="29">
        <v>25</v>
      </c>
      <c r="F22" s="73" t="s">
        <v>224</v>
      </c>
      <c r="G22" s="58" t="str">
        <f>IFERROR(IF(VLOOKUP(TableHandbook[[#This Row],[UDC]],TableAvailabilities[],2,FALSE)&gt;0,"Y",""),"")</f>
        <v/>
      </c>
      <c r="H22" s="58" t="str">
        <f>IFERROR(IF(VLOOKUP(TableHandbook[[#This Row],[UDC]],TableAvailabilities[],3,FALSE)&gt;0,"Y",""),"")</f>
        <v>Y</v>
      </c>
      <c r="I22" s="58" t="str">
        <f>IFERROR(IF(VLOOKUP(TableHandbook[[#This Row],[UDC]],TableAvailabilities[],4,FALSE)&gt;0,"Y",""),"")</f>
        <v/>
      </c>
      <c r="J22" s="58" t="str">
        <f>IFERROR(IF(VLOOKUP(TableHandbook[[#This Row],[UDC]],TableAvailabilities[],5,FALSE)&gt;0,"Y",""),"")</f>
        <v>Y</v>
      </c>
      <c r="K22" s="71"/>
      <c r="L22" s="59" t="str">
        <f>IFERROR(VLOOKUP(TableHandbook[[#This Row],[UDC]],TableOBARCH[],7,FALSE),"")</f>
        <v>Core</v>
      </c>
      <c r="M22" s="59" t="str">
        <f>IFERROR(VLOOKUP(TableHandbook[[#This Row],[UDC]],TableOSCUANGAD[],7,FALSE),"")</f>
        <v/>
      </c>
      <c r="N22" s="59" t="str">
        <f>IFERROR(VLOOKUP(TableHandbook[[#This Row],[UDC]],TableOSCUCONMS[],7,FALSE),"")</f>
        <v/>
      </c>
      <c r="O22" s="59" t="str">
        <f>IFERROR(VLOOKUP(TableHandbook[[#This Row],[UDC]],TableOSCUINARS[],7,FALSE),"")</f>
        <v/>
      </c>
      <c r="P22" s="59" t="str">
        <f>IFERROR(VLOOKUP(TableHandbook[[#This Row],[UDC]],TableOSCUPLGEO[],7,FALSE),"")</f>
        <v/>
      </c>
    </row>
    <row r="23" spans="1:16" x14ac:dyDescent="0.25">
      <c r="A23" s="4" t="s">
        <v>95</v>
      </c>
      <c r="B23" s="29">
        <v>1</v>
      </c>
      <c r="C23" s="29" t="s">
        <v>225</v>
      </c>
      <c r="D23" s="4" t="s">
        <v>226</v>
      </c>
      <c r="E23" s="29">
        <v>25</v>
      </c>
      <c r="F23" s="73" t="s">
        <v>227</v>
      </c>
      <c r="G23" s="58" t="str">
        <f>IFERROR(IF(VLOOKUP(TableHandbook[[#This Row],[UDC]],TableAvailabilities[],2,FALSE)&gt;0,"Y",""),"")</f>
        <v>Y</v>
      </c>
      <c r="H23" s="58" t="str">
        <f>IFERROR(IF(VLOOKUP(TableHandbook[[#This Row],[UDC]],TableAvailabilities[],3,FALSE)&gt;0,"Y",""),"")</f>
        <v/>
      </c>
      <c r="I23" s="58" t="str">
        <f>IFERROR(IF(VLOOKUP(TableHandbook[[#This Row],[UDC]],TableAvailabilities[],4,FALSE)&gt;0,"Y",""),"")</f>
        <v>Y</v>
      </c>
      <c r="J23" s="58" t="str">
        <f>IFERROR(IF(VLOOKUP(TableHandbook[[#This Row],[UDC]],TableAvailabilities[],5,FALSE)&gt;0,"Y",""),"")</f>
        <v/>
      </c>
      <c r="K23" s="71"/>
      <c r="L23" s="59" t="str">
        <f>IFERROR(VLOOKUP(TableHandbook[[#This Row],[UDC]],TableOBARCH[],7,FALSE),"")</f>
        <v>Core</v>
      </c>
      <c r="M23" s="59" t="str">
        <f>IFERROR(VLOOKUP(TableHandbook[[#This Row],[UDC]],TableOSCUANGAD[],7,FALSE),"")</f>
        <v/>
      </c>
      <c r="N23" s="59" t="str">
        <f>IFERROR(VLOOKUP(TableHandbook[[#This Row],[UDC]],TableOSCUCONMS[],7,FALSE),"")</f>
        <v/>
      </c>
      <c r="O23" s="59" t="str">
        <f>IFERROR(VLOOKUP(TableHandbook[[#This Row],[UDC]],TableOSCUINARS[],7,FALSE),"")</f>
        <v/>
      </c>
      <c r="P23" s="59" t="str">
        <f>IFERROR(VLOOKUP(TableHandbook[[#This Row],[UDC]],TableOSCUPLGEO[],7,FALSE),"")</f>
        <v/>
      </c>
    </row>
    <row r="24" spans="1:16" x14ac:dyDescent="0.25">
      <c r="A24" s="4" t="s">
        <v>117</v>
      </c>
      <c r="B24" s="29">
        <v>5</v>
      </c>
      <c r="C24" s="29" t="s">
        <v>228</v>
      </c>
      <c r="D24" s="4" t="s">
        <v>229</v>
      </c>
      <c r="E24" s="29">
        <v>25</v>
      </c>
      <c r="F24" s="73" t="s">
        <v>230</v>
      </c>
      <c r="G24" s="58" t="str">
        <f>IFERROR(IF(VLOOKUP(TableHandbook[[#This Row],[UDC]],TableAvailabilities[],2,FALSE)&gt;0,"Y",""),"")</f>
        <v>Y</v>
      </c>
      <c r="H24" s="58" t="str">
        <f>IFERROR(IF(VLOOKUP(TableHandbook[[#This Row],[UDC]],TableAvailabilities[],3,FALSE)&gt;0,"Y",""),"")</f>
        <v/>
      </c>
      <c r="I24" s="58" t="str">
        <f>IFERROR(IF(VLOOKUP(TableHandbook[[#This Row],[UDC]],TableAvailabilities[],4,FALSE)&gt;0,"Y",""),"")</f>
        <v>Y</v>
      </c>
      <c r="J24" s="58" t="str">
        <f>IFERROR(IF(VLOOKUP(TableHandbook[[#This Row],[UDC]],TableAvailabilities[],5,FALSE)&gt;0,"Y",""),"")</f>
        <v/>
      </c>
      <c r="K24" s="71" t="s">
        <v>231</v>
      </c>
      <c r="L24" s="59" t="str">
        <f>IFERROR(VLOOKUP(TableHandbook[[#This Row],[UDC]],TableOBARCH[],7,FALSE),"")</f>
        <v>Core</v>
      </c>
      <c r="M24" s="59" t="str">
        <f>IFERROR(VLOOKUP(TableHandbook[[#This Row],[UDC]],TableOSCUANGAD[],7,FALSE),"")</f>
        <v/>
      </c>
      <c r="N24" s="59" t="str">
        <f>IFERROR(VLOOKUP(TableHandbook[[#This Row],[UDC]],TableOSCUCONMS[],7,FALSE),"")</f>
        <v/>
      </c>
      <c r="O24" s="59" t="str">
        <f>IFERROR(VLOOKUP(TableHandbook[[#This Row],[UDC]],TableOSCUINARS[],7,FALSE),"")</f>
        <v/>
      </c>
      <c r="P24" s="59" t="str">
        <f>IFERROR(VLOOKUP(TableHandbook[[#This Row],[UDC]],TableOSCUPLGEO[],7,FALSE),"")</f>
        <v/>
      </c>
    </row>
    <row r="25" spans="1:16" x14ac:dyDescent="0.25">
      <c r="A25" s="4" t="s">
        <v>232</v>
      </c>
      <c r="B25" s="29">
        <v>4</v>
      </c>
      <c r="C25" s="29" t="s">
        <v>228</v>
      </c>
      <c r="D25" s="4" t="s">
        <v>233</v>
      </c>
      <c r="E25" s="29">
        <v>25</v>
      </c>
      <c r="F25" s="78" t="s">
        <v>230</v>
      </c>
      <c r="G25" s="58" t="str">
        <f>IFERROR(IF(VLOOKUP(TableHandbook[[#This Row],[UDC]],TableAvailabilities[],2,FALSE)&gt;0,"Y",""),"")</f>
        <v/>
      </c>
      <c r="H25" s="58" t="str">
        <f>IFERROR(IF(VLOOKUP(TableHandbook[[#This Row],[UDC]],TableAvailabilities[],3,FALSE)&gt;0,"Y",""),"")</f>
        <v/>
      </c>
      <c r="I25" s="58" t="str">
        <f>IFERROR(IF(VLOOKUP(TableHandbook[[#This Row],[UDC]],TableAvailabilities[],4,FALSE)&gt;0,"Y",""),"")</f>
        <v/>
      </c>
      <c r="J25" s="58" t="str">
        <f>IFERROR(IF(VLOOKUP(TableHandbook[[#This Row],[UDC]],TableAvailabilities[],5,FALSE)&gt;0,"Y",""),"")</f>
        <v/>
      </c>
      <c r="K25" s="71" t="s">
        <v>234</v>
      </c>
      <c r="L25" s="59" t="str">
        <f>IFERROR(VLOOKUP(TableHandbook[[#This Row],[UDC]],TableOBARCH[],7,FALSE),"")</f>
        <v/>
      </c>
      <c r="M25" s="59" t="str">
        <f>IFERROR(VLOOKUP(TableHandbook[[#This Row],[UDC]],TableOSCUANGAD[],7,FALSE),"")</f>
        <v/>
      </c>
      <c r="N25" s="59" t="str">
        <f>IFERROR(VLOOKUP(TableHandbook[[#This Row],[UDC]],TableOSCUCONMS[],7,FALSE),"")</f>
        <v/>
      </c>
      <c r="O25" s="59" t="str">
        <f>IFERROR(VLOOKUP(TableHandbook[[#This Row],[UDC]],TableOSCUINARS[],7,FALSE),"")</f>
        <v/>
      </c>
      <c r="P25" s="59" t="str">
        <f>IFERROR(VLOOKUP(TableHandbook[[#This Row],[UDC]],TableOSCUPLGEO[],7,FALSE),"")</f>
        <v/>
      </c>
    </row>
    <row r="26" spans="1:16" x14ac:dyDescent="0.25">
      <c r="A26" s="4" t="s">
        <v>118</v>
      </c>
      <c r="B26" s="29">
        <v>2</v>
      </c>
      <c r="C26" s="29" t="s">
        <v>235</v>
      </c>
      <c r="D26" s="4" t="s">
        <v>236</v>
      </c>
      <c r="E26" s="29">
        <v>25</v>
      </c>
      <c r="F26" s="73" t="s">
        <v>237</v>
      </c>
      <c r="G26" s="58" t="str">
        <f>IFERROR(IF(VLOOKUP(TableHandbook[[#This Row],[UDC]],TableAvailabilities[],2,FALSE)&gt;0,"Y",""),"")</f>
        <v/>
      </c>
      <c r="H26" s="58" t="str">
        <f>IFERROR(IF(VLOOKUP(TableHandbook[[#This Row],[UDC]],TableAvailabilities[],3,FALSE)&gt;0,"Y",""),"")</f>
        <v>Y</v>
      </c>
      <c r="I26" s="58" t="str">
        <f>IFERROR(IF(VLOOKUP(TableHandbook[[#This Row],[UDC]],TableAvailabilities[],4,FALSE)&gt;0,"Y",""),"")</f>
        <v/>
      </c>
      <c r="J26" s="58" t="str">
        <f>IFERROR(IF(VLOOKUP(TableHandbook[[#This Row],[UDC]],TableAvailabilities[],5,FALSE)&gt;0,"Y",""),"")</f>
        <v>Y</v>
      </c>
      <c r="K26" s="71"/>
      <c r="L26" s="59" t="str">
        <f>IFERROR(VLOOKUP(TableHandbook[[#This Row],[UDC]],TableOBARCH[],7,FALSE),"")</f>
        <v>Core</v>
      </c>
      <c r="M26" s="59" t="str">
        <f>IFERROR(VLOOKUP(TableHandbook[[#This Row],[UDC]],TableOSCUANGAD[],7,FALSE),"")</f>
        <v/>
      </c>
      <c r="N26" s="59" t="str">
        <f>IFERROR(VLOOKUP(TableHandbook[[#This Row],[UDC]],TableOSCUCONMS[],7,FALSE),"")</f>
        <v/>
      </c>
      <c r="O26" s="59" t="str">
        <f>IFERROR(VLOOKUP(TableHandbook[[#This Row],[UDC]],TableOSCUINARS[],7,FALSE),"")</f>
        <v/>
      </c>
      <c r="P26" s="59" t="str">
        <f>IFERROR(VLOOKUP(TableHandbook[[#This Row],[UDC]],TableOSCUPLGEO[],7,FALSE),"")</f>
        <v/>
      </c>
    </row>
    <row r="27" spans="1:16" x14ac:dyDescent="0.25">
      <c r="A27" s="4" t="s">
        <v>122</v>
      </c>
      <c r="B27" s="29">
        <v>3</v>
      </c>
      <c r="C27" s="29" t="s">
        <v>238</v>
      </c>
      <c r="D27" s="4" t="s">
        <v>239</v>
      </c>
      <c r="E27" s="29">
        <v>25</v>
      </c>
      <c r="F27" s="73" t="s">
        <v>240</v>
      </c>
      <c r="G27" s="58" t="str">
        <f>IFERROR(IF(VLOOKUP(TableHandbook[[#This Row],[UDC]],TableAvailabilities[],2,FALSE)&gt;0,"Y",""),"")</f>
        <v/>
      </c>
      <c r="H27" s="58" t="str">
        <f>IFERROR(IF(VLOOKUP(TableHandbook[[#This Row],[UDC]],TableAvailabilities[],3,FALSE)&gt;0,"Y",""),"")</f>
        <v>Y</v>
      </c>
      <c r="I27" s="58" t="str">
        <f>IFERROR(IF(VLOOKUP(TableHandbook[[#This Row],[UDC]],TableAvailabilities[],4,FALSE)&gt;0,"Y",""),"")</f>
        <v/>
      </c>
      <c r="J27" s="58" t="str">
        <f>IFERROR(IF(VLOOKUP(TableHandbook[[#This Row],[UDC]],TableAvailabilities[],5,FALSE)&gt;0,"Y",""),"")</f>
        <v>Y</v>
      </c>
      <c r="K27" s="71"/>
      <c r="L27" s="59" t="str">
        <f>IFERROR(VLOOKUP(TableHandbook[[#This Row],[UDC]],TableOBARCH[],7,FALSE),"")</f>
        <v>Core</v>
      </c>
      <c r="M27" s="59" t="str">
        <f>IFERROR(VLOOKUP(TableHandbook[[#This Row],[UDC]],TableOSCUANGAD[],7,FALSE),"")</f>
        <v/>
      </c>
      <c r="N27" s="59" t="str">
        <f>IFERROR(VLOOKUP(TableHandbook[[#This Row],[UDC]],TableOSCUCONMS[],7,FALSE),"")</f>
        <v/>
      </c>
      <c r="O27" s="59" t="str">
        <f>IFERROR(VLOOKUP(TableHandbook[[#This Row],[UDC]],TableOSCUINARS[],7,FALSE),"")</f>
        <v/>
      </c>
      <c r="P27" s="59" t="str">
        <f>IFERROR(VLOOKUP(TableHandbook[[#This Row],[UDC]],TableOSCUPLGEO[],7,FALSE),"")</f>
        <v/>
      </c>
    </row>
    <row r="28" spans="1:16" x14ac:dyDescent="0.25">
      <c r="A28" s="4" t="s">
        <v>121</v>
      </c>
      <c r="B28" s="29">
        <v>3</v>
      </c>
      <c r="C28" s="29" t="s">
        <v>241</v>
      </c>
      <c r="D28" s="4" t="s">
        <v>242</v>
      </c>
      <c r="E28" s="29">
        <v>25</v>
      </c>
      <c r="F28" s="73" t="s">
        <v>240</v>
      </c>
      <c r="G28" s="58" t="str">
        <f>IFERROR(IF(VLOOKUP(TableHandbook[[#This Row],[UDC]],TableAvailabilities[],2,FALSE)&gt;0,"Y",""),"")</f>
        <v>Y</v>
      </c>
      <c r="H28" s="58" t="str">
        <f>IFERROR(IF(VLOOKUP(TableHandbook[[#This Row],[UDC]],TableAvailabilities[],3,FALSE)&gt;0,"Y",""),"")</f>
        <v/>
      </c>
      <c r="I28" s="58" t="str">
        <f>IFERROR(IF(VLOOKUP(TableHandbook[[#This Row],[UDC]],TableAvailabilities[],4,FALSE)&gt;0,"Y",""),"")</f>
        <v>Y</v>
      </c>
      <c r="J28" s="58" t="str">
        <f>IFERROR(IF(VLOOKUP(TableHandbook[[#This Row],[UDC]],TableAvailabilities[],5,FALSE)&gt;0,"Y",""),"")</f>
        <v/>
      </c>
      <c r="K28" s="71"/>
      <c r="L28" s="59" t="str">
        <f>IFERROR(VLOOKUP(TableHandbook[[#This Row],[UDC]],TableOBARCH[],7,FALSE),"")</f>
        <v>Core</v>
      </c>
      <c r="M28" s="59" t="str">
        <f>IFERROR(VLOOKUP(TableHandbook[[#This Row],[UDC]],TableOSCUANGAD[],7,FALSE),"")</f>
        <v/>
      </c>
      <c r="N28" s="59" t="str">
        <f>IFERROR(VLOOKUP(TableHandbook[[#This Row],[UDC]],TableOSCUCONMS[],7,FALSE),"")</f>
        <v/>
      </c>
      <c r="O28" s="59" t="str">
        <f>IFERROR(VLOOKUP(TableHandbook[[#This Row],[UDC]],TableOSCUINARS[],7,FALSE),"")</f>
        <v/>
      </c>
      <c r="P28" s="59" t="str">
        <f>IFERROR(VLOOKUP(TableHandbook[[#This Row],[UDC]],TableOSCUPLGEO[],7,FALSE),"")</f>
        <v/>
      </c>
    </row>
    <row r="29" spans="1:16" x14ac:dyDescent="0.25">
      <c r="A29" s="4" t="s">
        <v>111</v>
      </c>
      <c r="B29" s="29">
        <v>3</v>
      </c>
      <c r="C29" s="29" t="s">
        <v>243</v>
      </c>
      <c r="D29" s="4" t="s">
        <v>244</v>
      </c>
      <c r="E29" s="29">
        <v>25</v>
      </c>
      <c r="F29" s="73" t="s">
        <v>240</v>
      </c>
      <c r="G29" s="58" t="str">
        <f>IFERROR(IF(VLOOKUP(TableHandbook[[#This Row],[UDC]],TableAvailabilities[],2,FALSE)&gt;0,"Y",""),"")</f>
        <v>Y</v>
      </c>
      <c r="H29" s="58" t="str">
        <f>IFERROR(IF(VLOOKUP(TableHandbook[[#This Row],[UDC]],TableAvailabilities[],3,FALSE)&gt;0,"Y",""),"")</f>
        <v/>
      </c>
      <c r="I29" s="58" t="str">
        <f>IFERROR(IF(VLOOKUP(TableHandbook[[#This Row],[UDC]],TableAvailabilities[],4,FALSE)&gt;0,"Y",""),"")</f>
        <v>Y</v>
      </c>
      <c r="J29" s="58" t="str">
        <f>IFERROR(IF(VLOOKUP(TableHandbook[[#This Row],[UDC]],TableAvailabilities[],5,FALSE)&gt;0,"Y",""),"")</f>
        <v/>
      </c>
      <c r="K29" s="71"/>
      <c r="L29" s="59" t="str">
        <f>IFERROR(VLOOKUP(TableHandbook[[#This Row],[UDC]],TableOBARCH[],7,FALSE),"")</f>
        <v>Core</v>
      </c>
      <c r="M29" s="59" t="str">
        <f>IFERROR(VLOOKUP(TableHandbook[[#This Row],[UDC]],TableOSCUANGAD[],7,FALSE),"")</f>
        <v/>
      </c>
      <c r="N29" s="59" t="str">
        <f>IFERROR(VLOOKUP(TableHandbook[[#This Row],[UDC]],TableOSCUCONMS[],7,FALSE),"")</f>
        <v/>
      </c>
      <c r="O29" s="59" t="str">
        <f>IFERROR(VLOOKUP(TableHandbook[[#This Row],[UDC]],TableOSCUINARS[],7,FALSE),"")</f>
        <v/>
      </c>
      <c r="P29" s="59" t="str">
        <f>IFERROR(VLOOKUP(TableHandbook[[#This Row],[UDC]],TableOSCUPLGEO[],7,FALSE),"")</f>
        <v/>
      </c>
    </row>
    <row r="30" spans="1:16" x14ac:dyDescent="0.25">
      <c r="A30" s="4" t="s">
        <v>245</v>
      </c>
      <c r="B30" s="29">
        <v>1</v>
      </c>
      <c r="C30" s="29" t="s">
        <v>246</v>
      </c>
      <c r="D30" s="4" t="s">
        <v>247</v>
      </c>
      <c r="E30" s="29">
        <v>25</v>
      </c>
      <c r="F30" s="78" t="s">
        <v>196</v>
      </c>
      <c r="G30" s="58" t="str">
        <f>IFERROR(IF(VLOOKUP(TableHandbook[[#This Row],[UDC]],TableAvailabilities[],2,FALSE)&gt;0,"Y",""),"")</f>
        <v/>
      </c>
      <c r="H30" s="58" t="str">
        <f>IFERROR(IF(VLOOKUP(TableHandbook[[#This Row],[UDC]],TableAvailabilities[],3,FALSE)&gt;0,"Y",""),"")</f>
        <v/>
      </c>
      <c r="I30" s="58" t="str">
        <f>IFERROR(IF(VLOOKUP(TableHandbook[[#This Row],[UDC]],TableAvailabilities[],4,FALSE)&gt;0,"Y",""),"")</f>
        <v/>
      </c>
      <c r="J30" s="58" t="str">
        <f>IFERROR(IF(VLOOKUP(TableHandbook[[#This Row],[UDC]],TableAvailabilities[],5,FALSE)&gt;0,"Y",""),"")</f>
        <v/>
      </c>
      <c r="K30" s="71" t="s">
        <v>248</v>
      </c>
      <c r="L30" s="59" t="str">
        <f>IFERROR(VLOOKUP(TableHandbook[[#This Row],[UDC]],TableOBARCH[],7,FALSE),"")</f>
        <v/>
      </c>
      <c r="M30" s="59" t="str">
        <f>IFERROR(VLOOKUP(TableHandbook[[#This Row],[UDC]],TableOSCUANGAD[],7,FALSE),"")</f>
        <v/>
      </c>
      <c r="N30" s="59" t="str">
        <f>IFERROR(VLOOKUP(TableHandbook[[#This Row],[UDC]],TableOSCUCONMS[],7,FALSE),"")</f>
        <v/>
      </c>
      <c r="O30" s="59" t="str">
        <f>IFERROR(VLOOKUP(TableHandbook[[#This Row],[UDC]],TableOSCUINARS[],7,FALSE),"")</f>
        <v/>
      </c>
      <c r="P30" s="59" t="str">
        <f>IFERROR(VLOOKUP(TableHandbook[[#This Row],[UDC]],TableOSCUPLGEO[],7,FALSE),"")</f>
        <v/>
      </c>
    </row>
    <row r="31" spans="1:16" x14ac:dyDescent="0.25">
      <c r="A31" s="4" t="s">
        <v>140</v>
      </c>
      <c r="B31" s="29">
        <v>2</v>
      </c>
      <c r="C31" s="29" t="s">
        <v>249</v>
      </c>
      <c r="D31" s="4" t="s">
        <v>250</v>
      </c>
      <c r="E31" s="29">
        <v>25</v>
      </c>
      <c r="F31" s="78" t="s">
        <v>196</v>
      </c>
      <c r="G31" s="58" t="str">
        <f>IFERROR(IF(VLOOKUP(TableHandbook[[#This Row],[UDC]],TableAvailabilities[],2,FALSE)&gt;0,"Y",""),"")</f>
        <v>Y</v>
      </c>
      <c r="H31" s="58" t="str">
        <f>IFERROR(IF(VLOOKUP(TableHandbook[[#This Row],[UDC]],TableAvailabilities[],3,FALSE)&gt;0,"Y",""),"")</f>
        <v/>
      </c>
      <c r="I31" s="58" t="str">
        <f>IFERROR(IF(VLOOKUP(TableHandbook[[#This Row],[UDC]],TableAvailabilities[],4,FALSE)&gt;0,"Y",""),"")</f>
        <v>Y</v>
      </c>
      <c r="J31" s="58" t="str">
        <f>IFERROR(IF(VLOOKUP(TableHandbook[[#This Row],[UDC]],TableAvailabilities[],5,FALSE)&gt;0,"Y",""),"")</f>
        <v/>
      </c>
      <c r="K31" s="71"/>
      <c r="L31" s="59" t="str">
        <f>IFERROR(VLOOKUP(TableHandbook[[#This Row],[UDC]],TableOBARCH[],7,FALSE),"")</f>
        <v/>
      </c>
      <c r="M31" s="59" t="str">
        <f>IFERROR(VLOOKUP(TableHandbook[[#This Row],[UDC]],TableOSCUANGAD[],7,FALSE),"")</f>
        <v/>
      </c>
      <c r="N31" s="59" t="str">
        <f>IFERROR(VLOOKUP(TableHandbook[[#This Row],[UDC]],TableOSCUCONMS[],7,FALSE),"")</f>
        <v>Core</v>
      </c>
      <c r="O31" s="59" t="str">
        <f>IFERROR(VLOOKUP(TableHandbook[[#This Row],[UDC]],TableOSCUINARS[],7,FALSE),"")</f>
        <v/>
      </c>
      <c r="P31" s="59" t="str">
        <f>IFERROR(VLOOKUP(TableHandbook[[#This Row],[UDC]],TableOSCUPLGEO[],7,FALSE),"")</f>
        <v/>
      </c>
    </row>
    <row r="32" spans="1:16" x14ac:dyDescent="0.25">
      <c r="A32" s="4" t="s">
        <v>146</v>
      </c>
      <c r="B32" s="29">
        <v>3</v>
      </c>
      <c r="C32" s="29" t="s">
        <v>251</v>
      </c>
      <c r="D32" s="4" t="s">
        <v>252</v>
      </c>
      <c r="E32" s="29">
        <v>25</v>
      </c>
      <c r="F32" s="73" t="s">
        <v>249</v>
      </c>
      <c r="G32" s="58" t="str">
        <f>IFERROR(IF(VLOOKUP(TableHandbook[[#This Row],[UDC]],TableAvailabilities[],2,FALSE)&gt;0,"Y",""),"")</f>
        <v>Y</v>
      </c>
      <c r="H32" s="58" t="str">
        <f>IFERROR(IF(VLOOKUP(TableHandbook[[#This Row],[UDC]],TableAvailabilities[],3,FALSE)&gt;0,"Y",""),"")</f>
        <v/>
      </c>
      <c r="I32" s="58" t="str">
        <f>IFERROR(IF(VLOOKUP(TableHandbook[[#This Row],[UDC]],TableAvailabilities[],4,FALSE)&gt;0,"Y",""),"")</f>
        <v>Y</v>
      </c>
      <c r="J32" s="58" t="str">
        <f>IFERROR(IF(VLOOKUP(TableHandbook[[#This Row],[UDC]],TableAvailabilities[],5,FALSE)&gt;0,"Y",""),"")</f>
        <v/>
      </c>
      <c r="K32" s="71"/>
      <c r="L32" s="59" t="str">
        <f>IFERROR(VLOOKUP(TableHandbook[[#This Row],[UDC]],TableOBARCH[],7,FALSE),"")</f>
        <v/>
      </c>
      <c r="M32" s="59" t="str">
        <f>IFERROR(VLOOKUP(TableHandbook[[#This Row],[UDC]],TableOSCUANGAD[],7,FALSE),"")</f>
        <v/>
      </c>
      <c r="N32" s="59" t="str">
        <f>IFERROR(VLOOKUP(TableHandbook[[#This Row],[UDC]],TableOSCUCONMS[],7,FALSE),"")</f>
        <v>Core</v>
      </c>
      <c r="O32" s="59" t="str">
        <f>IFERROR(VLOOKUP(TableHandbook[[#This Row],[UDC]],TableOSCUINARS[],7,FALSE),"")</f>
        <v/>
      </c>
      <c r="P32" s="59" t="str">
        <f>IFERROR(VLOOKUP(TableHandbook[[#This Row],[UDC]],TableOSCUPLGEO[],7,FALSE),"")</f>
        <v/>
      </c>
    </row>
    <row r="33" spans="1:16" x14ac:dyDescent="0.25">
      <c r="A33" s="4" t="s">
        <v>253</v>
      </c>
      <c r="B33" s="29">
        <v>3</v>
      </c>
      <c r="C33" s="29" t="s">
        <v>254</v>
      </c>
      <c r="D33" s="4" t="s">
        <v>255</v>
      </c>
      <c r="E33" s="29">
        <v>25</v>
      </c>
      <c r="F33" s="78" t="s">
        <v>196</v>
      </c>
      <c r="G33" s="58" t="str">
        <f>IFERROR(IF(VLOOKUP(TableHandbook[[#This Row],[UDC]],TableAvailabilities[],2,FALSE)&gt;0,"Y",""),"")</f>
        <v/>
      </c>
      <c r="H33" s="58" t="str">
        <f>IFERROR(IF(VLOOKUP(TableHandbook[[#This Row],[UDC]],TableAvailabilities[],3,FALSE)&gt;0,"Y",""),"")</f>
        <v>Y</v>
      </c>
      <c r="I33" s="58" t="str">
        <f>IFERROR(IF(VLOOKUP(TableHandbook[[#This Row],[UDC]],TableAvailabilities[],4,FALSE)&gt;0,"Y",""),"")</f>
        <v/>
      </c>
      <c r="J33" s="58" t="str">
        <f>IFERROR(IF(VLOOKUP(TableHandbook[[#This Row],[UDC]],TableAvailabilities[],5,FALSE)&gt;0,"Y",""),"")</f>
        <v>Y</v>
      </c>
      <c r="K33" s="71"/>
      <c r="L33" s="59" t="str">
        <f>IFERROR(VLOOKUP(TableHandbook[[#This Row],[UDC]],TableOBARCH[],7,FALSE),"")</f>
        <v/>
      </c>
      <c r="M33" s="59" t="str">
        <f>IFERROR(VLOOKUP(TableHandbook[[#This Row],[UDC]],TableOSCUANGAD[],7,FALSE),"")</f>
        <v/>
      </c>
      <c r="N33" s="59" t="str">
        <f>IFERROR(VLOOKUP(TableHandbook[[#This Row],[UDC]],TableOSCUCONMS[],7,FALSE),"")</f>
        <v/>
      </c>
      <c r="O33" s="59" t="str">
        <f>IFERROR(VLOOKUP(TableHandbook[[#This Row],[UDC]],TableOSCUINARS[],7,FALSE),"")</f>
        <v/>
      </c>
      <c r="P33" s="59" t="str">
        <f>IFERROR(VLOOKUP(TableHandbook[[#This Row],[UDC]],TableOSCUPLGEO[],7,FALSE),"")</f>
        <v/>
      </c>
    </row>
    <row r="34" spans="1:16" x14ac:dyDescent="0.25">
      <c r="A34" s="4" t="s">
        <v>168</v>
      </c>
      <c r="B34" s="29">
        <v>1</v>
      </c>
      <c r="C34" s="29" t="s">
        <v>256</v>
      </c>
      <c r="D34" s="4" t="s">
        <v>257</v>
      </c>
      <c r="E34" s="29">
        <v>25</v>
      </c>
      <c r="F34" s="73" t="s">
        <v>251</v>
      </c>
      <c r="G34" s="58" t="str">
        <f>IFERROR(IF(VLOOKUP(TableHandbook[[#This Row],[UDC]],TableAvailabilities[],2,FALSE)&gt;0,"Y",""),"")</f>
        <v/>
      </c>
      <c r="H34" s="58" t="str">
        <f>IFERROR(IF(VLOOKUP(TableHandbook[[#This Row],[UDC]],TableAvailabilities[],3,FALSE)&gt;0,"Y",""),"")</f>
        <v>Y</v>
      </c>
      <c r="I34" s="58" t="str">
        <f>IFERROR(IF(VLOOKUP(TableHandbook[[#This Row],[UDC]],TableAvailabilities[],4,FALSE)&gt;0,"Y",""),"")</f>
        <v/>
      </c>
      <c r="J34" s="58" t="str">
        <f>IFERROR(IF(VLOOKUP(TableHandbook[[#This Row],[UDC]],TableAvailabilities[],5,FALSE)&gt;0,"Y",""),"")</f>
        <v>Y</v>
      </c>
      <c r="K34" s="71"/>
      <c r="L34" s="59" t="str">
        <f>IFERROR(VLOOKUP(TableHandbook[[#This Row],[UDC]],TableOBARCH[],7,FALSE),"")</f>
        <v/>
      </c>
      <c r="M34" s="59" t="str">
        <f>IFERROR(VLOOKUP(TableHandbook[[#This Row],[UDC]],TableOSCUANGAD[],7,FALSE),"")</f>
        <v/>
      </c>
      <c r="N34" s="59" t="str">
        <f>IFERROR(VLOOKUP(TableHandbook[[#This Row],[UDC]],TableOSCUCONMS[],7,FALSE),"")</f>
        <v>AltCore</v>
      </c>
      <c r="O34" s="59" t="str">
        <f>IFERROR(VLOOKUP(TableHandbook[[#This Row],[UDC]],TableOSCUINARS[],7,FALSE),"")</f>
        <v/>
      </c>
      <c r="P34" s="59" t="str">
        <f>IFERROR(VLOOKUP(TableHandbook[[#This Row],[UDC]],TableOSCUPLGEO[],7,FALSE),"")</f>
        <v/>
      </c>
    </row>
    <row r="35" spans="1:16" x14ac:dyDescent="0.25">
      <c r="A35" s="4" t="s">
        <v>151</v>
      </c>
      <c r="B35" s="29">
        <v>3</v>
      </c>
      <c r="C35" s="29" t="s">
        <v>258</v>
      </c>
      <c r="D35" s="4" t="s">
        <v>259</v>
      </c>
      <c r="E35" s="29">
        <v>25</v>
      </c>
      <c r="F35" s="73" t="s">
        <v>212</v>
      </c>
      <c r="G35" s="58" t="str">
        <f>IFERROR(IF(VLOOKUP(TableHandbook[[#This Row],[UDC]],TableAvailabilities[],2,FALSE)&gt;0,"Y",""),"")</f>
        <v>Y</v>
      </c>
      <c r="H35" s="58" t="str">
        <f>IFERROR(IF(VLOOKUP(TableHandbook[[#This Row],[UDC]],TableAvailabilities[],3,FALSE)&gt;0,"Y",""),"")</f>
        <v/>
      </c>
      <c r="I35" s="58" t="str">
        <f>IFERROR(IF(VLOOKUP(TableHandbook[[#This Row],[UDC]],TableAvailabilities[],4,FALSE)&gt;0,"Y",""),"")</f>
        <v>Y</v>
      </c>
      <c r="J35" s="58" t="str">
        <f>IFERROR(IF(VLOOKUP(TableHandbook[[#This Row],[UDC]],TableAvailabilities[],5,FALSE)&gt;0,"Y",""),"")</f>
        <v/>
      </c>
      <c r="K35" s="71"/>
      <c r="L35" s="59" t="str">
        <f>IFERROR(VLOOKUP(TableHandbook[[#This Row],[UDC]],TableOBARCH[],7,FALSE),"")</f>
        <v/>
      </c>
      <c r="M35" s="59" t="str">
        <f>IFERROR(VLOOKUP(TableHandbook[[#This Row],[UDC]],TableOSCUANGAD[],7,FALSE),"")</f>
        <v/>
      </c>
      <c r="N35" s="59" t="str">
        <f>IFERROR(VLOOKUP(TableHandbook[[#This Row],[UDC]],TableOSCUCONMS[],7,FALSE),"")</f>
        <v>Core</v>
      </c>
      <c r="O35" s="59" t="str">
        <f>IFERROR(VLOOKUP(TableHandbook[[#This Row],[UDC]],TableOSCUINARS[],7,FALSE),"")</f>
        <v/>
      </c>
      <c r="P35" s="59" t="str">
        <f>IFERROR(VLOOKUP(TableHandbook[[#This Row],[UDC]],TableOSCUPLGEO[],7,FALSE),"")</f>
        <v/>
      </c>
    </row>
    <row r="36" spans="1:16" x14ac:dyDescent="0.25">
      <c r="A36" s="4" t="s">
        <v>163</v>
      </c>
      <c r="B36" s="29">
        <v>3</v>
      </c>
      <c r="C36" s="29" t="s">
        <v>260</v>
      </c>
      <c r="D36" s="4" t="s">
        <v>261</v>
      </c>
      <c r="E36" s="29">
        <v>25</v>
      </c>
      <c r="F36" s="73" t="s">
        <v>251</v>
      </c>
      <c r="G36" s="58" t="str">
        <f>IFERROR(IF(VLOOKUP(TableHandbook[[#This Row],[UDC]],TableAvailabilities[],2,FALSE)&gt;0,"Y",""),"")</f>
        <v>Y</v>
      </c>
      <c r="H36" s="58" t="str">
        <f>IFERROR(IF(VLOOKUP(TableHandbook[[#This Row],[UDC]],TableAvailabilities[],3,FALSE)&gt;0,"Y",""),"")</f>
        <v/>
      </c>
      <c r="I36" s="58" t="str">
        <f>IFERROR(IF(VLOOKUP(TableHandbook[[#This Row],[UDC]],TableAvailabilities[],4,FALSE)&gt;0,"Y",""),"")</f>
        <v>Y</v>
      </c>
      <c r="J36" s="58" t="str">
        <f>IFERROR(IF(VLOOKUP(TableHandbook[[#This Row],[UDC]],TableAvailabilities[],5,FALSE)&gt;0,"Y",""),"")</f>
        <v/>
      </c>
      <c r="K36" s="71"/>
      <c r="L36" s="59" t="str">
        <f>IFERROR(VLOOKUP(TableHandbook[[#This Row],[UDC]],TableOBARCH[],7,FALSE),"")</f>
        <v/>
      </c>
      <c r="M36" s="59" t="str">
        <f>IFERROR(VLOOKUP(TableHandbook[[#This Row],[UDC]],TableOSCUANGAD[],7,FALSE),"")</f>
        <v/>
      </c>
      <c r="N36" s="59" t="str">
        <f>IFERROR(VLOOKUP(TableHandbook[[#This Row],[UDC]],TableOSCUCONMS[],7,FALSE),"")</f>
        <v>AltCore</v>
      </c>
      <c r="O36" s="59" t="str">
        <f>IFERROR(VLOOKUP(TableHandbook[[#This Row],[UDC]],TableOSCUINARS[],7,FALSE),"")</f>
        <v/>
      </c>
      <c r="P36" s="59" t="str">
        <f>IFERROR(VLOOKUP(TableHandbook[[#This Row],[UDC]],TableOSCUPLGEO[],7,FALSE),"")</f>
        <v/>
      </c>
    </row>
    <row r="37" spans="1:16" x14ac:dyDescent="0.25">
      <c r="A37" s="4" t="s">
        <v>62</v>
      </c>
      <c r="B37" s="29">
        <v>1</v>
      </c>
      <c r="C37" s="29" t="s">
        <v>262</v>
      </c>
      <c r="D37" s="4" t="s">
        <v>263</v>
      </c>
      <c r="E37" s="29">
        <v>25</v>
      </c>
      <c r="F37" s="78" t="s">
        <v>196</v>
      </c>
      <c r="G37" s="58" t="str">
        <f>IFERROR(IF(VLOOKUP(TableHandbook[[#This Row],[UDC]],TableAvailabilities[],2,FALSE)&gt;0,"Y",""),"")</f>
        <v>Y</v>
      </c>
      <c r="H37" s="58" t="str">
        <f>IFERROR(IF(VLOOKUP(TableHandbook[[#This Row],[UDC]],TableAvailabilities[],3,FALSE)&gt;0,"Y",""),"")</f>
        <v>Y</v>
      </c>
      <c r="I37" s="58" t="str">
        <f>IFERROR(IF(VLOOKUP(TableHandbook[[#This Row],[UDC]],TableAvailabilities[],4,FALSE)&gt;0,"Y",""),"")</f>
        <v>Y</v>
      </c>
      <c r="J37" s="58" t="str">
        <f>IFERROR(IF(VLOOKUP(TableHandbook[[#This Row],[UDC]],TableAvailabilities[],5,FALSE)&gt;0,"Y",""),"")</f>
        <v>Y</v>
      </c>
      <c r="K37" s="71"/>
      <c r="L37" s="59" t="str">
        <f>IFERROR(VLOOKUP(TableHandbook[[#This Row],[UDC]],TableOBARCH[],7,FALSE),"")</f>
        <v>Core</v>
      </c>
      <c r="M37" s="59" t="str">
        <f>IFERROR(VLOOKUP(TableHandbook[[#This Row],[UDC]],TableOSCUANGAD[],7,FALSE),"")</f>
        <v/>
      </c>
      <c r="N37" s="59" t="str">
        <f>IFERROR(VLOOKUP(TableHandbook[[#This Row],[UDC]],TableOSCUCONMS[],7,FALSE),"")</f>
        <v/>
      </c>
      <c r="O37" s="59" t="str">
        <f>IFERROR(VLOOKUP(TableHandbook[[#This Row],[UDC]],TableOSCUINARS[],7,FALSE),"")</f>
        <v/>
      </c>
      <c r="P37" s="59" t="str">
        <f>IFERROR(VLOOKUP(TableHandbook[[#This Row],[UDC]],TableOSCUPLGEO[],7,FALSE),"")</f>
        <v/>
      </c>
    </row>
    <row r="38" spans="1:16" x14ac:dyDescent="0.25">
      <c r="A38" s="4" t="s">
        <v>165</v>
      </c>
      <c r="B38" s="29">
        <v>2</v>
      </c>
      <c r="C38" s="29" t="s">
        <v>264</v>
      </c>
      <c r="D38" s="4" t="s">
        <v>265</v>
      </c>
      <c r="E38" s="29">
        <v>25</v>
      </c>
      <c r="F38" s="78" t="s">
        <v>196</v>
      </c>
      <c r="G38" s="58" t="str">
        <f>IFERROR(IF(VLOOKUP(TableHandbook[[#This Row],[UDC]],TableAvailabilities[],2,FALSE)&gt;0,"Y",""),"")</f>
        <v>Y</v>
      </c>
      <c r="H38" s="58" t="str">
        <f>IFERROR(IF(VLOOKUP(TableHandbook[[#This Row],[UDC]],TableAvailabilities[],3,FALSE)&gt;0,"Y",""),"")</f>
        <v/>
      </c>
      <c r="I38" s="58" t="str">
        <f>IFERROR(IF(VLOOKUP(TableHandbook[[#This Row],[UDC]],TableAvailabilities[],4,FALSE)&gt;0,"Y",""),"")</f>
        <v/>
      </c>
      <c r="J38" s="58" t="str">
        <f>IFERROR(IF(VLOOKUP(TableHandbook[[#This Row],[UDC]],TableAvailabilities[],5,FALSE)&gt;0,"Y",""),"")</f>
        <v/>
      </c>
      <c r="K38" s="71"/>
      <c r="L38" s="59" t="str">
        <f>IFERROR(VLOOKUP(TableHandbook[[#This Row],[UDC]],TableOBARCH[],7,FALSE),"")</f>
        <v/>
      </c>
      <c r="M38" s="59" t="str">
        <f>IFERROR(VLOOKUP(TableHandbook[[#This Row],[UDC]],TableOSCUANGAD[],7,FALSE),"")</f>
        <v/>
      </c>
      <c r="N38" s="59" t="str">
        <f>IFERROR(VLOOKUP(TableHandbook[[#This Row],[UDC]],TableOSCUCONMS[],7,FALSE),"")</f>
        <v/>
      </c>
      <c r="O38" s="59" t="str">
        <f>IFERROR(VLOOKUP(TableHandbook[[#This Row],[UDC]],TableOSCUINARS[],7,FALSE),"")</f>
        <v/>
      </c>
      <c r="P38" s="59" t="str">
        <f>IFERROR(VLOOKUP(TableHandbook[[#This Row],[UDC]],TableOSCUPLGEO[],7,FALSE),"")</f>
        <v>AltCore</v>
      </c>
    </row>
    <row r="39" spans="1:16" x14ac:dyDescent="0.25">
      <c r="A39" s="4" t="s">
        <v>139</v>
      </c>
      <c r="B39" s="29">
        <v>1</v>
      </c>
      <c r="C39" s="29" t="s">
        <v>266</v>
      </c>
      <c r="D39" s="4" t="s">
        <v>267</v>
      </c>
      <c r="E39" s="29">
        <v>25</v>
      </c>
      <c r="F39" s="78" t="s">
        <v>196</v>
      </c>
      <c r="G39" s="58" t="str">
        <f>IFERROR(IF(VLOOKUP(TableHandbook[[#This Row],[UDC]],TableAvailabilities[],2,FALSE)&gt;0,"Y",""),"")</f>
        <v/>
      </c>
      <c r="H39" s="58" t="str">
        <f>IFERROR(IF(VLOOKUP(TableHandbook[[#This Row],[UDC]],TableAvailabilities[],3,FALSE)&gt;0,"Y",""),"")</f>
        <v>Y</v>
      </c>
      <c r="I39" s="58" t="str">
        <f>IFERROR(IF(VLOOKUP(TableHandbook[[#This Row],[UDC]],TableAvailabilities[],4,FALSE)&gt;0,"Y",""),"")</f>
        <v/>
      </c>
      <c r="J39" s="58" t="str">
        <f>IFERROR(IF(VLOOKUP(TableHandbook[[#This Row],[UDC]],TableAvailabilities[],5,FALSE)&gt;0,"Y",""),"")</f>
        <v>Y</v>
      </c>
      <c r="K39" s="71"/>
      <c r="L39" s="59" t="str">
        <f>IFERROR(VLOOKUP(TableHandbook[[#This Row],[UDC]],TableOBARCH[],7,FALSE),"")</f>
        <v/>
      </c>
      <c r="M39" s="59" t="str">
        <f>IFERROR(VLOOKUP(TableHandbook[[#This Row],[UDC]],TableOSCUANGAD[],7,FALSE),"")</f>
        <v>Core</v>
      </c>
      <c r="N39" s="59" t="str">
        <f>IFERROR(VLOOKUP(TableHandbook[[#This Row],[UDC]],TableOSCUCONMS[],7,FALSE),"")</f>
        <v/>
      </c>
      <c r="O39" s="59" t="str">
        <f>IFERROR(VLOOKUP(TableHandbook[[#This Row],[UDC]],TableOSCUINARS[],7,FALSE),"")</f>
        <v/>
      </c>
      <c r="P39" s="59" t="str">
        <f>IFERROR(VLOOKUP(TableHandbook[[#This Row],[UDC]],TableOSCUPLGEO[],7,FALSE),"")</f>
        <v/>
      </c>
    </row>
    <row r="40" spans="1:16" x14ac:dyDescent="0.25">
      <c r="A40" s="4" t="s">
        <v>145</v>
      </c>
      <c r="B40" s="29">
        <v>1</v>
      </c>
      <c r="C40" s="29" t="s">
        <v>268</v>
      </c>
      <c r="D40" s="4" t="s">
        <v>269</v>
      </c>
      <c r="E40" s="29">
        <v>25</v>
      </c>
      <c r="F40" s="73" t="s">
        <v>270</v>
      </c>
      <c r="G40" s="58" t="str">
        <f>IFERROR(IF(VLOOKUP(TableHandbook[[#This Row],[UDC]],TableAvailabilities[],2,FALSE)&gt;0,"Y",""),"")</f>
        <v>Y</v>
      </c>
      <c r="H40" s="58" t="str">
        <f>IFERROR(IF(VLOOKUP(TableHandbook[[#This Row],[UDC]],TableAvailabilities[],3,FALSE)&gt;0,"Y",""),"")</f>
        <v/>
      </c>
      <c r="I40" s="58" t="str">
        <f>IFERROR(IF(VLOOKUP(TableHandbook[[#This Row],[UDC]],TableAvailabilities[],4,FALSE)&gt;0,"Y",""),"")</f>
        <v>Y</v>
      </c>
      <c r="J40" s="58" t="str">
        <f>IFERROR(IF(VLOOKUP(TableHandbook[[#This Row],[UDC]],TableAvailabilities[],5,FALSE)&gt;0,"Y",""),"")</f>
        <v/>
      </c>
      <c r="K40" s="71"/>
      <c r="L40" s="59" t="str">
        <f>IFERROR(VLOOKUP(TableHandbook[[#This Row],[UDC]],TableOBARCH[],7,FALSE),"")</f>
        <v/>
      </c>
      <c r="M40" s="59" t="str">
        <f>IFERROR(VLOOKUP(TableHandbook[[#This Row],[UDC]],TableOSCUANGAD[],7,FALSE),"")</f>
        <v>Core</v>
      </c>
      <c r="N40" s="59" t="str">
        <f>IFERROR(VLOOKUP(TableHandbook[[#This Row],[UDC]],TableOSCUCONMS[],7,FALSE),"")</f>
        <v/>
      </c>
      <c r="O40" s="59" t="str">
        <f>IFERROR(VLOOKUP(TableHandbook[[#This Row],[UDC]],TableOSCUINARS[],7,FALSE),"")</f>
        <v/>
      </c>
      <c r="P40" s="59" t="str">
        <f>IFERROR(VLOOKUP(TableHandbook[[#This Row],[UDC]],TableOSCUPLGEO[],7,FALSE),"")</f>
        <v/>
      </c>
    </row>
    <row r="41" spans="1:16" x14ac:dyDescent="0.25">
      <c r="A41" s="4" t="s">
        <v>150</v>
      </c>
      <c r="B41" s="29">
        <v>1</v>
      </c>
      <c r="C41" s="29" t="s">
        <v>271</v>
      </c>
      <c r="D41" s="4" t="s">
        <v>272</v>
      </c>
      <c r="E41" s="29">
        <v>25</v>
      </c>
      <c r="F41" s="78" t="s">
        <v>196</v>
      </c>
      <c r="G41" s="58" t="str">
        <f>IFERROR(IF(VLOOKUP(TableHandbook[[#This Row],[UDC]],TableAvailabilities[],2,FALSE)&gt;0,"Y",""),"")</f>
        <v/>
      </c>
      <c r="H41" s="58" t="str">
        <f>IFERROR(IF(VLOOKUP(TableHandbook[[#This Row],[UDC]],TableAvailabilities[],3,FALSE)&gt;0,"Y",""),"")</f>
        <v>Y</v>
      </c>
      <c r="I41" s="58" t="str">
        <f>IFERROR(IF(VLOOKUP(TableHandbook[[#This Row],[UDC]],TableAvailabilities[],4,FALSE)&gt;0,"Y",""),"")</f>
        <v/>
      </c>
      <c r="J41" s="58" t="str">
        <f>IFERROR(IF(VLOOKUP(TableHandbook[[#This Row],[UDC]],TableAvailabilities[],5,FALSE)&gt;0,"Y",""),"")</f>
        <v>Y</v>
      </c>
      <c r="K41" s="71"/>
      <c r="L41" s="59" t="str">
        <f>IFERROR(VLOOKUP(TableHandbook[[#This Row],[UDC]],TableOBARCH[],7,FALSE),"")</f>
        <v/>
      </c>
      <c r="M41" s="59" t="str">
        <f>IFERROR(VLOOKUP(TableHandbook[[#This Row],[UDC]],TableOSCUANGAD[],7,FALSE),"")</f>
        <v>Core</v>
      </c>
      <c r="N41" s="59" t="str">
        <f>IFERROR(VLOOKUP(TableHandbook[[#This Row],[UDC]],TableOSCUCONMS[],7,FALSE),"")</f>
        <v/>
      </c>
      <c r="O41" s="59" t="str">
        <f>IFERROR(VLOOKUP(TableHandbook[[#This Row],[UDC]],TableOSCUINARS[],7,FALSE),"")</f>
        <v/>
      </c>
      <c r="P41" s="59" t="str">
        <f>IFERROR(VLOOKUP(TableHandbook[[#This Row],[UDC]],TableOSCUPLGEO[],7,FALSE),"")</f>
        <v/>
      </c>
    </row>
    <row r="42" spans="1:16" x14ac:dyDescent="0.25">
      <c r="A42" s="4" t="s">
        <v>162</v>
      </c>
      <c r="B42" s="29">
        <v>2</v>
      </c>
      <c r="C42" s="29" t="s">
        <v>273</v>
      </c>
      <c r="D42" s="4" t="s">
        <v>274</v>
      </c>
      <c r="E42" s="29">
        <v>25</v>
      </c>
      <c r="F42" s="73" t="s">
        <v>275</v>
      </c>
      <c r="G42" s="58" t="str">
        <f>IFERROR(IF(VLOOKUP(TableHandbook[[#This Row],[UDC]],TableAvailabilities[],2,FALSE)&gt;0,"Y",""),"")</f>
        <v>Y</v>
      </c>
      <c r="H42" s="58" t="str">
        <f>IFERROR(IF(VLOOKUP(TableHandbook[[#This Row],[UDC]],TableAvailabilities[],3,FALSE)&gt;0,"Y",""),"")</f>
        <v/>
      </c>
      <c r="I42" s="58" t="str">
        <f>IFERROR(IF(VLOOKUP(TableHandbook[[#This Row],[UDC]],TableAvailabilities[],4,FALSE)&gt;0,"Y",""),"")</f>
        <v>Y</v>
      </c>
      <c r="J42" s="58" t="str">
        <f>IFERROR(IF(VLOOKUP(TableHandbook[[#This Row],[UDC]],TableAvailabilities[],5,FALSE)&gt;0,"Y",""),"")</f>
        <v/>
      </c>
      <c r="K42" s="71"/>
      <c r="L42" s="59" t="str">
        <f>IFERROR(VLOOKUP(TableHandbook[[#This Row],[UDC]],TableOBARCH[],7,FALSE),"")</f>
        <v/>
      </c>
      <c r="M42" s="59" t="str">
        <f>IFERROR(VLOOKUP(TableHandbook[[#This Row],[UDC]],TableOSCUANGAD[],7,FALSE),"")</f>
        <v>AltCore</v>
      </c>
      <c r="N42" s="59" t="str">
        <f>IFERROR(VLOOKUP(TableHandbook[[#This Row],[UDC]],TableOSCUCONMS[],7,FALSE),"")</f>
        <v/>
      </c>
      <c r="O42" s="59" t="str">
        <f>IFERROR(VLOOKUP(TableHandbook[[#This Row],[UDC]],TableOSCUINARS[],7,FALSE),"")</f>
        <v/>
      </c>
      <c r="P42" s="59" t="str">
        <f>IFERROR(VLOOKUP(TableHandbook[[#This Row],[UDC]],TableOSCUPLGEO[],7,FALSE),"")</f>
        <v/>
      </c>
    </row>
    <row r="43" spans="1:16" x14ac:dyDescent="0.25">
      <c r="A43" s="4" t="s">
        <v>141</v>
      </c>
      <c r="B43" s="29">
        <v>4</v>
      </c>
      <c r="C43" s="29" t="s">
        <v>276</v>
      </c>
      <c r="D43" s="4" t="s">
        <v>277</v>
      </c>
      <c r="E43" s="29">
        <v>25</v>
      </c>
      <c r="F43" s="78" t="s">
        <v>196</v>
      </c>
      <c r="G43" s="58" t="str">
        <f>IFERROR(IF(VLOOKUP(TableHandbook[[#This Row],[UDC]],TableAvailabilities[],2,FALSE)&gt;0,"Y",""),"")</f>
        <v>Y</v>
      </c>
      <c r="H43" s="58" t="str">
        <f>IFERROR(IF(VLOOKUP(TableHandbook[[#This Row],[UDC]],TableAvailabilities[],3,FALSE)&gt;0,"Y",""),"")</f>
        <v/>
      </c>
      <c r="I43" s="58" t="str">
        <f>IFERROR(IF(VLOOKUP(TableHandbook[[#This Row],[UDC]],TableAvailabilities[],4,FALSE)&gt;0,"Y",""),"")</f>
        <v/>
      </c>
      <c r="J43" s="58" t="str">
        <f>IFERROR(IF(VLOOKUP(TableHandbook[[#This Row],[UDC]],TableAvailabilities[],5,FALSE)&gt;0,"Y",""),"")</f>
        <v/>
      </c>
      <c r="K43" s="71"/>
      <c r="L43" s="59" t="str">
        <f>IFERROR(VLOOKUP(TableHandbook[[#This Row],[UDC]],TableOBARCH[],7,FALSE),"")</f>
        <v/>
      </c>
      <c r="M43" s="59" t="str">
        <f>IFERROR(VLOOKUP(TableHandbook[[#This Row],[UDC]],TableOSCUANGAD[],7,FALSE),"")</f>
        <v/>
      </c>
      <c r="N43" s="59" t="str">
        <f>IFERROR(VLOOKUP(TableHandbook[[#This Row],[UDC]],TableOSCUCONMS[],7,FALSE),"")</f>
        <v/>
      </c>
      <c r="O43" s="59" t="str">
        <f>IFERROR(VLOOKUP(TableHandbook[[#This Row],[UDC]],TableOSCUINARS[],7,FALSE),"")</f>
        <v>AltCore</v>
      </c>
      <c r="P43" s="59" t="str">
        <f>IFERROR(VLOOKUP(TableHandbook[[#This Row],[UDC]],TableOSCUPLGEO[],7,FALSE),"")</f>
        <v/>
      </c>
    </row>
    <row r="44" spans="1:16" x14ac:dyDescent="0.25">
      <c r="A44" s="4" t="s">
        <v>147</v>
      </c>
      <c r="B44" s="29">
        <v>1</v>
      </c>
      <c r="C44" s="29" t="s">
        <v>278</v>
      </c>
      <c r="D44" s="4" t="s">
        <v>279</v>
      </c>
      <c r="E44" s="29">
        <v>25</v>
      </c>
      <c r="F44" s="78" t="s">
        <v>196</v>
      </c>
      <c r="G44" s="58" t="str">
        <f>IFERROR(IF(VLOOKUP(TableHandbook[[#This Row],[UDC]],TableAvailabilities[],2,FALSE)&gt;0,"Y",""),"")</f>
        <v/>
      </c>
      <c r="H44" s="58" t="str">
        <f>IFERROR(IF(VLOOKUP(TableHandbook[[#This Row],[UDC]],TableAvailabilities[],3,FALSE)&gt;0,"Y",""),"")</f>
        <v/>
      </c>
      <c r="I44" s="58" t="str">
        <f>IFERROR(IF(VLOOKUP(TableHandbook[[#This Row],[UDC]],TableAvailabilities[],4,FALSE)&gt;0,"Y",""),"")</f>
        <v>Y</v>
      </c>
      <c r="J44" s="58" t="str">
        <f>IFERROR(IF(VLOOKUP(TableHandbook[[#This Row],[UDC]],TableAvailabilities[],5,FALSE)&gt;0,"Y",""),"")</f>
        <v/>
      </c>
      <c r="K44" s="71"/>
      <c r="L44" s="59" t="str">
        <f>IFERROR(VLOOKUP(TableHandbook[[#This Row],[UDC]],TableOBARCH[],7,FALSE),"")</f>
        <v/>
      </c>
      <c r="M44" s="59" t="str">
        <f>IFERROR(VLOOKUP(TableHandbook[[#This Row],[UDC]],TableOSCUANGAD[],7,FALSE),"")</f>
        <v/>
      </c>
      <c r="N44" s="59" t="str">
        <f>IFERROR(VLOOKUP(TableHandbook[[#This Row],[UDC]],TableOSCUCONMS[],7,FALSE),"")</f>
        <v/>
      </c>
      <c r="O44" s="59" t="str">
        <f>IFERROR(VLOOKUP(TableHandbook[[#This Row],[UDC]],TableOSCUINARS[],7,FALSE),"")</f>
        <v>AltCore</v>
      </c>
      <c r="P44" s="59" t="str">
        <f>IFERROR(VLOOKUP(TableHandbook[[#This Row],[UDC]],TableOSCUPLGEO[],7,FALSE),"")</f>
        <v/>
      </c>
    </row>
    <row r="45" spans="1:16" x14ac:dyDescent="0.25">
      <c r="A45" s="4" t="s">
        <v>172</v>
      </c>
      <c r="B45" s="29">
        <v>4</v>
      </c>
      <c r="C45" s="29" t="s">
        <v>280</v>
      </c>
      <c r="D45" s="4" t="s">
        <v>281</v>
      </c>
      <c r="E45" s="29">
        <v>25</v>
      </c>
      <c r="F45" s="73" t="s">
        <v>276</v>
      </c>
      <c r="G45" s="58" t="str">
        <f>IFERROR(IF(VLOOKUP(TableHandbook[[#This Row],[UDC]],TableAvailabilities[],2,FALSE)&gt;0,"Y",""),"")</f>
        <v/>
      </c>
      <c r="H45" s="58" t="str">
        <f>IFERROR(IF(VLOOKUP(TableHandbook[[#This Row],[UDC]],TableAvailabilities[],3,FALSE)&gt;0,"Y",""),"")</f>
        <v/>
      </c>
      <c r="I45" s="58" t="str">
        <f>IFERROR(IF(VLOOKUP(TableHandbook[[#This Row],[UDC]],TableAvailabilities[],4,FALSE)&gt;0,"Y",""),"")</f>
        <v>Y</v>
      </c>
      <c r="J45" s="58" t="str">
        <f>IFERROR(IF(VLOOKUP(TableHandbook[[#This Row],[UDC]],TableAvailabilities[],5,FALSE)&gt;0,"Y",""),"")</f>
        <v/>
      </c>
      <c r="K45" s="71"/>
      <c r="L45" s="59" t="str">
        <f>IFERROR(VLOOKUP(TableHandbook[[#This Row],[UDC]],TableOBARCH[],7,FALSE),"")</f>
        <v/>
      </c>
      <c r="M45" s="59" t="str">
        <f>IFERROR(VLOOKUP(TableHandbook[[#This Row],[UDC]],TableOSCUANGAD[],7,FALSE),"")</f>
        <v/>
      </c>
      <c r="N45" s="59" t="str">
        <f>IFERROR(VLOOKUP(TableHandbook[[#This Row],[UDC]],TableOSCUCONMS[],7,FALSE),"")</f>
        <v/>
      </c>
      <c r="O45" s="59" t="str">
        <f>IFERROR(VLOOKUP(TableHandbook[[#This Row],[UDC]],TableOSCUINARS[],7,FALSE),"")</f>
        <v>Option</v>
      </c>
      <c r="P45" s="59" t="str">
        <f>IFERROR(VLOOKUP(TableHandbook[[#This Row],[UDC]],TableOSCUPLGEO[],7,FALSE),"")</f>
        <v/>
      </c>
    </row>
    <row r="46" spans="1:16" x14ac:dyDescent="0.25">
      <c r="A46" s="4" t="s">
        <v>159</v>
      </c>
      <c r="B46" s="29">
        <v>1</v>
      </c>
      <c r="C46" s="29" t="s">
        <v>282</v>
      </c>
      <c r="D46" s="4" t="s">
        <v>283</v>
      </c>
      <c r="E46" s="29">
        <v>25</v>
      </c>
      <c r="F46" s="73" t="s">
        <v>212</v>
      </c>
      <c r="G46" s="58" t="str">
        <f>IFERROR(IF(VLOOKUP(TableHandbook[[#This Row],[UDC]],TableAvailabilities[],2,FALSE)&gt;0,"Y",""),"")</f>
        <v/>
      </c>
      <c r="H46" s="58" t="str">
        <f>IFERROR(IF(VLOOKUP(TableHandbook[[#This Row],[UDC]],TableAvailabilities[],3,FALSE)&gt;0,"Y",""),"")</f>
        <v>Y</v>
      </c>
      <c r="I46" s="58" t="str">
        <f>IFERROR(IF(VLOOKUP(TableHandbook[[#This Row],[UDC]],TableAvailabilities[],4,FALSE)&gt;0,"Y",""),"")</f>
        <v/>
      </c>
      <c r="J46" s="58" t="str">
        <f>IFERROR(IF(VLOOKUP(TableHandbook[[#This Row],[UDC]],TableAvailabilities[],5,FALSE)&gt;0,"Y",""),"")</f>
        <v/>
      </c>
      <c r="K46" s="71"/>
      <c r="L46" s="59" t="str">
        <f>IFERROR(VLOOKUP(TableHandbook[[#This Row],[UDC]],TableOBARCH[],7,FALSE),"")</f>
        <v/>
      </c>
      <c r="M46" s="59" t="str">
        <f>IFERROR(VLOOKUP(TableHandbook[[#This Row],[UDC]],TableOSCUANGAD[],7,FALSE),"")</f>
        <v/>
      </c>
      <c r="N46" s="59" t="str">
        <f>IFERROR(VLOOKUP(TableHandbook[[#This Row],[UDC]],TableOSCUCONMS[],7,FALSE),"")</f>
        <v/>
      </c>
      <c r="O46" s="59" t="str">
        <f>IFERROR(VLOOKUP(TableHandbook[[#This Row],[UDC]],TableOSCUINARS[],7,FALSE),"")</f>
        <v>Core</v>
      </c>
      <c r="P46" s="59" t="str">
        <f>IFERROR(VLOOKUP(TableHandbook[[#This Row],[UDC]],TableOSCUPLGEO[],7,FALSE),"")</f>
        <v/>
      </c>
    </row>
    <row r="47" spans="1:16" x14ac:dyDescent="0.25">
      <c r="A47" s="4" t="s">
        <v>174</v>
      </c>
      <c r="B47" s="29">
        <v>1</v>
      </c>
      <c r="C47" s="29" t="s">
        <v>284</v>
      </c>
      <c r="D47" s="4" t="s">
        <v>285</v>
      </c>
      <c r="E47" s="29">
        <v>25</v>
      </c>
      <c r="F47" s="73" t="s">
        <v>212</v>
      </c>
      <c r="G47" s="58" t="str">
        <f>IFERROR(IF(VLOOKUP(TableHandbook[[#This Row],[UDC]],TableAvailabilities[],2,FALSE)&gt;0,"Y",""),"")</f>
        <v/>
      </c>
      <c r="H47" s="58" t="str">
        <f>IFERROR(IF(VLOOKUP(TableHandbook[[#This Row],[UDC]],TableAvailabilities[],3,FALSE)&gt;0,"Y",""),"")</f>
        <v/>
      </c>
      <c r="I47" s="58" t="str">
        <f>IFERROR(IF(VLOOKUP(TableHandbook[[#This Row],[UDC]],TableAvailabilities[],4,FALSE)&gt;0,"Y",""),"")</f>
        <v>Y</v>
      </c>
      <c r="J47" s="58" t="str">
        <f>IFERROR(IF(VLOOKUP(TableHandbook[[#This Row],[UDC]],TableAvailabilities[],5,FALSE)&gt;0,"Y",""),"")</f>
        <v/>
      </c>
      <c r="K47" s="71"/>
      <c r="L47" s="59" t="str">
        <f>IFERROR(VLOOKUP(TableHandbook[[#This Row],[UDC]],TableOBARCH[],7,FALSE),"")</f>
        <v/>
      </c>
      <c r="M47" s="59" t="str">
        <f>IFERROR(VLOOKUP(TableHandbook[[#This Row],[UDC]],TableOSCUANGAD[],7,FALSE),"")</f>
        <v/>
      </c>
      <c r="N47" s="59" t="str">
        <f>IFERROR(VLOOKUP(TableHandbook[[#This Row],[UDC]],TableOSCUCONMS[],7,FALSE),"")</f>
        <v/>
      </c>
      <c r="O47" s="59" t="str">
        <f>IFERROR(VLOOKUP(TableHandbook[[#This Row],[UDC]],TableOSCUINARS[],7,FALSE),"")</f>
        <v>Option</v>
      </c>
      <c r="P47" s="59" t="str">
        <f>IFERROR(VLOOKUP(TableHandbook[[#This Row],[UDC]],TableOSCUPLGEO[],7,FALSE),"")</f>
        <v/>
      </c>
    </row>
    <row r="48" spans="1:16" x14ac:dyDescent="0.25">
      <c r="A48" s="4" t="s">
        <v>164</v>
      </c>
      <c r="B48" s="29">
        <v>1</v>
      </c>
      <c r="C48" s="29" t="s">
        <v>286</v>
      </c>
      <c r="D48" s="4" t="s">
        <v>287</v>
      </c>
      <c r="E48" s="29">
        <v>25</v>
      </c>
      <c r="F48" s="73" t="s">
        <v>237</v>
      </c>
      <c r="G48" s="58" t="str">
        <f>IFERROR(IF(VLOOKUP(TableHandbook[[#This Row],[UDC]],TableAvailabilities[],2,FALSE)&gt;0,"Y",""),"")</f>
        <v>Y</v>
      </c>
      <c r="H48" s="58" t="str">
        <f>IFERROR(IF(VLOOKUP(TableHandbook[[#This Row],[UDC]],TableAvailabilities[],3,FALSE)&gt;0,"Y",""),"")</f>
        <v/>
      </c>
      <c r="I48" s="58" t="str">
        <f>IFERROR(IF(VLOOKUP(TableHandbook[[#This Row],[UDC]],TableAvailabilities[],4,FALSE)&gt;0,"Y",""),"")</f>
        <v/>
      </c>
      <c r="J48" s="58" t="str">
        <f>IFERROR(IF(VLOOKUP(TableHandbook[[#This Row],[UDC]],TableAvailabilities[],5,FALSE)&gt;0,"Y",""),"")</f>
        <v/>
      </c>
      <c r="K48" s="71"/>
      <c r="L48" s="59" t="str">
        <f>IFERROR(VLOOKUP(TableHandbook[[#This Row],[UDC]],TableOBARCH[],7,FALSE),"")</f>
        <v/>
      </c>
      <c r="M48" s="59" t="str">
        <f>IFERROR(VLOOKUP(TableHandbook[[#This Row],[UDC]],TableOSCUANGAD[],7,FALSE),"")</f>
        <v/>
      </c>
      <c r="N48" s="59" t="str">
        <f>IFERROR(VLOOKUP(TableHandbook[[#This Row],[UDC]],TableOSCUCONMS[],7,FALSE),"")</f>
        <v/>
      </c>
      <c r="O48" s="59" t="str">
        <f>IFERROR(VLOOKUP(TableHandbook[[#This Row],[UDC]],TableOSCUINARS[],7,FALSE),"")</f>
        <v>Core</v>
      </c>
      <c r="P48" s="59" t="str">
        <f>IFERROR(VLOOKUP(TableHandbook[[#This Row],[UDC]],TableOSCUPLGEO[],7,FALSE),"")</f>
        <v/>
      </c>
    </row>
    <row r="49" spans="1:16" x14ac:dyDescent="0.25">
      <c r="A49" s="4" t="s">
        <v>170</v>
      </c>
      <c r="B49" s="29">
        <v>0</v>
      </c>
      <c r="C49" s="29"/>
      <c r="D49" s="4" t="s">
        <v>288</v>
      </c>
      <c r="E49" s="29">
        <v>25</v>
      </c>
      <c r="F49" s="78"/>
      <c r="G49" s="58" t="str">
        <f>IFERROR(IF(VLOOKUP(TableHandbook[[#This Row],[UDC]],TableAvailabilities[],2,FALSE)&gt;0,"Y",""),"")</f>
        <v/>
      </c>
      <c r="H49" s="58" t="str">
        <f>IFERROR(IF(VLOOKUP(TableHandbook[[#This Row],[UDC]],TableAvailabilities[],3,FALSE)&gt;0,"Y",""),"")</f>
        <v/>
      </c>
      <c r="I49" s="58" t="str">
        <f>IFERROR(IF(VLOOKUP(TableHandbook[[#This Row],[UDC]],TableAvailabilities[],4,FALSE)&gt;0,"Y",""),"")</f>
        <v/>
      </c>
      <c r="J49" s="58" t="str">
        <f>IFERROR(IF(VLOOKUP(TableHandbook[[#This Row],[UDC]],TableAvailabilities[],5,FALSE)&gt;0,"Y",""),"")</f>
        <v/>
      </c>
      <c r="K49" s="71"/>
      <c r="L49" s="59" t="str">
        <f>IFERROR(VLOOKUP(TableHandbook[[#This Row],[UDC]],TableOBARCH[],7,FALSE),"")</f>
        <v/>
      </c>
      <c r="M49" s="59" t="str">
        <f>IFERROR(VLOOKUP(TableHandbook[[#This Row],[UDC]],TableOSCUANGAD[],7,FALSE),"")</f>
        <v/>
      </c>
      <c r="N49" s="59" t="str">
        <f>IFERROR(VLOOKUP(TableHandbook[[#This Row],[UDC]],TableOSCUCONMS[],7,FALSE),"")</f>
        <v/>
      </c>
      <c r="O49" s="59" t="str">
        <f>IFERROR(VLOOKUP(TableHandbook[[#This Row],[UDC]],TableOSCUINARS[],7,FALSE),"")</f>
        <v>Option</v>
      </c>
      <c r="P49" s="59" t="str">
        <f>IFERROR(VLOOKUP(TableHandbook[[#This Row],[UDC]],TableOSCUPLGEO[],7,FALSE),"")</f>
        <v/>
      </c>
    </row>
    <row r="50" spans="1:16" x14ac:dyDescent="0.25">
      <c r="A50" s="4" t="s">
        <v>104</v>
      </c>
      <c r="B50" s="29">
        <v>1</v>
      </c>
      <c r="C50" s="29"/>
      <c r="D50" s="4" t="s">
        <v>103</v>
      </c>
      <c r="E50" s="29">
        <v>100</v>
      </c>
      <c r="F50" s="78" t="s">
        <v>186</v>
      </c>
      <c r="G50" s="58" t="str">
        <f>IFERROR(IF(VLOOKUP(TableHandbook[[#This Row],[UDC]],TableAvailabilities[],2,FALSE)&gt;0,"Y",""),"")</f>
        <v/>
      </c>
      <c r="H50" s="58" t="str">
        <f>IFERROR(IF(VLOOKUP(TableHandbook[[#This Row],[UDC]],TableAvailabilities[],3,FALSE)&gt;0,"Y",""),"")</f>
        <v/>
      </c>
      <c r="I50" s="58" t="str">
        <f>IFERROR(IF(VLOOKUP(TableHandbook[[#This Row],[UDC]],TableAvailabilities[],4,FALSE)&gt;0,"Y",""),"")</f>
        <v/>
      </c>
      <c r="J50" s="58" t="str">
        <f>IFERROR(IF(VLOOKUP(TableHandbook[[#This Row],[UDC]],TableAvailabilities[],5,FALSE)&gt;0,"Y",""),"")</f>
        <v/>
      </c>
      <c r="K50" s="71"/>
      <c r="L50" s="59" t="str">
        <f>IFERROR(VLOOKUP(TableHandbook[[#This Row],[UDC]],TableOBARCH[],7,FALSE),"")</f>
        <v>AltCore</v>
      </c>
      <c r="M50" s="59" t="str">
        <f>IFERROR(VLOOKUP(TableHandbook[[#This Row],[UDC]],TableOSCUANGAD[],7,FALSE),"")</f>
        <v/>
      </c>
      <c r="N50" s="59" t="str">
        <f>IFERROR(VLOOKUP(TableHandbook[[#This Row],[UDC]],TableOSCUCONMS[],7,FALSE),"")</f>
        <v/>
      </c>
      <c r="O50" s="59" t="str">
        <f>IFERROR(VLOOKUP(TableHandbook[[#This Row],[UDC]],TableOSCUINARS[],7,FALSE),"")</f>
        <v/>
      </c>
      <c r="P50" s="59" t="str">
        <f>IFERROR(VLOOKUP(TableHandbook[[#This Row],[UDC]],TableOSCUPLGEO[],7,FALSE),"")</f>
        <v/>
      </c>
    </row>
    <row r="51" spans="1:16" x14ac:dyDescent="0.25">
      <c r="A51" s="4" t="s">
        <v>108</v>
      </c>
      <c r="B51" s="29">
        <v>1</v>
      </c>
      <c r="C51" s="29"/>
      <c r="D51" s="4" t="s">
        <v>107</v>
      </c>
      <c r="E51" s="29">
        <v>100</v>
      </c>
      <c r="F51" s="78" t="s">
        <v>186</v>
      </c>
      <c r="G51" s="58" t="str">
        <f>IFERROR(IF(VLOOKUP(TableHandbook[[#This Row],[UDC]],TableAvailabilities[],2,FALSE)&gt;0,"Y",""),"")</f>
        <v/>
      </c>
      <c r="H51" s="58" t="str">
        <f>IFERROR(IF(VLOOKUP(TableHandbook[[#This Row],[UDC]],TableAvailabilities[],3,FALSE)&gt;0,"Y",""),"")</f>
        <v/>
      </c>
      <c r="I51" s="58" t="str">
        <f>IFERROR(IF(VLOOKUP(TableHandbook[[#This Row],[UDC]],TableAvailabilities[],4,FALSE)&gt;0,"Y",""),"")</f>
        <v/>
      </c>
      <c r="J51" s="58" t="str">
        <f>IFERROR(IF(VLOOKUP(TableHandbook[[#This Row],[UDC]],TableAvailabilities[],5,FALSE)&gt;0,"Y",""),"")</f>
        <v/>
      </c>
      <c r="K51" s="71"/>
      <c r="L51" s="59" t="str">
        <f>IFERROR(VLOOKUP(TableHandbook[[#This Row],[UDC]],TableOBARCH[],7,FALSE),"")</f>
        <v>AltCore</v>
      </c>
      <c r="M51" s="59" t="str">
        <f>IFERROR(VLOOKUP(TableHandbook[[#This Row],[UDC]],TableOSCUANGAD[],7,FALSE),"")</f>
        <v/>
      </c>
      <c r="N51" s="59" t="str">
        <f>IFERROR(VLOOKUP(TableHandbook[[#This Row],[UDC]],TableOSCUCONMS[],7,FALSE),"")</f>
        <v/>
      </c>
      <c r="O51" s="59" t="str">
        <f>IFERROR(VLOOKUP(TableHandbook[[#This Row],[UDC]],TableOSCUINARS[],7,FALSE),"")</f>
        <v/>
      </c>
      <c r="P51" s="59" t="str">
        <f>IFERROR(VLOOKUP(TableHandbook[[#This Row],[UDC]],TableOSCUPLGEO[],7,FALSE),"")</f>
        <v/>
      </c>
    </row>
    <row r="52" spans="1:16" x14ac:dyDescent="0.25">
      <c r="A52" s="4" t="s">
        <v>116</v>
      </c>
      <c r="B52" s="29">
        <v>3</v>
      </c>
      <c r="C52" s="29"/>
      <c r="D52" s="4" t="s">
        <v>14</v>
      </c>
      <c r="E52" s="29">
        <v>100</v>
      </c>
      <c r="F52" s="78" t="s">
        <v>186</v>
      </c>
      <c r="G52" s="58" t="str">
        <f>IFERROR(IF(VLOOKUP(TableHandbook[[#This Row],[UDC]],TableAvailabilities[],2,FALSE)&gt;0,"Y",""),"")</f>
        <v/>
      </c>
      <c r="H52" s="58" t="str">
        <f>IFERROR(IF(VLOOKUP(TableHandbook[[#This Row],[UDC]],TableAvailabilities[],3,FALSE)&gt;0,"Y",""),"")</f>
        <v/>
      </c>
      <c r="I52" s="58" t="str">
        <f>IFERROR(IF(VLOOKUP(TableHandbook[[#This Row],[UDC]],TableAvailabilities[],4,FALSE)&gt;0,"Y",""),"")</f>
        <v/>
      </c>
      <c r="J52" s="58" t="str">
        <f>IFERROR(IF(VLOOKUP(TableHandbook[[#This Row],[UDC]],TableAvailabilities[],5,FALSE)&gt;0,"Y",""),"")</f>
        <v/>
      </c>
      <c r="K52" s="71"/>
      <c r="L52" s="59" t="str">
        <f>IFERROR(VLOOKUP(TableHandbook[[#This Row],[UDC]],TableOBARCH[],7,FALSE),"")</f>
        <v>AltCore</v>
      </c>
      <c r="M52" s="59" t="str">
        <f>IFERROR(VLOOKUP(TableHandbook[[#This Row],[UDC]],TableOSCUANGAD[],7,FALSE),"")</f>
        <v/>
      </c>
      <c r="N52" s="59" t="str">
        <f>IFERROR(VLOOKUP(TableHandbook[[#This Row],[UDC]],TableOSCUCONMS[],7,FALSE),"")</f>
        <v/>
      </c>
      <c r="O52" s="59" t="str">
        <f>IFERROR(VLOOKUP(TableHandbook[[#This Row],[UDC]],TableOSCUINARS[],7,FALSE),"")</f>
        <v/>
      </c>
      <c r="P52" s="59" t="str">
        <f>IFERROR(VLOOKUP(TableHandbook[[#This Row],[UDC]],TableOSCUPLGEO[],7,FALSE),"")</f>
        <v/>
      </c>
    </row>
    <row r="53" spans="1:16" x14ac:dyDescent="0.25">
      <c r="A53" s="4" t="s">
        <v>120</v>
      </c>
      <c r="B53" s="29">
        <v>1</v>
      </c>
      <c r="C53" s="29"/>
      <c r="D53" s="4" t="s">
        <v>119</v>
      </c>
      <c r="E53" s="29">
        <v>100</v>
      </c>
      <c r="F53" s="78" t="s">
        <v>186</v>
      </c>
      <c r="G53" s="58" t="str">
        <f>IFERROR(IF(VLOOKUP(TableHandbook[[#This Row],[UDC]],TableAvailabilities[],2,FALSE)&gt;0,"Y",""),"")</f>
        <v/>
      </c>
      <c r="H53" s="58" t="str">
        <f>IFERROR(IF(VLOOKUP(TableHandbook[[#This Row],[UDC]],TableAvailabilities[],3,FALSE)&gt;0,"Y",""),"")</f>
        <v/>
      </c>
      <c r="I53" s="58" t="str">
        <f>IFERROR(IF(VLOOKUP(TableHandbook[[#This Row],[UDC]],TableAvailabilities[],4,FALSE)&gt;0,"Y",""),"")</f>
        <v/>
      </c>
      <c r="J53" s="58" t="str">
        <f>IFERROR(IF(VLOOKUP(TableHandbook[[#This Row],[UDC]],TableAvailabilities[],5,FALSE)&gt;0,"Y",""),"")</f>
        <v/>
      </c>
      <c r="K53" s="71"/>
      <c r="L53" s="59" t="str">
        <f>IFERROR(VLOOKUP(TableHandbook[[#This Row],[UDC]],TableOBARCH[],7,FALSE),"")</f>
        <v>AltCore</v>
      </c>
      <c r="M53" s="59" t="str">
        <f>IFERROR(VLOOKUP(TableHandbook[[#This Row],[UDC]],TableOSCUANGAD[],7,FALSE),"")</f>
        <v/>
      </c>
      <c r="N53" s="59" t="str">
        <f>IFERROR(VLOOKUP(TableHandbook[[#This Row],[UDC]],TableOSCUCONMS[],7,FALSE),"")</f>
        <v/>
      </c>
      <c r="O53" s="59" t="str">
        <f>IFERROR(VLOOKUP(TableHandbook[[#This Row],[UDC]],TableOSCUINARS[],7,FALSE),"")</f>
        <v/>
      </c>
      <c r="P53" s="59" t="str">
        <f>IFERROR(VLOOKUP(TableHandbook[[#This Row],[UDC]],TableOSCUPLGEO[],7,FALSE),"")</f>
        <v/>
      </c>
    </row>
    <row r="54" spans="1:16" x14ac:dyDescent="0.25">
      <c r="A54" s="4" t="s">
        <v>153</v>
      </c>
      <c r="B54" s="29">
        <v>3</v>
      </c>
      <c r="C54" s="29" t="s">
        <v>289</v>
      </c>
      <c r="D54" s="4" t="s">
        <v>290</v>
      </c>
      <c r="E54" s="29">
        <v>25</v>
      </c>
      <c r="F54" s="78" t="s">
        <v>196</v>
      </c>
      <c r="G54" s="58" t="str">
        <f>IFERROR(IF(VLOOKUP(TableHandbook[[#This Row],[UDC]],TableAvailabilities[],2,FALSE)&gt;0,"Y",""),"")</f>
        <v/>
      </c>
      <c r="H54" s="58" t="str">
        <f>IFERROR(IF(VLOOKUP(TableHandbook[[#This Row],[UDC]],TableAvailabilities[],3,FALSE)&gt;0,"Y",""),"")</f>
        <v/>
      </c>
      <c r="I54" s="58" t="str">
        <f>IFERROR(IF(VLOOKUP(TableHandbook[[#This Row],[UDC]],TableAvailabilities[],4,FALSE)&gt;0,"Y",""),"")</f>
        <v>Y</v>
      </c>
      <c r="J54" s="58" t="str">
        <f>IFERROR(IF(VLOOKUP(TableHandbook[[#This Row],[UDC]],TableAvailabilities[],5,FALSE)&gt;0,"Y",""),"")</f>
        <v/>
      </c>
      <c r="K54" s="71"/>
      <c r="L54" s="59" t="str">
        <f>IFERROR(VLOOKUP(TableHandbook[[#This Row],[UDC]],TableOBARCH[],7,FALSE),"")</f>
        <v/>
      </c>
      <c r="M54" s="59" t="str">
        <f>IFERROR(VLOOKUP(TableHandbook[[#This Row],[UDC]],TableOSCUANGAD[],7,FALSE),"")</f>
        <v/>
      </c>
      <c r="N54" s="59" t="str">
        <f>IFERROR(VLOOKUP(TableHandbook[[#This Row],[UDC]],TableOSCUCONMS[],7,FALSE),"")</f>
        <v/>
      </c>
      <c r="O54" s="59" t="str">
        <f>IFERROR(VLOOKUP(TableHandbook[[#This Row],[UDC]],TableOSCUINARS[],7,FALSE),"")</f>
        <v/>
      </c>
      <c r="P54" s="59" t="str">
        <f>IFERROR(VLOOKUP(TableHandbook[[#This Row],[UDC]],TableOSCUPLGEO[],7,FALSE),"")</f>
        <v>Core</v>
      </c>
    </row>
    <row r="55" spans="1:16" x14ac:dyDescent="0.25">
      <c r="A55" s="4" t="s">
        <v>81</v>
      </c>
      <c r="B55" s="29"/>
      <c r="C55" s="29"/>
      <c r="D55" s="4" t="s">
        <v>291</v>
      </c>
      <c r="E55" s="29">
        <v>25</v>
      </c>
      <c r="F55" s="78" t="s">
        <v>292</v>
      </c>
      <c r="G55" s="58" t="str">
        <f>IFERROR(IF(VLOOKUP(TableHandbook[[#This Row],[UDC]],TableAvailabilities[],2,FALSE)&gt;0,"Y",""),"")</f>
        <v/>
      </c>
      <c r="H55" s="58" t="str">
        <f>IFERROR(IF(VLOOKUP(TableHandbook[[#This Row],[UDC]],TableAvailabilities[],3,FALSE)&gt;0,"Y",""),"")</f>
        <v/>
      </c>
      <c r="I55" s="58" t="str">
        <f>IFERROR(IF(VLOOKUP(TableHandbook[[#This Row],[UDC]],TableAvailabilities[],4,FALSE)&gt;0,"Y",""),"")</f>
        <v/>
      </c>
      <c r="J55" s="58" t="str">
        <f>IFERROR(IF(VLOOKUP(TableHandbook[[#This Row],[UDC]],TableAvailabilities[],5,FALSE)&gt;0,"Y",""),"")</f>
        <v/>
      </c>
      <c r="K55" s="71"/>
      <c r="L55" s="59" t="str">
        <f>IFERROR(VLOOKUP(TableHandbook[[#This Row],[UDC]],TableOBARCH[],7,FALSE),"")</f>
        <v/>
      </c>
      <c r="M55" s="59" t="str">
        <f>IFERROR(VLOOKUP(TableHandbook[[#This Row],[UDC]],TableOSCUANGAD[],7,FALSE),"")</f>
        <v/>
      </c>
      <c r="N55" s="59" t="str">
        <f>IFERROR(VLOOKUP(TableHandbook[[#This Row],[UDC]],TableOSCUCONMS[],7,FALSE),"")</f>
        <v/>
      </c>
      <c r="O55" s="59" t="str">
        <f>IFERROR(VLOOKUP(TableHandbook[[#This Row],[UDC]],TableOSCUINARS[],7,FALSE),"")</f>
        <v/>
      </c>
      <c r="P55" s="59" t="str">
        <f>IFERROR(VLOOKUP(TableHandbook[[#This Row],[UDC]],TableOSCUPLGEO[],7,FALSE),"")</f>
        <v/>
      </c>
    </row>
    <row r="56" spans="1:16" x14ac:dyDescent="0.25">
      <c r="A56" s="4" t="s">
        <v>293</v>
      </c>
      <c r="B56" s="29">
        <v>0</v>
      </c>
      <c r="C56" s="29"/>
      <c r="D56" s="4" t="s">
        <v>294</v>
      </c>
      <c r="E56" s="29">
        <v>100</v>
      </c>
      <c r="F56" s="78" t="s">
        <v>186</v>
      </c>
      <c r="G56" s="58" t="str">
        <f>IFERROR(IF(VLOOKUP(TableHandbook[[#This Row],[UDC]],TableAvailabilities[],2,FALSE)&gt;0,"Y",""),"")</f>
        <v/>
      </c>
      <c r="H56" s="58" t="str">
        <f>IFERROR(IF(VLOOKUP(TableHandbook[[#This Row],[UDC]],TableAvailabilities[],3,FALSE)&gt;0,"Y",""),"")</f>
        <v/>
      </c>
      <c r="I56" s="58" t="str">
        <f>IFERROR(IF(VLOOKUP(TableHandbook[[#This Row],[UDC]],TableAvailabilities[],4,FALSE)&gt;0,"Y",""),"")</f>
        <v/>
      </c>
      <c r="J56" s="58" t="str">
        <f>IFERROR(IF(VLOOKUP(TableHandbook[[#This Row],[UDC]],TableAvailabilities[],5,FALSE)&gt;0,"Y",""),"")</f>
        <v/>
      </c>
      <c r="K56" s="71"/>
      <c r="L56" s="59" t="str">
        <f>IFERROR(VLOOKUP(TableHandbook[[#This Row],[UDC]],TableOBARCH[],7,FALSE),"")</f>
        <v>AltCore</v>
      </c>
      <c r="M56" s="59" t="str">
        <f>IFERROR(VLOOKUP(TableHandbook[[#This Row],[UDC]],TableOSCUANGAD[],7,FALSE),"")</f>
        <v/>
      </c>
      <c r="N56" s="59" t="str">
        <f>IFERROR(VLOOKUP(TableHandbook[[#This Row],[UDC]],TableOSCUCONMS[],7,FALSE),"")</f>
        <v/>
      </c>
      <c r="O56" s="59" t="str">
        <f>IFERROR(VLOOKUP(TableHandbook[[#This Row],[UDC]],TableOSCUINARS[],7,FALSE),"")</f>
        <v/>
      </c>
      <c r="P56" s="59" t="str">
        <f>IFERROR(VLOOKUP(TableHandbook[[#This Row],[UDC]],TableOSCUPLGEO[],7,FALSE),"")</f>
        <v/>
      </c>
    </row>
    <row r="57" spans="1:16" x14ac:dyDescent="0.25">
      <c r="A57" s="4" t="s">
        <v>142</v>
      </c>
      <c r="B57" s="29">
        <v>1</v>
      </c>
      <c r="C57" s="29" t="s">
        <v>295</v>
      </c>
      <c r="D57" s="4" t="s">
        <v>296</v>
      </c>
      <c r="E57" s="29">
        <v>25</v>
      </c>
      <c r="F57" s="78" t="s">
        <v>196</v>
      </c>
      <c r="G57" s="58" t="str">
        <f>IFERROR(IF(VLOOKUP(TableHandbook[[#This Row],[UDC]],TableAvailabilities[],2,FALSE)&gt;0,"Y",""),"")</f>
        <v>Y</v>
      </c>
      <c r="H57" s="58" t="str">
        <f>IFERROR(IF(VLOOKUP(TableHandbook[[#This Row],[UDC]],TableAvailabilities[],3,FALSE)&gt;0,"Y",""),"")</f>
        <v/>
      </c>
      <c r="I57" s="58" t="str">
        <f>IFERROR(IF(VLOOKUP(TableHandbook[[#This Row],[UDC]],TableAvailabilities[],4,FALSE)&gt;0,"Y",""),"")</f>
        <v>Y</v>
      </c>
      <c r="J57" s="58" t="str">
        <f>IFERROR(IF(VLOOKUP(TableHandbook[[#This Row],[UDC]],TableAvailabilities[],5,FALSE)&gt;0,"Y",""),"")</f>
        <v/>
      </c>
      <c r="K57" s="71"/>
      <c r="L57" s="59" t="str">
        <f>IFERROR(VLOOKUP(TableHandbook[[#This Row],[UDC]],TableOBARCH[],7,FALSE),"")</f>
        <v/>
      </c>
      <c r="M57" s="59" t="str">
        <f>IFERROR(VLOOKUP(TableHandbook[[#This Row],[UDC]],TableOSCUANGAD[],7,FALSE),"")</f>
        <v/>
      </c>
      <c r="N57" s="59" t="str">
        <f>IFERROR(VLOOKUP(TableHandbook[[#This Row],[UDC]],TableOSCUCONMS[],7,FALSE),"")</f>
        <v/>
      </c>
      <c r="O57" s="59" t="str">
        <f>IFERROR(VLOOKUP(TableHandbook[[#This Row],[UDC]],TableOSCUINARS[],7,FALSE),"")</f>
        <v/>
      </c>
      <c r="P57" s="59" t="str">
        <f>IFERROR(VLOOKUP(TableHandbook[[#This Row],[UDC]],TableOSCUPLGEO[],7,FALSE),"")</f>
        <v>Core</v>
      </c>
    </row>
    <row r="58" spans="1:16" x14ac:dyDescent="0.25">
      <c r="A58" s="4" t="s">
        <v>148</v>
      </c>
      <c r="B58" s="29">
        <v>1</v>
      </c>
      <c r="C58" s="29" t="s">
        <v>297</v>
      </c>
      <c r="D58" s="4" t="s">
        <v>298</v>
      </c>
      <c r="E58" s="29">
        <v>25</v>
      </c>
      <c r="F58" s="78" t="s">
        <v>196</v>
      </c>
      <c r="G58" s="58" t="str">
        <f>IFERROR(IF(VLOOKUP(TableHandbook[[#This Row],[UDC]],TableAvailabilities[],2,FALSE)&gt;0,"Y",""),"")</f>
        <v/>
      </c>
      <c r="H58" s="58" t="str">
        <f>IFERROR(IF(VLOOKUP(TableHandbook[[#This Row],[UDC]],TableAvailabilities[],3,FALSE)&gt;0,"Y",""),"")</f>
        <v>Y</v>
      </c>
      <c r="I58" s="58" t="str">
        <f>IFERROR(IF(VLOOKUP(TableHandbook[[#This Row],[UDC]],TableAvailabilities[],4,FALSE)&gt;0,"Y",""),"")</f>
        <v/>
      </c>
      <c r="J58" s="58" t="str">
        <f>IFERROR(IF(VLOOKUP(TableHandbook[[#This Row],[UDC]],TableAvailabilities[],5,FALSE)&gt;0,"Y",""),"")</f>
        <v>Y</v>
      </c>
      <c r="K58" s="71"/>
      <c r="L58" s="59" t="str">
        <f>IFERROR(VLOOKUP(TableHandbook[[#This Row],[UDC]],TableOBARCH[],7,FALSE),"")</f>
        <v/>
      </c>
      <c r="M58" s="59" t="str">
        <f>IFERROR(VLOOKUP(TableHandbook[[#This Row],[UDC]],TableOSCUANGAD[],7,FALSE),"")</f>
        <v/>
      </c>
      <c r="N58" s="59" t="str">
        <f>IFERROR(VLOOKUP(TableHandbook[[#This Row],[UDC]],TableOSCUCONMS[],7,FALSE),"")</f>
        <v/>
      </c>
      <c r="O58" s="59" t="str">
        <f>IFERROR(VLOOKUP(TableHandbook[[#This Row],[UDC]],TableOSCUINARS[],7,FALSE),"")</f>
        <v/>
      </c>
      <c r="P58" s="59" t="str">
        <f>IFERROR(VLOOKUP(TableHandbook[[#This Row],[UDC]],TableOSCUPLGEO[],7,FALSE),"")</f>
        <v>Core</v>
      </c>
    </row>
    <row r="59" spans="1:16" x14ac:dyDescent="0.25">
      <c r="A59" s="4" t="s">
        <v>391</v>
      </c>
      <c r="B59" s="29">
        <v>3</v>
      </c>
      <c r="C59" s="84" t="s">
        <v>391</v>
      </c>
      <c r="D59" s="4" t="s">
        <v>392</v>
      </c>
      <c r="E59" s="29">
        <v>25</v>
      </c>
      <c r="F59" s="57" t="s">
        <v>196</v>
      </c>
      <c r="G59" s="58" t="str">
        <f>IFERROR(IF(VLOOKUP(TableHandbook[[#This Row],[UDC]],TableAvailabilities[],2,FALSE)&gt;0,"Y",""),"")</f>
        <v/>
      </c>
      <c r="H59" s="58" t="str">
        <f>IFERROR(IF(VLOOKUP(TableHandbook[[#This Row],[UDC]],TableAvailabilities[],3,FALSE)&gt;0,"Y",""),"")</f>
        <v>Y</v>
      </c>
      <c r="I59" s="58" t="str">
        <f>IFERROR(IF(VLOOKUP(TableHandbook[[#This Row],[UDC]],TableAvailabilities[],4,FALSE)&gt;0,"Y",""),"")</f>
        <v/>
      </c>
      <c r="J59" s="58" t="str">
        <f>IFERROR(IF(VLOOKUP(TableHandbook[[#This Row],[UDC]],TableAvailabilities[],5,FALSE)&gt;0,"Y",""),"")</f>
        <v>Y</v>
      </c>
      <c r="K59" s="72" t="s">
        <v>393</v>
      </c>
      <c r="L59" s="59" t="str">
        <f>IFERROR(VLOOKUP(TableHandbook[[#This Row],[UDC]],TableOBARCH[],7,FALSE),"")</f>
        <v/>
      </c>
      <c r="M59" s="59" t="str">
        <f>IFERROR(VLOOKUP(TableHandbook[[#This Row],[UDC]],TableOSCUANGAD[],7,FALSE),"")</f>
        <v/>
      </c>
      <c r="N59" s="59" t="str">
        <f>IFERROR(VLOOKUP(TableHandbook[[#This Row],[UDC]],TableOSCUCONMS[],7,FALSE),"")</f>
        <v/>
      </c>
      <c r="O59" s="59" t="str">
        <f>IFERROR(VLOOKUP(TableHandbook[[#This Row],[UDC]],TableOSCUINARS[],7,FALSE),"")</f>
        <v/>
      </c>
      <c r="P59" s="59" t="str">
        <f>IFERROR(VLOOKUP(TableHandbook[[#This Row],[UDC]],TableOSCUPLGEO[],7,FALSE),"")</f>
        <v/>
      </c>
    </row>
    <row r="60" spans="1:16" x14ac:dyDescent="0.25">
      <c r="A60" s="4" t="s">
        <v>176</v>
      </c>
      <c r="B60" s="29">
        <v>3</v>
      </c>
      <c r="C60" s="29" t="s">
        <v>299</v>
      </c>
      <c r="D60" s="4" t="s">
        <v>300</v>
      </c>
      <c r="E60" s="29">
        <v>25</v>
      </c>
      <c r="F60" s="78" t="s">
        <v>301</v>
      </c>
      <c r="G60" s="58" t="str">
        <f>IFERROR(IF(VLOOKUP(TableHandbook[[#This Row],[UDC]],TableAvailabilities[],2,FALSE)&gt;0,"Y",""),"")</f>
        <v/>
      </c>
      <c r="H60" s="58" t="str">
        <f>IFERROR(IF(VLOOKUP(TableHandbook[[#This Row],[UDC]],TableAvailabilities[],3,FALSE)&gt;0,"Y",""),"")</f>
        <v/>
      </c>
      <c r="I60" s="58" t="str">
        <f>IFERROR(IF(VLOOKUP(TableHandbook[[#This Row],[UDC]],TableAvailabilities[],4,FALSE)&gt;0,"Y",""),"")</f>
        <v/>
      </c>
      <c r="J60" s="58" t="str">
        <f>IFERROR(IF(VLOOKUP(TableHandbook[[#This Row],[UDC]],TableAvailabilities[],5,FALSE)&gt;0,"Y",""),"")</f>
        <v/>
      </c>
      <c r="K60" s="71" t="s">
        <v>231</v>
      </c>
      <c r="L60" s="59" t="str">
        <f>IFERROR(VLOOKUP(TableHandbook[[#This Row],[UDC]],TableOBARCH[],7,FALSE),"")</f>
        <v/>
      </c>
      <c r="M60" s="59" t="str">
        <f>IFERROR(VLOOKUP(TableHandbook[[#This Row],[UDC]],TableOSCUANGAD[],7,FALSE),"")</f>
        <v/>
      </c>
      <c r="N60" s="59" t="str">
        <f>IFERROR(VLOOKUP(TableHandbook[[#This Row],[UDC]],TableOSCUCONMS[],7,FALSE),"")</f>
        <v/>
      </c>
      <c r="O60" s="59" t="str">
        <f>IFERROR(VLOOKUP(TableHandbook[[#This Row],[UDC]],TableOSCUINARS[],7,FALSE),"")</f>
        <v>Option</v>
      </c>
      <c r="P60" s="59" t="str">
        <f>IFERROR(VLOOKUP(TableHandbook[[#This Row],[UDC]],TableOSCUPLGEO[],7,FALSE),"")</f>
        <v/>
      </c>
    </row>
    <row r="61" spans="1:16" x14ac:dyDescent="0.25">
      <c r="A61" s="4" t="s">
        <v>302</v>
      </c>
      <c r="B61" s="29">
        <v>2</v>
      </c>
      <c r="C61" s="29" t="s">
        <v>299</v>
      </c>
      <c r="D61" s="4" t="s">
        <v>303</v>
      </c>
      <c r="E61" s="29">
        <v>25</v>
      </c>
      <c r="F61" s="78" t="s">
        <v>301</v>
      </c>
      <c r="G61" s="58" t="str">
        <f>IFERROR(IF(VLOOKUP(TableHandbook[[#This Row],[UDC]],TableAvailabilities[],2,FALSE)&gt;0,"Y",""),"")</f>
        <v/>
      </c>
      <c r="H61" s="58" t="str">
        <f>IFERROR(IF(VLOOKUP(TableHandbook[[#This Row],[UDC]],TableAvailabilities[],3,FALSE)&gt;0,"Y",""),"")</f>
        <v/>
      </c>
      <c r="I61" s="58" t="str">
        <f>IFERROR(IF(VLOOKUP(TableHandbook[[#This Row],[UDC]],TableAvailabilities[],4,FALSE)&gt;0,"Y",""),"")</f>
        <v/>
      </c>
      <c r="J61" s="58" t="str">
        <f>IFERROR(IF(VLOOKUP(TableHandbook[[#This Row],[UDC]],TableAvailabilities[],5,FALSE)&gt;0,"Y",""),"")</f>
        <v/>
      </c>
      <c r="K61" s="71" t="s">
        <v>234</v>
      </c>
      <c r="L61" s="59" t="str">
        <f>IFERROR(VLOOKUP(TableHandbook[[#This Row],[UDC]],TableOBARCH[],7,FALSE),"")</f>
        <v/>
      </c>
      <c r="M61" s="59" t="str">
        <f>IFERROR(VLOOKUP(TableHandbook[[#This Row],[UDC]],TableOSCUANGAD[],7,FALSE),"")</f>
        <v/>
      </c>
      <c r="N61" s="59" t="str">
        <f>IFERROR(VLOOKUP(TableHandbook[[#This Row],[UDC]],TableOSCUCONMS[],7,FALSE),"")</f>
        <v/>
      </c>
      <c r="O61" s="59" t="str">
        <f>IFERROR(VLOOKUP(TableHandbook[[#This Row],[UDC]],TableOSCUINARS[],7,FALSE),"")</f>
        <v/>
      </c>
      <c r="P61" s="59" t="str">
        <f>IFERROR(VLOOKUP(TableHandbook[[#This Row],[UDC]],TableOSCUPLGEO[],7,FALSE),"")</f>
        <v/>
      </c>
    </row>
    <row r="62" spans="1:16" x14ac:dyDescent="0.25">
      <c r="A62" s="4" t="s">
        <v>304</v>
      </c>
      <c r="B62" s="29">
        <v>1</v>
      </c>
      <c r="C62" s="29" t="s">
        <v>305</v>
      </c>
      <c r="D62" s="4" t="s">
        <v>306</v>
      </c>
      <c r="E62" s="29">
        <v>25</v>
      </c>
      <c r="F62" s="78" t="s">
        <v>301</v>
      </c>
      <c r="G62" s="58" t="str">
        <f>IFERROR(IF(VLOOKUP(TableHandbook[[#This Row],[UDC]],TableAvailabilities[],2,FALSE)&gt;0,"Y",""),"")</f>
        <v/>
      </c>
      <c r="H62" s="58" t="str">
        <f>IFERROR(IF(VLOOKUP(TableHandbook[[#This Row],[UDC]],TableAvailabilities[],3,FALSE)&gt;0,"Y",""),"")</f>
        <v/>
      </c>
      <c r="I62" s="58" t="str">
        <f>IFERROR(IF(VLOOKUP(TableHandbook[[#This Row],[UDC]],TableAvailabilities[],4,FALSE)&gt;0,"Y",""),"")</f>
        <v/>
      </c>
      <c r="J62" s="58" t="str">
        <f>IFERROR(IF(VLOOKUP(TableHandbook[[#This Row],[UDC]],TableAvailabilities[],5,FALSE)&gt;0,"Y",""),"")</f>
        <v/>
      </c>
      <c r="K62" s="72" t="s">
        <v>307</v>
      </c>
      <c r="L62" s="59" t="str">
        <f>IFERROR(VLOOKUP(TableHandbook[[#This Row],[UDC]],TableOBARCH[],7,FALSE),"")</f>
        <v/>
      </c>
      <c r="M62" s="59" t="str">
        <f>IFERROR(VLOOKUP(TableHandbook[[#This Row],[UDC]],TableOSCUANGAD[],7,FALSE),"")</f>
        <v/>
      </c>
      <c r="N62" s="59" t="str">
        <f>IFERROR(VLOOKUP(TableHandbook[[#This Row],[UDC]],TableOSCUCONMS[],7,FALSE),"")</f>
        <v/>
      </c>
      <c r="O62" s="59" t="str">
        <f>IFERROR(VLOOKUP(TableHandbook[[#This Row],[UDC]],TableOSCUINARS[],7,FALSE),"")</f>
        <v/>
      </c>
      <c r="P62" s="59" t="str">
        <f>IFERROR(VLOOKUP(TableHandbook[[#This Row],[UDC]],TableOSCUPLGEO[],7,FALSE),"")</f>
        <v/>
      </c>
    </row>
    <row r="63" spans="1:16" x14ac:dyDescent="0.25">
      <c r="A63" s="4" t="s">
        <v>167</v>
      </c>
      <c r="B63" s="29">
        <v>1</v>
      </c>
      <c r="C63" s="29" t="s">
        <v>308</v>
      </c>
      <c r="D63" s="4" t="s">
        <v>309</v>
      </c>
      <c r="E63" s="29">
        <v>25</v>
      </c>
      <c r="F63" s="78" t="s">
        <v>301</v>
      </c>
      <c r="G63" s="58" t="str">
        <f>IFERROR(IF(VLOOKUP(TableHandbook[[#This Row],[UDC]],TableAvailabilities[],2,FALSE)&gt;0,"Y",""),"")</f>
        <v/>
      </c>
      <c r="H63" s="58" t="str">
        <f>IFERROR(IF(VLOOKUP(TableHandbook[[#This Row],[UDC]],TableAvailabilities[],3,FALSE)&gt;0,"Y",""),"")</f>
        <v/>
      </c>
      <c r="I63" s="58" t="str">
        <f>IFERROR(IF(VLOOKUP(TableHandbook[[#This Row],[UDC]],TableAvailabilities[],4,FALSE)&gt;0,"Y",""),"")</f>
        <v/>
      </c>
      <c r="J63" s="58" t="str">
        <f>IFERROR(IF(VLOOKUP(TableHandbook[[#This Row],[UDC]],TableAvailabilities[],5,FALSE)&gt;0,"Y",""),"")</f>
        <v/>
      </c>
      <c r="K63" s="71"/>
      <c r="L63" s="59" t="str">
        <f>IFERROR(VLOOKUP(TableHandbook[[#This Row],[UDC]],TableOBARCH[],7,FALSE),"")</f>
        <v/>
      </c>
      <c r="M63" s="59" t="str">
        <f>IFERROR(VLOOKUP(TableHandbook[[#This Row],[UDC]],TableOSCUANGAD[],7,FALSE),"")</f>
        <v>AltCore</v>
      </c>
      <c r="N63" s="59" t="str">
        <f>IFERROR(VLOOKUP(TableHandbook[[#This Row],[UDC]],TableOSCUCONMS[],7,FALSE),"")</f>
        <v/>
      </c>
      <c r="O63" s="59" t="str">
        <f>IFERROR(VLOOKUP(TableHandbook[[#This Row],[UDC]],TableOSCUINARS[],7,FALSE),"")</f>
        <v>Option</v>
      </c>
      <c r="P63" s="59" t="str">
        <f>IFERROR(VLOOKUP(TableHandbook[[#This Row],[UDC]],TableOSCUPLGEO[],7,FALSE),"")</f>
        <v>AltCore</v>
      </c>
    </row>
    <row r="64" spans="1:16" x14ac:dyDescent="0.25">
      <c r="A64" s="4" t="s">
        <v>394</v>
      </c>
      <c r="B64" s="29">
        <v>1</v>
      </c>
      <c r="C64" s="84" t="s">
        <v>394</v>
      </c>
      <c r="D64" s="4" t="s">
        <v>311</v>
      </c>
      <c r="E64" s="29">
        <v>25</v>
      </c>
      <c r="F64" s="78" t="s">
        <v>301</v>
      </c>
      <c r="G64" s="58" t="str">
        <f>IFERROR(IF(VLOOKUP(TableHandbook[[#This Row],[UDC]],TableAvailabilities[],2,FALSE)&gt;0,"Y",""),"")</f>
        <v/>
      </c>
      <c r="H64" s="58" t="str">
        <f>IFERROR(IF(VLOOKUP(TableHandbook[[#This Row],[UDC]],TableAvailabilities[],3,FALSE)&gt;0,"Y",""),"")</f>
        <v/>
      </c>
      <c r="I64" s="58" t="str">
        <f>IFERROR(IF(VLOOKUP(TableHandbook[[#This Row],[UDC]],TableAvailabilities[],4,FALSE)&gt;0,"Y",""),"")</f>
        <v/>
      </c>
      <c r="J64" s="58" t="str">
        <f>IFERROR(IF(VLOOKUP(TableHandbook[[#This Row],[UDC]],TableAvailabilities[],5,FALSE)&gt;0,"Y",""),"")</f>
        <v/>
      </c>
      <c r="K64" s="72" t="s">
        <v>393</v>
      </c>
      <c r="L64" s="59" t="str">
        <f>IFERROR(VLOOKUP(TableHandbook[[#This Row],[UDC]],TableOBARCH[],7,FALSE),"")</f>
        <v/>
      </c>
      <c r="M64" s="59" t="str">
        <f>IFERROR(VLOOKUP(TableHandbook[[#This Row],[UDC]],TableOSCUANGAD[],7,FALSE),"")</f>
        <v/>
      </c>
      <c r="N64" s="59" t="str">
        <f>IFERROR(VLOOKUP(TableHandbook[[#This Row],[UDC]],TableOSCUCONMS[],7,FALSE),"")</f>
        <v/>
      </c>
      <c r="O64" s="59" t="str">
        <f>IFERROR(VLOOKUP(TableHandbook[[#This Row],[UDC]],TableOSCUINARS[],7,FALSE),"")</f>
        <v/>
      </c>
      <c r="P64" s="59" t="str">
        <f>IFERROR(VLOOKUP(TableHandbook[[#This Row],[UDC]],TableOSCUPLGEO[],7,FALSE),"")</f>
        <v/>
      </c>
    </row>
    <row r="65" spans="1:16" x14ac:dyDescent="0.25">
      <c r="A65" s="4" t="s">
        <v>179</v>
      </c>
      <c r="B65" s="29">
        <v>1</v>
      </c>
      <c r="C65" s="29" t="s">
        <v>310</v>
      </c>
      <c r="D65" s="4" t="s">
        <v>311</v>
      </c>
      <c r="E65" s="29">
        <v>25</v>
      </c>
      <c r="F65" s="78" t="s">
        <v>301</v>
      </c>
      <c r="G65" s="58" t="str">
        <f>IFERROR(IF(VLOOKUP(TableHandbook[[#This Row],[UDC]],TableAvailabilities[],2,FALSE)&gt;0,"Y",""),"")</f>
        <v/>
      </c>
      <c r="H65" s="58" t="str">
        <f>IFERROR(IF(VLOOKUP(TableHandbook[[#This Row],[UDC]],TableAvailabilities[],3,FALSE)&gt;0,"Y",""),"")</f>
        <v/>
      </c>
      <c r="I65" s="58" t="str">
        <f>IFERROR(IF(VLOOKUP(TableHandbook[[#This Row],[UDC]],TableAvailabilities[],4,FALSE)&gt;0,"Y",""),"")</f>
        <v/>
      </c>
      <c r="J65" s="58" t="str">
        <f>IFERROR(IF(VLOOKUP(TableHandbook[[#This Row],[UDC]],TableAvailabilities[],5,FALSE)&gt;0,"Y",""),"")</f>
        <v/>
      </c>
      <c r="K65" s="71"/>
      <c r="L65" s="59" t="str">
        <f>IFERROR(VLOOKUP(TableHandbook[[#This Row],[UDC]],TableOBARCH[],7,FALSE),"")</f>
        <v/>
      </c>
      <c r="M65" s="59" t="str">
        <f>IFERROR(VLOOKUP(TableHandbook[[#This Row],[UDC]],TableOSCUANGAD[],7,FALSE),"")</f>
        <v/>
      </c>
      <c r="N65" s="59" t="str">
        <f>IFERROR(VLOOKUP(TableHandbook[[#This Row],[UDC]],TableOSCUCONMS[],7,FALSE),"")</f>
        <v/>
      </c>
      <c r="O65" s="59" t="str">
        <f>IFERROR(VLOOKUP(TableHandbook[[#This Row],[UDC]],TableOSCUINARS[],7,FALSE),"")</f>
        <v>Option</v>
      </c>
      <c r="P65" s="59" t="str">
        <f>IFERROR(VLOOKUP(TableHandbook[[#This Row],[UDC]],TableOSCUPLGEO[],7,FALSE),"")</f>
        <v/>
      </c>
    </row>
  </sheetData>
  <sortState xmlns:xlrd2="http://schemas.microsoft.com/office/spreadsheetml/2017/richdata2" ref="A23:D33">
    <sortCondition ref="A23"/>
  </sortState>
  <conditionalFormatting sqref="A3:A65">
    <cfRule type="duplicateValues" dxfId="20" priority="3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5"/>
  <sheetViews>
    <sheetView topLeftCell="A18" zoomScale="70" zoomScaleNormal="70" workbookViewId="0">
      <selection activeCell="A38" sqref="A38"/>
    </sheetView>
  </sheetViews>
  <sheetFormatPr defaultRowHeight="15.75" x14ac:dyDescent="0.25"/>
  <cols>
    <col min="1" max="1" width="13.5" bestFit="1" customWidth="1"/>
    <col min="2" max="2" width="8.125" style="2" bestFit="1" customWidth="1"/>
    <col min="3" max="3" width="12.5" bestFit="1" customWidth="1"/>
    <col min="4" max="4" width="63"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3.375" customWidth="1"/>
    <col min="13" max="13" width="14.75" bestFit="1" customWidth="1"/>
    <col min="14" max="14" width="12.5" bestFit="1" customWidth="1"/>
    <col min="15" max="15" width="10.875" bestFit="1" customWidth="1"/>
    <col min="16" max="16" width="10.125" bestFit="1" customWidth="1"/>
    <col min="17" max="17" width="13.125" bestFit="1" customWidth="1"/>
    <col min="18" max="18" width="11.5" bestFit="1" customWidth="1"/>
  </cols>
  <sheetData>
    <row r="1" spans="1:18" ht="18.75" x14ac:dyDescent="0.3">
      <c r="A1" s="60" t="s">
        <v>312</v>
      </c>
      <c r="B1"/>
      <c r="E1"/>
      <c r="F1" s="26"/>
      <c r="G1" s="27" t="s">
        <v>313</v>
      </c>
      <c r="H1" s="67">
        <v>44378</v>
      </c>
      <c r="I1" s="42"/>
      <c r="J1" s="68" t="s">
        <v>314</v>
      </c>
      <c r="K1" s="69" t="s">
        <v>72</v>
      </c>
      <c r="L1" s="42" t="s">
        <v>11</v>
      </c>
      <c r="M1" s="42"/>
      <c r="N1" s="45" t="s">
        <v>315</v>
      </c>
      <c r="O1" s="43">
        <v>45572</v>
      </c>
      <c r="P1" s="70">
        <v>45292</v>
      </c>
    </row>
    <row r="2" spans="1:18" x14ac:dyDescent="0.25">
      <c r="A2" t="s">
        <v>0</v>
      </c>
      <c r="B2" s="2" t="s">
        <v>316</v>
      </c>
      <c r="C2" t="s">
        <v>317</v>
      </c>
      <c r="D2" t="s">
        <v>3</v>
      </c>
      <c r="E2" s="28" t="s">
        <v>318</v>
      </c>
      <c r="F2" t="s">
        <v>319</v>
      </c>
      <c r="G2" t="s">
        <v>320</v>
      </c>
      <c r="H2" t="s">
        <v>321</v>
      </c>
      <c r="I2" t="s">
        <v>21</v>
      </c>
      <c r="J2" t="s">
        <v>322</v>
      </c>
      <c r="K2" t="s">
        <v>1</v>
      </c>
      <c r="L2" t="s">
        <v>323</v>
      </c>
      <c r="M2" t="s">
        <v>69</v>
      </c>
      <c r="N2" t="s">
        <v>324</v>
      </c>
      <c r="O2" s="43" t="s">
        <v>325</v>
      </c>
      <c r="Q2" t="s">
        <v>326</v>
      </c>
      <c r="R2" t="s">
        <v>327</v>
      </c>
    </row>
    <row r="3" spans="1:18" x14ac:dyDescent="0.25">
      <c r="A3" t="str">
        <f>TableOBARCH[[#This Row],[Study Package Code]]</f>
        <v>Specialisation</v>
      </c>
      <c r="B3" s="2">
        <f>TableOBARCH[[#This Row],[Ver]]</f>
        <v>0</v>
      </c>
      <c r="C3" s="2"/>
      <c r="D3" t="str">
        <f>TableOBARCH[[#This Row],[Structure Line]]</f>
        <v>Choose your Specialisation</v>
      </c>
      <c r="E3" s="28">
        <f>TableOBARCH[[#This Row],[Credit Points]]</f>
        <v>100</v>
      </c>
      <c r="F3" s="35">
        <v>1</v>
      </c>
      <c r="G3" s="35" t="s">
        <v>328</v>
      </c>
      <c r="H3" s="35">
        <v>0</v>
      </c>
      <c r="I3" s="35" t="s">
        <v>329</v>
      </c>
      <c r="J3" s="35" t="s">
        <v>293</v>
      </c>
      <c r="K3" s="35">
        <v>0</v>
      </c>
      <c r="L3" s="35" t="s">
        <v>294</v>
      </c>
      <c r="M3" s="35">
        <v>100</v>
      </c>
      <c r="N3" s="46"/>
      <c r="O3" s="46"/>
      <c r="Q3" t="s">
        <v>293</v>
      </c>
      <c r="R3">
        <v>0</v>
      </c>
    </row>
    <row r="4" spans="1:18" x14ac:dyDescent="0.25">
      <c r="A4" t="str">
        <f>TableOBARCH[[#This Row],[Study Package Code]]</f>
        <v>COMS1007</v>
      </c>
      <c r="B4" s="2">
        <f>TableOBARCH[[#This Row],[Ver]]</f>
        <v>1</v>
      </c>
      <c r="C4" s="2" t="str">
        <f>LEFT(TableOBARCH[[#This Row],[Structure Line]],(FIND(" ",TableOBARCH[[#This Row],[Structure Line]],1)-1))</f>
        <v>APC100</v>
      </c>
      <c r="D4" t="str">
        <f>MID(TableOBARCH[[#This Row],[Structure Line]],FIND(" ",TableOBARCH[[#This Row],[Structure Line]])+3,256)</f>
        <v>Academic and Professional Communications</v>
      </c>
      <c r="E4" s="28">
        <f>TableOBARCH[[#This Row],[Credit Points]]</f>
        <v>25</v>
      </c>
      <c r="F4" s="35">
        <v>2</v>
      </c>
      <c r="G4" s="35" t="s">
        <v>330</v>
      </c>
      <c r="H4" s="35">
        <v>1</v>
      </c>
      <c r="I4" s="40" t="s">
        <v>331</v>
      </c>
      <c r="J4" s="35" t="s">
        <v>62</v>
      </c>
      <c r="K4" s="35">
        <v>1</v>
      </c>
      <c r="L4" s="35" t="s">
        <v>332</v>
      </c>
      <c r="M4" s="35">
        <v>25</v>
      </c>
      <c r="N4" s="46">
        <v>42005</v>
      </c>
      <c r="O4" s="46"/>
      <c r="Q4" t="s">
        <v>62</v>
      </c>
      <c r="R4">
        <v>1</v>
      </c>
    </row>
    <row r="5" spans="1:18" x14ac:dyDescent="0.25">
      <c r="A5" t="str">
        <f>TableOBARCH[[#This Row],[Study Package Code]]</f>
        <v>ARCH1020</v>
      </c>
      <c r="B5" s="2">
        <f>TableOBARCH[[#This Row],[Ver]]</f>
        <v>3</v>
      </c>
      <c r="C5" s="2" t="str">
        <f>LEFT(TableOBARCH[[#This Row],[Structure Line]],(FIND(" ",TableOBARCH[[#This Row],[Structure Line]],1)-1))</f>
        <v>BAS115</v>
      </c>
      <c r="D5" t="str">
        <f>MID(TableOBARCH[[#This Row],[Structure Line]],FIND(" ",TableOBARCH[[#This Row],[Structure Line]])+1,256)</f>
        <v>Architecture and Interior Architecture Methods 1A - Analogue Literacy</v>
      </c>
      <c r="E5" s="28">
        <f>TableOBARCH[[#This Row],[Credit Points]]</f>
        <v>25</v>
      </c>
      <c r="F5" s="35">
        <v>3</v>
      </c>
      <c r="G5" s="35" t="s">
        <v>330</v>
      </c>
      <c r="H5" s="35">
        <v>1</v>
      </c>
      <c r="I5" s="40" t="s">
        <v>331</v>
      </c>
      <c r="J5" s="35" t="s">
        <v>61</v>
      </c>
      <c r="K5" s="35">
        <v>3</v>
      </c>
      <c r="L5" s="35" t="s">
        <v>333</v>
      </c>
      <c r="M5" s="35">
        <v>25</v>
      </c>
      <c r="N5" s="46">
        <v>44562</v>
      </c>
      <c r="O5" s="46"/>
      <c r="Q5" t="s">
        <v>61</v>
      </c>
      <c r="R5">
        <v>3</v>
      </c>
    </row>
    <row r="6" spans="1:18" x14ac:dyDescent="0.25">
      <c r="A6" t="str">
        <f>TableOBARCH[[#This Row],[Study Package Code]]</f>
        <v>ARCH1009</v>
      </c>
      <c r="B6" s="2">
        <f>TableOBARCH[[#This Row],[Ver]]</f>
        <v>2</v>
      </c>
      <c r="C6" s="2" t="str">
        <f>LEFT(TableOBARCH[[#This Row],[Structure Line]],(FIND(" ",TableOBARCH[[#This Row],[Structure Line]],1)-1))</f>
        <v>BAS120</v>
      </c>
      <c r="D6" t="str">
        <f>MID(TableOBARCH[[#This Row],[Structure Line]],FIND(" ",TableOBARCH[[#This Row],[Structure Line]])+1,256)</f>
        <v>Sustainability and Structures in Architecture</v>
      </c>
      <c r="E6" s="28">
        <f>TableOBARCH[[#This Row],[Credit Points]]</f>
        <v>25</v>
      </c>
      <c r="F6" s="35">
        <v>4</v>
      </c>
      <c r="G6" s="35" t="s">
        <v>330</v>
      </c>
      <c r="H6" s="35">
        <v>1</v>
      </c>
      <c r="I6" s="40" t="s">
        <v>331</v>
      </c>
      <c r="J6" s="35" t="s">
        <v>75</v>
      </c>
      <c r="K6" s="35">
        <v>2</v>
      </c>
      <c r="L6" s="35" t="s">
        <v>334</v>
      </c>
      <c r="M6" s="35">
        <v>25</v>
      </c>
      <c r="N6" s="46">
        <v>44562</v>
      </c>
      <c r="O6" s="46"/>
      <c r="Q6" t="s">
        <v>75</v>
      </c>
      <c r="R6">
        <v>2</v>
      </c>
    </row>
    <row r="7" spans="1:18" x14ac:dyDescent="0.25">
      <c r="A7" t="str">
        <f>TableOBARCH[[#This Row],[Study Package Code]]</f>
        <v>ARCH1010</v>
      </c>
      <c r="B7" s="2">
        <f>TableOBARCH[[#This Row],[Ver]]</f>
        <v>3</v>
      </c>
      <c r="C7" s="2" t="str">
        <f>LEFT(TableOBARCH[[#This Row],[Structure Line]],(FIND(" ",TableOBARCH[[#This Row],[Structure Line]],1)-1))</f>
        <v>BAS130</v>
      </c>
      <c r="D7" t="str">
        <f>MID(TableOBARCH[[#This Row],[Structure Line]],FIND(" ",TableOBARCH[[#This Row],[Structure Line]])+1,256)</f>
        <v>Reading Architecture Globally</v>
      </c>
      <c r="E7" s="28">
        <f>TableOBARCH[[#This Row],[Credit Points]]</f>
        <v>25</v>
      </c>
      <c r="F7" s="35">
        <v>5</v>
      </c>
      <c r="G7" s="35" t="s">
        <v>330</v>
      </c>
      <c r="H7" s="35">
        <v>1</v>
      </c>
      <c r="I7" s="40" t="s">
        <v>335</v>
      </c>
      <c r="J7" s="35" t="s">
        <v>56</v>
      </c>
      <c r="K7" s="35">
        <v>3</v>
      </c>
      <c r="L7" s="35" t="s">
        <v>336</v>
      </c>
      <c r="M7" s="35">
        <v>25</v>
      </c>
      <c r="N7" s="46">
        <v>44562</v>
      </c>
      <c r="O7" s="46"/>
      <c r="Q7" t="s">
        <v>56</v>
      </c>
      <c r="R7">
        <v>3</v>
      </c>
    </row>
    <row r="8" spans="1:18" x14ac:dyDescent="0.25">
      <c r="A8" t="str">
        <f>TableOBARCH[[#This Row],[Study Package Code]]</f>
        <v>ARCH1024</v>
      </c>
      <c r="B8" s="2">
        <f>TableOBARCH[[#This Row],[Ver]]</f>
        <v>3</v>
      </c>
      <c r="C8" s="2" t="str">
        <f>LEFT(TableOBARCH[[#This Row],[Structure Line]],(FIND(" ",TableOBARCH[[#This Row],[Structure Line]],1)-1))</f>
        <v>BAS140</v>
      </c>
      <c r="D8" t="str">
        <f>MID(TableOBARCH[[#This Row],[Structure Line]],FIND(" ",TableOBARCH[[#This Row],[Structure Line]])+1,256)</f>
        <v>Architecture and Interior Architecture Design Studio 1 - Small Structures</v>
      </c>
      <c r="E8" s="28">
        <f>TableOBARCH[[#This Row],[Credit Points]]</f>
        <v>25</v>
      </c>
      <c r="F8" s="35">
        <v>6</v>
      </c>
      <c r="G8" s="35" t="s">
        <v>330</v>
      </c>
      <c r="H8" s="35">
        <v>1</v>
      </c>
      <c r="I8" s="40" t="s">
        <v>335</v>
      </c>
      <c r="J8" s="35" t="s">
        <v>79</v>
      </c>
      <c r="K8" s="35">
        <v>3</v>
      </c>
      <c r="L8" s="35" t="s">
        <v>337</v>
      </c>
      <c r="M8" s="35">
        <v>25</v>
      </c>
      <c r="N8" s="46">
        <v>44562</v>
      </c>
      <c r="O8" s="46"/>
      <c r="Q8" t="s">
        <v>79</v>
      </c>
      <c r="R8">
        <v>3</v>
      </c>
    </row>
    <row r="9" spans="1:18" x14ac:dyDescent="0.25">
      <c r="A9" t="str">
        <f>TableOBARCH[[#This Row],[Study Package Code]]</f>
        <v>ARCH1021</v>
      </c>
      <c r="B9" s="2">
        <f>TableOBARCH[[#This Row],[Ver]]</f>
        <v>3</v>
      </c>
      <c r="C9" s="2" t="str">
        <f>LEFT(TableOBARCH[[#This Row],[Structure Line]],(FIND(" ",TableOBARCH[[#This Row],[Structure Line]],1)-1))</f>
        <v>BAS145</v>
      </c>
      <c r="D9" t="str">
        <f>MID(TableOBARCH[[#This Row],[Structure Line]],FIND(" ",TableOBARCH[[#This Row],[Structure Line]])+1,256)</f>
        <v>Architecture and Interior Architecture Methods 1B - Digital Literacy</v>
      </c>
      <c r="E9" s="28">
        <f>TableOBARCH[[#This Row],[Credit Points]]</f>
        <v>25</v>
      </c>
      <c r="F9" s="35">
        <v>7</v>
      </c>
      <c r="G9" s="35" t="s">
        <v>330</v>
      </c>
      <c r="H9" s="35">
        <v>1</v>
      </c>
      <c r="I9" s="40" t="s">
        <v>335</v>
      </c>
      <c r="J9" s="35" t="s">
        <v>58</v>
      </c>
      <c r="K9" s="35">
        <v>3</v>
      </c>
      <c r="L9" s="35" t="s">
        <v>338</v>
      </c>
      <c r="M9" s="35">
        <v>25</v>
      </c>
      <c r="N9" s="46">
        <v>44562</v>
      </c>
      <c r="O9" s="46"/>
      <c r="Q9" t="s">
        <v>58</v>
      </c>
      <c r="R9">
        <v>3</v>
      </c>
    </row>
    <row r="10" spans="1:18" x14ac:dyDescent="0.25">
      <c r="A10" t="str">
        <f>TableOBARCH[[#This Row],[Study Package Code]]</f>
        <v>ARCH1026</v>
      </c>
      <c r="B10" s="2">
        <f>TableOBARCH[[#This Row],[Ver]]</f>
        <v>2</v>
      </c>
      <c r="C10" s="2" t="str">
        <f>LEFT(TableOBARCH[[#This Row],[Structure Line]],(FIND(" ",TableOBARCH[[#This Row],[Structure Line]],1)-1))</f>
        <v>BAS150</v>
      </c>
      <c r="D10" t="str">
        <f>MID(TableOBARCH[[#This Row],[Structure Line]],FIND(" ",TableOBARCH[[#This Row],[Structure Line]])+1,256)</f>
        <v>Architectural Science in Context</v>
      </c>
      <c r="E10" s="28">
        <f>TableOBARCH[[#This Row],[Credit Points]]</f>
        <v>25</v>
      </c>
      <c r="F10" s="35">
        <v>8</v>
      </c>
      <c r="G10" s="35" t="s">
        <v>330</v>
      </c>
      <c r="H10" s="35">
        <v>1</v>
      </c>
      <c r="I10" s="40" t="s">
        <v>335</v>
      </c>
      <c r="J10" s="35" t="s">
        <v>78</v>
      </c>
      <c r="K10" s="35">
        <v>2</v>
      </c>
      <c r="L10" s="35" t="s">
        <v>339</v>
      </c>
      <c r="M10" s="35">
        <v>25</v>
      </c>
      <c r="N10" s="46">
        <v>44562</v>
      </c>
      <c r="O10" s="46"/>
      <c r="Q10" t="s">
        <v>78</v>
      </c>
      <c r="R10">
        <v>2</v>
      </c>
    </row>
    <row r="11" spans="1:18" x14ac:dyDescent="0.25">
      <c r="A11" t="str">
        <f>TableOBARCH[[#This Row],[Study Package Code]]</f>
        <v>ARCH2029</v>
      </c>
      <c r="B11" s="2">
        <f>TableOBARCH[[#This Row],[Ver]]</f>
        <v>3</v>
      </c>
      <c r="C11" s="2" t="str">
        <f>LEFT(TableOBARCH[[#This Row],[Structure Line]],(FIND(" ",TableOBARCH[[#This Row],[Structure Line]],1)-1))</f>
        <v>BAS200</v>
      </c>
      <c r="D11" t="str">
        <f>MID(TableOBARCH[[#This Row],[Structure Line]],FIND(" ",TableOBARCH[[#This Row],[Structure Line]])+1,256)</f>
        <v>Architecture and Interior Architecture Design Studio 2A - Residential Typology and Grammar</v>
      </c>
      <c r="E11" s="28">
        <f>TableOBARCH[[#This Row],[Credit Points]]</f>
        <v>25</v>
      </c>
      <c r="F11" s="35">
        <v>9</v>
      </c>
      <c r="G11" s="35" t="s">
        <v>330</v>
      </c>
      <c r="H11" s="35">
        <v>2</v>
      </c>
      <c r="I11" s="40" t="s">
        <v>331</v>
      </c>
      <c r="J11" s="35" t="s">
        <v>99</v>
      </c>
      <c r="K11" s="35">
        <v>3</v>
      </c>
      <c r="L11" s="35" t="s">
        <v>340</v>
      </c>
      <c r="M11" s="35">
        <v>25</v>
      </c>
      <c r="N11" s="46">
        <v>44562</v>
      </c>
      <c r="O11" s="46"/>
      <c r="Q11" t="s">
        <v>99</v>
      </c>
      <c r="R11">
        <v>3</v>
      </c>
    </row>
    <row r="12" spans="1:18" x14ac:dyDescent="0.25">
      <c r="A12" t="str">
        <f>TableOBARCH[[#This Row],[Study Package Code]]</f>
        <v>ARCH2031</v>
      </c>
      <c r="B12" s="2">
        <f>TableOBARCH[[#This Row],[Ver]]</f>
        <v>3</v>
      </c>
      <c r="C12" s="2" t="str">
        <f>LEFT(TableOBARCH[[#This Row],[Structure Line]],(FIND(" ",TableOBARCH[[#This Row],[Structure Line]],1)-1))</f>
        <v>BAS205</v>
      </c>
      <c r="D12" t="str">
        <f>MID(TableOBARCH[[#This Row],[Structure Line]],FIND(" ",TableOBARCH[[#This Row],[Structure Line]])+1,256)</f>
        <v>Architecture Methods 2A - Digital Fabrication</v>
      </c>
      <c r="E12" s="28">
        <f>TableOBARCH[[#This Row],[Credit Points]]</f>
        <v>25</v>
      </c>
      <c r="F12" s="35">
        <v>10</v>
      </c>
      <c r="G12" s="35" t="s">
        <v>330</v>
      </c>
      <c r="H12" s="35">
        <v>2</v>
      </c>
      <c r="I12" s="40" t="s">
        <v>331</v>
      </c>
      <c r="J12" s="35" t="s">
        <v>89</v>
      </c>
      <c r="K12" s="35">
        <v>3</v>
      </c>
      <c r="L12" s="35" t="s">
        <v>341</v>
      </c>
      <c r="M12" s="35">
        <v>25</v>
      </c>
      <c r="N12" s="46">
        <v>44562</v>
      </c>
      <c r="O12" s="46"/>
      <c r="Q12" t="s">
        <v>89</v>
      </c>
      <c r="R12">
        <v>3</v>
      </c>
    </row>
    <row r="13" spans="1:18" x14ac:dyDescent="0.25">
      <c r="A13" t="str">
        <f>TableOBARCH[[#This Row],[Study Package Code]]</f>
        <v>ARCH2016</v>
      </c>
      <c r="B13" s="2">
        <f>TableOBARCH[[#This Row],[Ver]]</f>
        <v>2</v>
      </c>
      <c r="C13" s="2" t="str">
        <f>LEFT(TableOBARCH[[#This Row],[Structure Line]],(FIND(" ",TableOBARCH[[#This Row],[Structure Line]],1)-1))</f>
        <v>BAS240</v>
      </c>
      <c r="D13" t="str">
        <f>MID(TableOBARCH[[#This Row],[Structure Line]],FIND(" ",TableOBARCH[[#This Row],[Structure Line]])+1,256)</f>
        <v>Architectural Documentation and Detailing</v>
      </c>
      <c r="E13" s="28">
        <f>TableOBARCH[[#This Row],[Credit Points]]</f>
        <v>25</v>
      </c>
      <c r="F13" s="35">
        <v>11</v>
      </c>
      <c r="G13" s="35" t="s">
        <v>330</v>
      </c>
      <c r="H13" s="35">
        <v>2</v>
      </c>
      <c r="I13" s="40" t="s">
        <v>331</v>
      </c>
      <c r="J13" s="35" t="s">
        <v>80</v>
      </c>
      <c r="K13" s="35">
        <v>2</v>
      </c>
      <c r="L13" s="35" t="s">
        <v>342</v>
      </c>
      <c r="M13" s="35">
        <v>25</v>
      </c>
      <c r="N13" s="46">
        <v>44562</v>
      </c>
      <c r="O13" s="46"/>
      <c r="Q13" t="s">
        <v>80</v>
      </c>
      <c r="R13">
        <v>2</v>
      </c>
    </row>
    <row r="14" spans="1:18" x14ac:dyDescent="0.25">
      <c r="A14" t="str">
        <f>TableOBARCH[[#This Row],[Study Package Code]]</f>
        <v>ARCH2026</v>
      </c>
      <c r="B14" s="2">
        <f>TableOBARCH[[#This Row],[Ver]]</f>
        <v>3</v>
      </c>
      <c r="C14" s="2" t="str">
        <f>LEFT(TableOBARCH[[#This Row],[Structure Line]],(FIND(" ",TableOBARCH[[#This Row],[Structure Line]],1)-1))</f>
        <v>BAS230</v>
      </c>
      <c r="D14" t="str">
        <f>MID(TableOBARCH[[#This Row],[Structure Line]],FIND(" ",TableOBARCH[[#This Row],[Structure Line]])+1,256)</f>
        <v>Architecture Design Studio 2B - Regional Studio</v>
      </c>
      <c r="E14" s="28">
        <f>TableOBARCH[[#This Row],[Credit Points]]</f>
        <v>25</v>
      </c>
      <c r="F14" s="35">
        <v>12</v>
      </c>
      <c r="G14" s="35" t="s">
        <v>330</v>
      </c>
      <c r="H14" s="35">
        <v>2</v>
      </c>
      <c r="I14" s="40" t="s">
        <v>335</v>
      </c>
      <c r="J14" s="35" t="s">
        <v>100</v>
      </c>
      <c r="K14" s="35">
        <v>3</v>
      </c>
      <c r="L14" s="35" t="s">
        <v>343</v>
      </c>
      <c r="M14" s="35">
        <v>25</v>
      </c>
      <c r="N14" s="46">
        <v>44562</v>
      </c>
      <c r="O14" s="46"/>
      <c r="Q14" t="s">
        <v>100</v>
      </c>
      <c r="R14">
        <v>3</v>
      </c>
    </row>
    <row r="15" spans="1:18" x14ac:dyDescent="0.25">
      <c r="A15" t="str">
        <f>TableOBARCH[[#This Row],[Study Package Code]]</f>
        <v>ARCH2027</v>
      </c>
      <c r="B15" s="2">
        <f>TableOBARCH[[#This Row],[Ver]]</f>
        <v>3</v>
      </c>
      <c r="C15" s="2" t="str">
        <f>LEFT(TableOBARCH[[#This Row],[Structure Line]],(FIND(" ",TableOBARCH[[#This Row],[Structure Line]],1)-1))</f>
        <v>BAS235</v>
      </c>
      <c r="D15" t="str">
        <f>MID(TableOBARCH[[#This Row],[Structure Line]],FIND(" ",TableOBARCH[[#This Row],[Structure Line]])+1,256)</f>
        <v>Architecture Methods 2B - Information Visualisation</v>
      </c>
      <c r="E15" s="28">
        <f>TableOBARCH[[#This Row],[Credit Points]]</f>
        <v>25</v>
      </c>
      <c r="F15" s="35">
        <v>13</v>
      </c>
      <c r="G15" s="35" t="s">
        <v>330</v>
      </c>
      <c r="H15" s="35">
        <v>2</v>
      </c>
      <c r="I15" s="40" t="s">
        <v>335</v>
      </c>
      <c r="J15" s="35" t="s">
        <v>91</v>
      </c>
      <c r="K15" s="35">
        <v>3</v>
      </c>
      <c r="L15" s="35" t="s">
        <v>344</v>
      </c>
      <c r="M15" s="35">
        <v>25</v>
      </c>
      <c r="N15" s="46">
        <v>44562</v>
      </c>
      <c r="O15" s="46"/>
      <c r="Q15" t="s">
        <v>91</v>
      </c>
      <c r="R15">
        <v>3</v>
      </c>
    </row>
    <row r="16" spans="1:18" x14ac:dyDescent="0.25">
      <c r="A16" t="str">
        <f>TableOBARCH[[#This Row],[Study Package Code]]</f>
        <v>ARCH2017</v>
      </c>
      <c r="B16" s="2">
        <f>TableOBARCH[[#This Row],[Ver]]</f>
        <v>4</v>
      </c>
      <c r="C16" s="2" t="str">
        <f>LEFT(TableOBARCH[[#This Row],[Structure Line]],(FIND(" ",TableOBARCH[[#This Row],[Structure Line]],1)-1))</f>
        <v>BAS250</v>
      </c>
      <c r="D16" t="str">
        <f>MID(TableOBARCH[[#This Row],[Structure Line]],FIND(" ",TableOBARCH[[#This Row],[Structure Line]])+1,256)</f>
        <v>Architecture History and Identity</v>
      </c>
      <c r="E16" s="28">
        <f>TableOBARCH[[#This Row],[Credit Points]]</f>
        <v>25</v>
      </c>
      <c r="F16" s="35">
        <v>14</v>
      </c>
      <c r="G16" s="35" t="s">
        <v>330</v>
      </c>
      <c r="H16" s="35">
        <v>2</v>
      </c>
      <c r="I16" s="40" t="s">
        <v>335</v>
      </c>
      <c r="J16" s="35" t="s">
        <v>96</v>
      </c>
      <c r="K16" s="35">
        <v>4</v>
      </c>
      <c r="L16" s="35" t="s">
        <v>345</v>
      </c>
      <c r="M16" s="35">
        <v>25</v>
      </c>
      <c r="N16" s="46">
        <v>44743</v>
      </c>
      <c r="O16" s="46"/>
      <c r="Q16" t="s">
        <v>96</v>
      </c>
      <c r="R16">
        <v>4</v>
      </c>
    </row>
    <row r="17" spans="1:18" x14ac:dyDescent="0.25">
      <c r="A17" t="str">
        <f>TableOBARCH[[#This Row],[Study Package Code]]</f>
        <v>ARCH3030</v>
      </c>
      <c r="B17" s="2">
        <f>TableOBARCH[[#This Row],[Ver]]</f>
        <v>3</v>
      </c>
      <c r="C17" s="2" t="str">
        <f>LEFT(TableOBARCH[[#This Row],[Structure Line]],(FIND(" ",TableOBARCH[[#This Row],[Structure Line]],1)-1))</f>
        <v>BAS300</v>
      </c>
      <c r="D17" t="str">
        <f>MID(TableOBARCH[[#This Row],[Structure Line]],FIND(" ",TableOBARCH[[#This Row],[Structure Line]])+1,256)</f>
        <v>Architecture Design Studio 3A - Multi Residential</v>
      </c>
      <c r="E17" s="28">
        <f>TableOBARCH[[#This Row],[Credit Points]]</f>
        <v>25</v>
      </c>
      <c r="F17" s="35">
        <v>15</v>
      </c>
      <c r="G17" s="35" t="s">
        <v>330</v>
      </c>
      <c r="H17" s="35">
        <v>3</v>
      </c>
      <c r="I17" s="40" t="s">
        <v>331</v>
      </c>
      <c r="J17" s="35" t="s">
        <v>121</v>
      </c>
      <c r="K17" s="35">
        <v>3</v>
      </c>
      <c r="L17" s="35" t="s">
        <v>346</v>
      </c>
      <c r="M17" s="35">
        <v>25</v>
      </c>
      <c r="N17" s="46">
        <v>44562</v>
      </c>
      <c r="O17" s="46"/>
      <c r="Q17" t="s">
        <v>121</v>
      </c>
      <c r="R17">
        <v>3</v>
      </c>
    </row>
    <row r="18" spans="1:18" x14ac:dyDescent="0.25">
      <c r="A18" t="str">
        <f>TableOBARCH[[#This Row],[Study Package Code]]</f>
        <v>ARCH3031</v>
      </c>
      <c r="B18" s="2">
        <f>TableOBARCH[[#This Row],[Ver]]</f>
        <v>3</v>
      </c>
      <c r="C18" s="2" t="str">
        <f>LEFT(TableOBARCH[[#This Row],[Structure Line]],(FIND(" ",TableOBARCH[[#This Row],[Structure Line]],1)-1))</f>
        <v>BAS305</v>
      </c>
      <c r="D18" t="str">
        <f>MID(TableOBARCH[[#This Row],[Structure Line]],FIND(" ",TableOBARCH[[#This Row],[Structure Line]])+1,256)</f>
        <v>Architecture Methods 3A - Digital Futures</v>
      </c>
      <c r="E18" s="28">
        <f>TableOBARCH[[#This Row],[Credit Points]]</f>
        <v>25</v>
      </c>
      <c r="F18" s="35">
        <v>16</v>
      </c>
      <c r="G18" s="35" t="s">
        <v>330</v>
      </c>
      <c r="H18" s="35">
        <v>3</v>
      </c>
      <c r="I18" s="40" t="s">
        <v>331</v>
      </c>
      <c r="J18" s="35" t="s">
        <v>111</v>
      </c>
      <c r="K18" s="35">
        <v>3</v>
      </c>
      <c r="L18" s="35" t="s">
        <v>347</v>
      </c>
      <c r="M18" s="35">
        <v>25</v>
      </c>
      <c r="N18" s="46">
        <v>44562</v>
      </c>
      <c r="O18" s="46"/>
      <c r="Q18" t="s">
        <v>111</v>
      </c>
      <c r="R18">
        <v>3</v>
      </c>
    </row>
    <row r="19" spans="1:18" x14ac:dyDescent="0.25">
      <c r="A19" t="str">
        <f>TableOBARCH[[#This Row],[Study Package Code]]</f>
        <v>ARCH3015</v>
      </c>
      <c r="B19" s="2">
        <f>TableOBARCH[[#This Row],[Ver]]</f>
        <v>4</v>
      </c>
      <c r="C19" s="2" t="str">
        <f>LEFT(TableOBARCH[[#This Row],[Structure Line]],(FIND(" ",TableOBARCH[[#This Row],[Structure Line]],1)-1))</f>
        <v>BAS310</v>
      </c>
      <c r="D19" t="str">
        <f>MID(TableOBARCH[[#This Row],[Structure Line]],FIND(" ",TableOBARCH[[#This Row],[Structure Line]])+1,256)</f>
        <v>Environmental and Building Systems in Architecture</v>
      </c>
      <c r="E19" s="28">
        <f>TableOBARCH[[#This Row],[Credit Points]]</f>
        <v>25</v>
      </c>
      <c r="F19" s="35">
        <v>17</v>
      </c>
      <c r="G19" s="35" t="s">
        <v>330</v>
      </c>
      <c r="H19" s="35">
        <v>3</v>
      </c>
      <c r="I19" s="40" t="s">
        <v>331</v>
      </c>
      <c r="J19" s="35" t="s">
        <v>113</v>
      </c>
      <c r="K19" s="35">
        <v>4</v>
      </c>
      <c r="L19" s="35" t="s">
        <v>348</v>
      </c>
      <c r="M19" s="35">
        <v>25</v>
      </c>
      <c r="N19" s="46">
        <v>44562</v>
      </c>
      <c r="O19" s="46"/>
      <c r="Q19" t="s">
        <v>113</v>
      </c>
      <c r="R19">
        <v>4</v>
      </c>
    </row>
    <row r="20" spans="1:18" x14ac:dyDescent="0.25">
      <c r="A20" t="str">
        <f>TableOBARCH[[#This Row],[Study Package Code]]</f>
        <v>ARCH3019</v>
      </c>
      <c r="B20" s="2">
        <f>TableOBARCH[[#This Row],[Ver]]</f>
        <v>2</v>
      </c>
      <c r="C20" s="2" t="str">
        <f>LEFT(TableOBARCH[[#This Row],[Structure Line]],(FIND(" ",TableOBARCH[[#This Row],[Structure Line]],1)-1))</f>
        <v>BAS350</v>
      </c>
      <c r="D20" t="str">
        <f>MID(TableOBARCH[[#This Row],[Structure Line]],FIND(" ",TableOBARCH[[#This Row],[Structure Line]])+1,256)</f>
        <v>Twentieth and Twenty-First Century Architectural Theories</v>
      </c>
      <c r="E20" s="28">
        <f>TableOBARCH[[#This Row],[Credit Points]]</f>
        <v>25</v>
      </c>
      <c r="F20" s="35">
        <v>18</v>
      </c>
      <c r="G20" s="35" t="s">
        <v>330</v>
      </c>
      <c r="H20" s="35">
        <v>3</v>
      </c>
      <c r="I20" s="40" t="s">
        <v>331</v>
      </c>
      <c r="J20" s="35" t="s">
        <v>118</v>
      </c>
      <c r="K20" s="35">
        <v>2</v>
      </c>
      <c r="L20" s="35" t="s">
        <v>349</v>
      </c>
      <c r="M20" s="35">
        <v>25</v>
      </c>
      <c r="N20" s="46">
        <v>44562</v>
      </c>
      <c r="O20" s="46"/>
      <c r="Q20" t="s">
        <v>118</v>
      </c>
      <c r="R20">
        <v>2</v>
      </c>
    </row>
    <row r="21" spans="1:18" x14ac:dyDescent="0.25">
      <c r="A21" t="str">
        <f>TableOBARCH[[#This Row],[Study Package Code]]</f>
        <v>ARCH3028</v>
      </c>
      <c r="B21" s="2">
        <f>TableOBARCH[[#This Row],[Ver]]</f>
        <v>3</v>
      </c>
      <c r="C21" s="2" t="str">
        <f>LEFT(TableOBARCH[[#This Row],[Structure Line]],(FIND(" ",TableOBARCH[[#This Row],[Structure Line]],1)-1))</f>
        <v>BAS330</v>
      </c>
      <c r="D21" t="str">
        <f>MID(TableOBARCH[[#This Row],[Structure Line]],FIND(" ",TableOBARCH[[#This Row],[Structure Line]])+1,256)</f>
        <v>Architecture Design Studio 3B - Civic</v>
      </c>
      <c r="E21" s="28">
        <f>TableOBARCH[[#This Row],[Credit Points]]</f>
        <v>25</v>
      </c>
      <c r="F21" s="35">
        <v>19</v>
      </c>
      <c r="G21" s="35" t="s">
        <v>330</v>
      </c>
      <c r="H21" s="35">
        <v>3</v>
      </c>
      <c r="I21" s="40" t="s">
        <v>335</v>
      </c>
      <c r="J21" s="35" t="s">
        <v>122</v>
      </c>
      <c r="K21" s="35">
        <v>3</v>
      </c>
      <c r="L21" s="35" t="s">
        <v>350</v>
      </c>
      <c r="M21" s="35">
        <v>25</v>
      </c>
      <c r="N21" s="46">
        <v>44562</v>
      </c>
      <c r="O21" s="46"/>
      <c r="Q21" t="s">
        <v>122</v>
      </c>
      <c r="R21">
        <v>3</v>
      </c>
    </row>
    <row r="22" spans="1:18" x14ac:dyDescent="0.25">
      <c r="A22" t="str">
        <f>TableOBARCH[[#This Row],[Study Package Code]]</f>
        <v>ARCH3018</v>
      </c>
      <c r="B22" s="2">
        <f>TableOBARCH[[#This Row],[Ver]]</f>
        <v>5</v>
      </c>
      <c r="C22" s="2" t="str">
        <f>LEFT(TableOBARCH[[#This Row],[Structure Line]],(FIND(" ",TableOBARCH[[#This Row],[Structure Line]],1)-1))</f>
        <v>BAS340</v>
      </c>
      <c r="D22" t="str">
        <f>MID(TableOBARCH[[#This Row],[Structure Line]],FIND(" ",TableOBARCH[[#This Row],[Structure Line]])+1,256)</f>
        <v>Advanced Construction and Sustainability</v>
      </c>
      <c r="E22" s="28">
        <f>TableOBARCH[[#This Row],[Credit Points]]</f>
        <v>25</v>
      </c>
      <c r="F22" s="35">
        <v>20</v>
      </c>
      <c r="G22" s="35" t="s">
        <v>330</v>
      </c>
      <c r="H22" s="35">
        <v>3</v>
      </c>
      <c r="I22" s="40" t="s">
        <v>335</v>
      </c>
      <c r="J22" s="35" t="s">
        <v>117</v>
      </c>
      <c r="K22" s="35">
        <v>5</v>
      </c>
      <c r="L22" s="35" t="s">
        <v>351</v>
      </c>
      <c r="M22" s="35">
        <v>25</v>
      </c>
      <c r="N22" s="46">
        <v>45658</v>
      </c>
      <c r="O22" s="46"/>
      <c r="Q22" t="s">
        <v>117</v>
      </c>
      <c r="R22">
        <v>4</v>
      </c>
    </row>
    <row r="23" spans="1:18" x14ac:dyDescent="0.25">
      <c r="A23" t="str">
        <f>TableOBARCH[[#This Row],[Study Package Code]]</f>
        <v>ARCH3016</v>
      </c>
      <c r="B23" s="2">
        <f>TableOBARCH[[#This Row],[Ver]]</f>
        <v>1</v>
      </c>
      <c r="C23" s="2" t="str">
        <f>LEFT(TableOBARCH[[#This Row],[Structure Line]],(FIND(" ",TableOBARCH[[#This Row],[Structure Line]],1)-1))</f>
        <v>BAS320</v>
      </c>
      <c r="D23" t="str">
        <f>MID(TableOBARCH[[#This Row],[Structure Line]],FIND(" ",TableOBARCH[[#This Row],[Structure Line]])+1,256)</f>
        <v>Urban Contexts</v>
      </c>
      <c r="E23" s="28">
        <f>TableOBARCH[[#This Row],[Credit Points]]</f>
        <v>25</v>
      </c>
      <c r="F23" s="35">
        <v>21</v>
      </c>
      <c r="G23" s="35" t="s">
        <v>330</v>
      </c>
      <c r="H23" s="35">
        <v>3</v>
      </c>
      <c r="I23" s="40" t="s">
        <v>335</v>
      </c>
      <c r="J23" s="35" t="s">
        <v>95</v>
      </c>
      <c r="K23" s="35">
        <v>1</v>
      </c>
      <c r="L23" s="35" t="s">
        <v>352</v>
      </c>
      <c r="M23" s="35">
        <v>25</v>
      </c>
      <c r="N23" s="46">
        <v>42005</v>
      </c>
      <c r="O23" s="46"/>
      <c r="Q23" t="s">
        <v>95</v>
      </c>
      <c r="R23">
        <v>1</v>
      </c>
    </row>
    <row r="24" spans="1:18" x14ac:dyDescent="0.25">
      <c r="A24" t="str">
        <f>TableOBARCH[[#This Row],[Study Package Code]]</f>
        <v>OSCU-ANGAD</v>
      </c>
      <c r="B24" s="2">
        <f>TableOBARCH[[#This Row],[Ver]]</f>
        <v>1</v>
      </c>
      <c r="C24" s="2"/>
      <c r="D24" t="str">
        <f>TableOBARCH[[#This Row],[Structure Line]]</f>
        <v>Animation and Game Architecture Design Specialisation (OpenUnis)</v>
      </c>
      <c r="E24" s="28">
        <f>TableOBARCH[[#This Row],[Credit Points]]</f>
        <v>100</v>
      </c>
      <c r="F24" s="35">
        <v>1</v>
      </c>
      <c r="G24" s="35" t="s">
        <v>328</v>
      </c>
      <c r="H24" s="35">
        <v>0</v>
      </c>
      <c r="I24" s="35" t="s">
        <v>329</v>
      </c>
      <c r="J24" s="35" t="s">
        <v>104</v>
      </c>
      <c r="K24" s="35">
        <v>1</v>
      </c>
      <c r="L24" s="35" t="s">
        <v>103</v>
      </c>
      <c r="M24" s="35">
        <v>100</v>
      </c>
      <c r="N24" s="46">
        <v>44562</v>
      </c>
      <c r="O24" s="46"/>
      <c r="Q24" t="s">
        <v>104</v>
      </c>
      <c r="R24">
        <v>1</v>
      </c>
    </row>
    <row r="25" spans="1:18" x14ac:dyDescent="0.25">
      <c r="A25" t="str">
        <f>TableOBARCH[[#This Row],[Study Package Code]]</f>
        <v>OSCU-CONMS</v>
      </c>
      <c r="B25" s="2">
        <f>TableOBARCH[[#This Row],[Ver]]</f>
        <v>1</v>
      </c>
      <c r="C25" s="2"/>
      <c r="D25" t="str">
        <f>TableOBARCH[[#This Row],[Structure Line]]</f>
        <v>Construction Management Specialisation (OpenUnis)</v>
      </c>
      <c r="E25" s="28">
        <f>TableOBARCH[[#This Row],[Credit Points]]</f>
        <v>100</v>
      </c>
      <c r="F25" s="35">
        <v>1</v>
      </c>
      <c r="G25" s="35" t="s">
        <v>328</v>
      </c>
      <c r="H25" s="35">
        <v>0</v>
      </c>
      <c r="I25" s="35" t="s">
        <v>329</v>
      </c>
      <c r="J25" s="35" t="s">
        <v>108</v>
      </c>
      <c r="K25" s="35">
        <v>1</v>
      </c>
      <c r="L25" s="35" t="s">
        <v>107</v>
      </c>
      <c r="M25" s="35">
        <v>100</v>
      </c>
      <c r="N25" s="46">
        <v>44378</v>
      </c>
      <c r="O25" s="46"/>
      <c r="Q25" t="s">
        <v>108</v>
      </c>
      <c r="R25">
        <v>1</v>
      </c>
    </row>
    <row r="26" spans="1:18" x14ac:dyDescent="0.25">
      <c r="A26" t="str">
        <f>TableOBARCH[[#This Row],[Study Package Code]]</f>
        <v>OSCU-INARS</v>
      </c>
      <c r="B26" s="2">
        <f>TableOBARCH[[#This Row],[Ver]]</f>
        <v>3</v>
      </c>
      <c r="C26" s="2"/>
      <c r="D26" t="str">
        <f>TableOBARCH[[#This Row],[Structure Line]]</f>
        <v>Interior Architecture Specialisation (OpenUnis)</v>
      </c>
      <c r="E26" s="28">
        <f>TableOBARCH[[#This Row],[Credit Points]]</f>
        <v>100</v>
      </c>
      <c r="F26" s="35">
        <v>1</v>
      </c>
      <c r="G26" s="35" t="s">
        <v>328</v>
      </c>
      <c r="H26" s="35">
        <v>0</v>
      </c>
      <c r="I26" s="35" t="s">
        <v>329</v>
      </c>
      <c r="J26" s="35" t="s">
        <v>116</v>
      </c>
      <c r="K26" s="35">
        <v>3</v>
      </c>
      <c r="L26" s="35" t="s">
        <v>14</v>
      </c>
      <c r="M26" s="35">
        <v>100</v>
      </c>
      <c r="N26" s="46">
        <v>45292</v>
      </c>
      <c r="O26" s="46"/>
      <c r="Q26" t="s">
        <v>116</v>
      </c>
      <c r="R26">
        <v>3</v>
      </c>
    </row>
    <row r="27" spans="1:18" x14ac:dyDescent="0.25">
      <c r="A27" t="str">
        <f>TableOBARCH[[#This Row],[Study Package Code]]</f>
        <v>OSCU-PLGEO</v>
      </c>
      <c r="B27" s="2">
        <f>TableOBARCH[[#This Row],[Ver]]</f>
        <v>1</v>
      </c>
      <c r="C27" s="2"/>
      <c r="D27" t="str">
        <f>TableOBARCH[[#This Row],[Structure Line]]</f>
        <v>Planning and Geography Specialisation (OpenUnis)</v>
      </c>
      <c r="E27" s="28">
        <f>TableOBARCH[[#This Row],[Credit Points]]</f>
        <v>100</v>
      </c>
      <c r="F27" s="35">
        <v>1</v>
      </c>
      <c r="G27" s="35" t="s">
        <v>328</v>
      </c>
      <c r="H27" s="35">
        <v>0</v>
      </c>
      <c r="I27" s="35" t="s">
        <v>329</v>
      </c>
      <c r="J27" s="35" t="s">
        <v>120</v>
      </c>
      <c r="K27" s="35">
        <v>1</v>
      </c>
      <c r="L27" s="35" t="s">
        <v>119</v>
      </c>
      <c r="M27" s="35">
        <v>100</v>
      </c>
      <c r="N27" s="46">
        <v>44743</v>
      </c>
      <c r="O27" s="46"/>
      <c r="Q27" t="s">
        <v>120</v>
      </c>
      <c r="R27">
        <v>1</v>
      </c>
    </row>
    <row r="28" spans="1:18" x14ac:dyDescent="0.25">
      <c r="B28"/>
      <c r="E28"/>
      <c r="F28" s="26"/>
      <c r="G28" s="27" t="s">
        <v>313</v>
      </c>
      <c r="H28" s="67">
        <v>44562</v>
      </c>
      <c r="I28" s="42"/>
      <c r="J28" s="68" t="s">
        <v>104</v>
      </c>
      <c r="K28" s="69" t="s">
        <v>105</v>
      </c>
      <c r="L28" s="42" t="s">
        <v>103</v>
      </c>
      <c r="M28" s="42"/>
      <c r="N28" s="45" t="s">
        <v>315</v>
      </c>
      <c r="O28" s="43">
        <v>45572</v>
      </c>
    </row>
    <row r="29" spans="1:18" x14ac:dyDescent="0.25">
      <c r="A29" t="s">
        <v>0</v>
      </c>
      <c r="B29" s="2" t="s">
        <v>316</v>
      </c>
      <c r="C29" t="s">
        <v>317</v>
      </c>
      <c r="D29" t="s">
        <v>3</v>
      </c>
      <c r="E29" s="28" t="s">
        <v>318</v>
      </c>
      <c r="F29" t="s">
        <v>319</v>
      </c>
      <c r="G29" t="s">
        <v>320</v>
      </c>
      <c r="H29" t="s">
        <v>321</v>
      </c>
      <c r="I29" t="s">
        <v>21</v>
      </c>
      <c r="J29" t="s">
        <v>322</v>
      </c>
      <c r="K29" t="s">
        <v>1</v>
      </c>
      <c r="L29" t="s">
        <v>323</v>
      </c>
      <c r="M29" t="s">
        <v>69</v>
      </c>
      <c r="N29" t="s">
        <v>324</v>
      </c>
      <c r="O29" s="43" t="s">
        <v>325</v>
      </c>
      <c r="Q29" t="s">
        <v>326</v>
      </c>
      <c r="R29" t="s">
        <v>327</v>
      </c>
    </row>
    <row r="30" spans="1:18" x14ac:dyDescent="0.25">
      <c r="A30" t="str">
        <f>TableOSCUANGAD[[#This Row],[Study Package Code]]</f>
        <v>GRDE1022</v>
      </c>
      <c r="B30" s="2">
        <f>TableOSCUANGAD[[#This Row],[Ver]]</f>
        <v>1</v>
      </c>
      <c r="C30" s="2" t="str">
        <f>LEFT(TableOSCUANGAD[[#This Row],[Structure Line]],(FIND(" ",TableOSCUANGAD[[#This Row],[Structure Line]],1)-1))</f>
        <v>DIG10</v>
      </c>
      <c r="D30" t="str">
        <f>TableOSCUANGAD[[#This Row],[Structure Line]]</f>
        <v>DIG10 Game Design Introduction</v>
      </c>
      <c r="E30" s="28">
        <f>TableOSCUANGAD[[#This Row],[Credit Points]]</f>
        <v>25</v>
      </c>
      <c r="F30" s="35">
        <v>1</v>
      </c>
      <c r="G30" s="35" t="s">
        <v>330</v>
      </c>
      <c r="H30" s="35">
        <v>1</v>
      </c>
      <c r="I30" s="35" t="s">
        <v>329</v>
      </c>
      <c r="J30" s="35" t="s">
        <v>139</v>
      </c>
      <c r="K30" s="35">
        <v>1</v>
      </c>
      <c r="L30" s="35" t="s">
        <v>353</v>
      </c>
      <c r="M30" s="35">
        <v>25</v>
      </c>
      <c r="N30" s="46">
        <v>43466</v>
      </c>
      <c r="O30" s="46"/>
      <c r="Q30" t="s">
        <v>139</v>
      </c>
      <c r="R30">
        <v>1</v>
      </c>
    </row>
    <row r="31" spans="1:18" x14ac:dyDescent="0.25">
      <c r="A31" t="str">
        <f>TableOSCUANGAD[[#This Row],[Study Package Code]]</f>
        <v>GRDE2036</v>
      </c>
      <c r="B31" s="2">
        <f>TableOSCUANGAD[[#This Row],[Ver]]</f>
        <v>1</v>
      </c>
      <c r="C31" s="2" t="str">
        <f>LEFT(TableOSCUANGAD[[#This Row],[Structure Line]],(FIND(" ",TableOSCUANGAD[[#This Row],[Structure Line]],1)-1))</f>
        <v>DIG230</v>
      </c>
      <c r="D31" t="str">
        <f>TableOSCUANGAD[[#This Row],[Structure Line]]</f>
        <v>DIG230 Introduction to 3D Modelling and Rendering</v>
      </c>
      <c r="E31" s="28">
        <f>TableOSCUANGAD[[#This Row],[Credit Points]]</f>
        <v>25</v>
      </c>
      <c r="F31" s="35">
        <v>2</v>
      </c>
      <c r="G31" s="35" t="s">
        <v>330</v>
      </c>
      <c r="H31" s="35">
        <v>2</v>
      </c>
      <c r="I31" s="35" t="s">
        <v>329</v>
      </c>
      <c r="J31" s="35" t="s">
        <v>145</v>
      </c>
      <c r="K31" s="35">
        <v>1</v>
      </c>
      <c r="L31" s="35" t="s">
        <v>354</v>
      </c>
      <c r="M31" s="35">
        <v>25</v>
      </c>
      <c r="N31" s="46">
        <v>43101</v>
      </c>
      <c r="O31" s="46"/>
      <c r="Q31" t="s">
        <v>145</v>
      </c>
      <c r="R31">
        <v>1</v>
      </c>
    </row>
    <row r="32" spans="1:18" x14ac:dyDescent="0.25">
      <c r="A32" t="str">
        <f>TableOSCUANGAD[[#This Row],[Study Package Code]]</f>
        <v>GRDE2042</v>
      </c>
      <c r="B32" s="2">
        <f>TableOSCUANGAD[[#This Row],[Ver]]</f>
        <v>1</v>
      </c>
      <c r="C32" s="2" t="str">
        <f>LEFT(TableOSCUANGAD[[#This Row],[Structure Line]],(FIND(" ",TableOSCUANGAD[[#This Row],[Structure Line]],1)-1))</f>
        <v>DIG28</v>
      </c>
      <c r="D32" t="str">
        <f>TableOSCUANGAD[[#This Row],[Structure Line]]</f>
        <v>DIG28 Animation and Motion Graphics Design</v>
      </c>
      <c r="E32" s="28">
        <f>TableOSCUANGAD[[#This Row],[Credit Points]]</f>
        <v>25</v>
      </c>
      <c r="F32" s="35">
        <v>3</v>
      </c>
      <c r="G32" s="35" t="s">
        <v>330</v>
      </c>
      <c r="H32" s="35">
        <v>2</v>
      </c>
      <c r="I32" s="35" t="s">
        <v>329</v>
      </c>
      <c r="J32" s="35" t="s">
        <v>150</v>
      </c>
      <c r="K32" s="35">
        <v>1</v>
      </c>
      <c r="L32" s="35" t="s">
        <v>355</v>
      </c>
      <c r="M32" s="35">
        <v>25</v>
      </c>
      <c r="N32" s="46">
        <v>43282</v>
      </c>
      <c r="O32" s="46"/>
      <c r="Q32" t="s">
        <v>150</v>
      </c>
      <c r="R32">
        <v>1</v>
      </c>
    </row>
    <row r="33" spans="1:18" x14ac:dyDescent="0.25">
      <c r="A33" t="str">
        <f>TableOSCUANGAD[[#This Row],[Study Package Code]]</f>
        <v>AC-ANGAD</v>
      </c>
      <c r="B33" s="2">
        <f>TableOSCUANGAD[[#This Row],[Ver]]</f>
        <v>0</v>
      </c>
      <c r="C33" s="2"/>
      <c r="D33" t="str">
        <f>TableOSCUANGAD[[#This Row],[Structure Line]]</f>
        <v>Choose GRDE3033 or WORK3002</v>
      </c>
      <c r="E33" s="28">
        <f>TableOSCUANGAD[[#This Row],[Credit Points]]</f>
        <v>25</v>
      </c>
      <c r="F33" s="35">
        <v>4</v>
      </c>
      <c r="G33" s="35" t="s">
        <v>328</v>
      </c>
      <c r="H33" s="35">
        <v>3</v>
      </c>
      <c r="I33" s="35" t="s">
        <v>329</v>
      </c>
      <c r="J33" s="35" t="s">
        <v>157</v>
      </c>
      <c r="K33" s="35">
        <v>0</v>
      </c>
      <c r="L33" s="35" t="s">
        <v>356</v>
      </c>
      <c r="M33" s="35">
        <v>25</v>
      </c>
      <c r="N33" s="46"/>
      <c r="O33" s="46"/>
      <c r="Q33" t="s">
        <v>157</v>
      </c>
      <c r="R33">
        <v>0</v>
      </c>
    </row>
    <row r="34" spans="1:18" x14ac:dyDescent="0.25">
      <c r="A34" t="str">
        <f>TableOSCUANGAD[[#This Row],[Study Package Code]]</f>
        <v>GRDE3033</v>
      </c>
      <c r="B34" s="2">
        <f>TableOSCUANGAD[[#This Row],[Ver]]</f>
        <v>2</v>
      </c>
      <c r="C34" s="2" t="str">
        <f>LEFT(TableOSCUANGAD[[#This Row],[Structure Line]],(FIND(" ",TableOSCUANGAD[[#This Row],[Structure Line]],1)-1))</f>
        <v>DIG39</v>
      </c>
      <c r="D34" t="str">
        <f>TableOSCUANGAD[[#This Row],[Structure Line]]</f>
        <v>DIG39 Industry Project Development</v>
      </c>
      <c r="E34" s="28">
        <f>TableOSCUANGAD[[#This Row],[Credit Points]]</f>
        <v>25</v>
      </c>
      <c r="F34" s="35">
        <v>4</v>
      </c>
      <c r="G34" s="35" t="s">
        <v>328</v>
      </c>
      <c r="H34" s="35">
        <v>3</v>
      </c>
      <c r="I34" s="35" t="s">
        <v>329</v>
      </c>
      <c r="J34" s="35" t="s">
        <v>162</v>
      </c>
      <c r="K34" s="35">
        <v>2</v>
      </c>
      <c r="L34" s="35" t="s">
        <v>357</v>
      </c>
      <c r="M34" s="35">
        <v>25</v>
      </c>
      <c r="N34" s="46">
        <v>44378</v>
      </c>
      <c r="O34" s="46"/>
      <c r="Q34" t="s">
        <v>162</v>
      </c>
      <c r="R34">
        <v>2</v>
      </c>
    </row>
    <row r="35" spans="1:18" x14ac:dyDescent="0.25">
      <c r="A35" t="str">
        <f>TableOSCUANGAD[[#This Row],[Study Package Code]]</f>
        <v>WORK3002</v>
      </c>
      <c r="B35" s="2">
        <f>TableOSCUANGAD[[#This Row],[Ver]]</f>
        <v>1</v>
      </c>
      <c r="C35" s="2" t="str">
        <f>LEFT(TableOSCUANGAD[[#This Row],[Structure Line]],(FIND(" ",TableOSCUANGAD[[#This Row],[Structure Line]],1)-1))</f>
        <v>WBP300</v>
      </c>
      <c r="D35" t="str">
        <f>TableOSCUANGAD[[#This Row],[Structure Line]]</f>
        <v>WBP300 Work Based Project</v>
      </c>
      <c r="E35" s="28">
        <f>TableOSCUANGAD[[#This Row],[Credit Points]]</f>
        <v>25</v>
      </c>
      <c r="F35" s="35">
        <v>4</v>
      </c>
      <c r="G35" s="35" t="s">
        <v>328</v>
      </c>
      <c r="H35" s="35">
        <v>3</v>
      </c>
      <c r="I35" s="35" t="s">
        <v>329</v>
      </c>
      <c r="J35" s="35" t="s">
        <v>167</v>
      </c>
      <c r="K35" s="35">
        <v>1</v>
      </c>
      <c r="L35" s="35" t="s">
        <v>358</v>
      </c>
      <c r="M35" s="35">
        <v>25</v>
      </c>
      <c r="N35" s="46">
        <v>44287</v>
      </c>
      <c r="O35" s="46"/>
      <c r="Q35" t="s">
        <v>167</v>
      </c>
      <c r="R35">
        <v>1</v>
      </c>
    </row>
    <row r="36" spans="1:18" x14ac:dyDescent="0.25">
      <c r="B36"/>
      <c r="E36"/>
      <c r="F36" s="26"/>
      <c r="G36" s="27" t="s">
        <v>313</v>
      </c>
      <c r="H36" s="81">
        <v>45658</v>
      </c>
      <c r="I36" s="42"/>
      <c r="J36" s="68" t="s">
        <v>108</v>
      </c>
      <c r="K36" s="82" t="s">
        <v>109</v>
      </c>
      <c r="L36" s="42" t="s">
        <v>107</v>
      </c>
      <c r="M36" s="42"/>
      <c r="N36" s="45" t="s">
        <v>315</v>
      </c>
      <c r="O36" s="43">
        <v>45618</v>
      </c>
    </row>
    <row r="37" spans="1:18" x14ac:dyDescent="0.25">
      <c r="A37" t="s">
        <v>0</v>
      </c>
      <c r="B37" s="2" t="s">
        <v>316</v>
      </c>
      <c r="C37" t="s">
        <v>317</v>
      </c>
      <c r="D37" t="s">
        <v>3</v>
      </c>
      <c r="E37" s="28" t="s">
        <v>318</v>
      </c>
      <c r="F37" t="s">
        <v>319</v>
      </c>
      <c r="G37" t="s">
        <v>320</v>
      </c>
      <c r="H37" t="s">
        <v>321</v>
      </c>
      <c r="I37" t="s">
        <v>21</v>
      </c>
      <c r="J37" t="s">
        <v>322</v>
      </c>
      <c r="K37" t="s">
        <v>1</v>
      </c>
      <c r="L37" t="s">
        <v>323</v>
      </c>
      <c r="M37" t="s">
        <v>69</v>
      </c>
      <c r="N37" t="s">
        <v>324</v>
      </c>
      <c r="O37" s="43" t="s">
        <v>325</v>
      </c>
      <c r="Q37" t="s">
        <v>326</v>
      </c>
      <c r="R37" t="s">
        <v>327</v>
      </c>
    </row>
    <row r="38" spans="1:18" x14ac:dyDescent="0.25">
      <c r="A38" t="str">
        <f>TableOSCUCONMS[[#This Row],[Study Package Code]]</f>
        <v>BLDG1005</v>
      </c>
      <c r="B38" s="2">
        <f>TableOSCUCONMS[[#This Row],[Ver]]</f>
        <v>2</v>
      </c>
      <c r="C38" s="2" t="str">
        <f>LEFT(TableOSCUCONMS[[#This Row],[Structure Line]],(FIND(" ",TableOSCUCONMS[[#This Row],[Structure Line]],1)-1))</f>
        <v>CME101</v>
      </c>
      <c r="D38" t="str">
        <f>MID(TableOSCUCONMS[[#This Row],[Structure Line]],FIND(" ",TableOSCUCONMS[[#This Row],[Structure Line]])+1,256)</f>
        <v>Low Rise Construction</v>
      </c>
      <c r="E38" s="28">
        <f>TableOSCUCONMS[[#This Row],[Credit Points]]</f>
        <v>25</v>
      </c>
      <c r="F38" s="35">
        <v>1</v>
      </c>
      <c r="G38" s="35" t="s">
        <v>330</v>
      </c>
      <c r="H38" s="35">
        <v>0</v>
      </c>
      <c r="I38" s="35" t="s">
        <v>329</v>
      </c>
      <c r="J38" s="35" t="s">
        <v>140</v>
      </c>
      <c r="K38" s="35">
        <v>2</v>
      </c>
      <c r="L38" s="35" t="s">
        <v>359</v>
      </c>
      <c r="M38" s="35">
        <v>25</v>
      </c>
      <c r="N38" s="46">
        <v>43466</v>
      </c>
      <c r="O38" s="46"/>
      <c r="Q38" t="s">
        <v>158</v>
      </c>
      <c r="R38">
        <v>0</v>
      </c>
    </row>
    <row r="39" spans="1:18" x14ac:dyDescent="0.25">
      <c r="A39" t="str">
        <f>TableOSCUCONMS[[#This Row],[Study Package Code]]</f>
        <v>BLDG1006</v>
      </c>
      <c r="B39" s="2">
        <f>TableOSCUCONMS[[#This Row],[Ver]]</f>
        <v>0</v>
      </c>
      <c r="C39" s="2" t="str">
        <f>LEFT(TableOSCUCONMS[[#This Row],[Structure Line]],(FIND(" ",TableOSCUCONMS[[#This Row],[Structure Line]],1)-1))</f>
        <v>CME106</v>
      </c>
      <c r="D39" t="str">
        <f>MID(TableOSCUCONMS[[#This Row],[Structure Line]],FIND(" ",TableOSCUCONMS[[#This Row],[Structure Line]])+1,256)</f>
        <v>High-rise Construction</v>
      </c>
      <c r="E39" s="28">
        <f>TableOSCUCONMS[[#This Row],[Credit Points]]</f>
        <v>25</v>
      </c>
      <c r="F39" s="35">
        <v>2</v>
      </c>
      <c r="G39" s="35" t="s">
        <v>330</v>
      </c>
      <c r="H39" s="35">
        <v>0</v>
      </c>
      <c r="I39" s="35" t="s">
        <v>329</v>
      </c>
      <c r="J39" s="35" t="s">
        <v>146</v>
      </c>
      <c r="K39" s="35">
        <v>0</v>
      </c>
      <c r="L39" s="35" t="s">
        <v>360</v>
      </c>
      <c r="M39" s="35">
        <v>25</v>
      </c>
      <c r="N39" s="46">
        <v>44927</v>
      </c>
      <c r="O39" s="46"/>
      <c r="Q39" t="s">
        <v>140</v>
      </c>
      <c r="R39">
        <v>2</v>
      </c>
    </row>
    <row r="40" spans="1:18" x14ac:dyDescent="0.25">
      <c r="A40" t="str">
        <f>TableOSCUCONMS[[#This Row],[Study Package Code]]</f>
        <v>BLDG2027</v>
      </c>
      <c r="B40" s="2">
        <f>TableOSCUCONMS[[#This Row],[Ver]]</f>
        <v>3</v>
      </c>
      <c r="C40" s="2" t="str">
        <f>LEFT(TableOSCUCONMS[[#This Row],[Structure Line]],(FIND(" ",TableOSCUCONMS[[#This Row],[Structure Line]],1)-1))</f>
        <v>CME206</v>
      </c>
      <c r="D40" t="str">
        <f>MID(TableOSCUCONMS[[#This Row],[Structure Line]],FIND(" ",TableOSCUCONMS[[#This Row],[Structure Line]])+1,256)</f>
        <v>Building Surveying</v>
      </c>
      <c r="E40" s="28">
        <f>TableOSCUCONMS[[#This Row],[Credit Points]]</f>
        <v>25</v>
      </c>
      <c r="F40" s="35">
        <v>3</v>
      </c>
      <c r="G40" s="35" t="s">
        <v>330</v>
      </c>
      <c r="H40" s="35">
        <v>0</v>
      </c>
      <c r="I40" s="35" t="s">
        <v>329</v>
      </c>
      <c r="J40" s="35" t="s">
        <v>151</v>
      </c>
      <c r="K40" s="35">
        <v>3</v>
      </c>
      <c r="L40" s="35" t="s">
        <v>361</v>
      </c>
      <c r="M40" s="35">
        <v>25</v>
      </c>
      <c r="N40" s="46">
        <v>43466</v>
      </c>
      <c r="O40" s="46"/>
      <c r="Q40" t="s">
        <v>362</v>
      </c>
      <c r="R40">
        <v>1</v>
      </c>
    </row>
    <row r="41" spans="1:18" x14ac:dyDescent="0.25">
      <c r="A41" t="str">
        <f>TableOSCUCONMS[[#This Row],[Study Package Code]]</f>
        <v>AC-CONMS</v>
      </c>
      <c r="B41" s="2">
        <f>TableOSCUCONMS[[#This Row],[Ver]]</f>
        <v>0</v>
      </c>
      <c r="C41" s="2"/>
      <c r="D41" t="str">
        <f>TableOSCUCONMS[[#This Row],[Structure Line]]</f>
        <v>Choose BLDG2028 CME205 OR BLDG2021 CME203</v>
      </c>
      <c r="E41" s="28">
        <f>TableOSCUCONMS[[#This Row],[Credit Points]]</f>
        <v>25</v>
      </c>
      <c r="F41" s="35">
        <v>4</v>
      </c>
      <c r="G41" s="35" t="s">
        <v>328</v>
      </c>
      <c r="H41" s="35">
        <v>0</v>
      </c>
      <c r="I41" s="35" t="s">
        <v>329</v>
      </c>
      <c r="J41" s="35" t="s">
        <v>158</v>
      </c>
      <c r="K41" s="35">
        <v>0</v>
      </c>
      <c r="L41" s="35" t="s">
        <v>363</v>
      </c>
      <c r="M41" s="35">
        <v>25</v>
      </c>
      <c r="N41" s="46"/>
      <c r="O41" s="46"/>
      <c r="Q41" t="s">
        <v>151</v>
      </c>
      <c r="R41">
        <v>3</v>
      </c>
    </row>
    <row r="42" spans="1:18" x14ac:dyDescent="0.25">
      <c r="A42" t="str">
        <f>TableOSCUCONMS[[#This Row],[Study Package Code]]</f>
        <v>BLDG2021</v>
      </c>
      <c r="B42" s="2">
        <f>TableOSCUCONMS[[#This Row],[Ver]]</f>
        <v>0</v>
      </c>
      <c r="C42" s="2" t="str">
        <f>LEFT(TableOSCUCONMS[[#This Row],[Structure Line]],(FIND(" ",TableOSCUCONMS[[#This Row],[Structure Line]],1)-1))</f>
        <v>CME203</v>
      </c>
      <c r="D42" t="str">
        <f>MID(TableOSCUCONMS[[#This Row],[Structure Line]],FIND(" ",TableOSCUCONMS[[#This Row],[Structure Line]])+1,256)</f>
        <v>Specialised Construction</v>
      </c>
      <c r="E42" s="28">
        <f>TableOSCUCONMS[[#This Row],[Credit Points]]</f>
        <v>25</v>
      </c>
      <c r="F42" s="35">
        <v>4</v>
      </c>
      <c r="G42" s="35" t="s">
        <v>328</v>
      </c>
      <c r="H42" s="35">
        <v>0</v>
      </c>
      <c r="I42" s="35" t="s">
        <v>329</v>
      </c>
      <c r="J42" s="35" t="s">
        <v>168</v>
      </c>
      <c r="K42" s="35">
        <v>0</v>
      </c>
      <c r="L42" s="35" t="s">
        <v>364</v>
      </c>
      <c r="M42" s="35">
        <v>25</v>
      </c>
      <c r="N42" s="46">
        <v>42005</v>
      </c>
      <c r="O42" s="46"/>
      <c r="Q42" t="s">
        <v>146</v>
      </c>
      <c r="R42">
        <v>3</v>
      </c>
    </row>
    <row r="43" spans="1:18" x14ac:dyDescent="0.25">
      <c r="A43" t="str">
        <f>TableOSCUCONMS[[#This Row],[Study Package Code]]</f>
        <v>BLDG2028</v>
      </c>
      <c r="B43" s="2">
        <f>TableOSCUCONMS[[#This Row],[Ver]]</f>
        <v>0</v>
      </c>
      <c r="C43" s="2" t="str">
        <f>LEFT(TableOSCUCONMS[[#This Row],[Structure Line]],(FIND(" ",TableOSCUCONMS[[#This Row],[Structure Line]],1)-1))</f>
        <v>CME205</v>
      </c>
      <c r="D43" t="str">
        <f>MID(TableOSCUCONMS[[#This Row],[Structure Line]],FIND(" ",TableOSCUCONMS[[#This Row],[Structure Line]])+1,256)</f>
        <v>Building Information Management and Modelling</v>
      </c>
      <c r="E43" s="28">
        <f>TableOSCUCONMS[[#This Row],[Credit Points]]</f>
        <v>25</v>
      </c>
      <c r="F43" s="35">
        <v>4</v>
      </c>
      <c r="G43" s="35" t="s">
        <v>328</v>
      </c>
      <c r="H43" s="35">
        <v>0</v>
      </c>
      <c r="I43" s="35" t="s">
        <v>329</v>
      </c>
      <c r="J43" s="35" t="s">
        <v>163</v>
      </c>
      <c r="K43" s="35">
        <v>0</v>
      </c>
      <c r="L43" s="35" t="s">
        <v>365</v>
      </c>
      <c r="M43" s="35">
        <v>25</v>
      </c>
      <c r="N43" s="46">
        <v>44927</v>
      </c>
      <c r="O43" s="46"/>
      <c r="Q43" t="s">
        <v>253</v>
      </c>
      <c r="R43">
        <v>3</v>
      </c>
    </row>
    <row r="44" spans="1:18" x14ac:dyDescent="0.25">
      <c r="B44"/>
      <c r="E44"/>
      <c r="F44" s="26"/>
      <c r="G44" s="27" t="s">
        <v>313</v>
      </c>
      <c r="H44" s="67">
        <v>45292</v>
      </c>
      <c r="I44" s="42"/>
      <c r="J44" s="68" t="s">
        <v>116</v>
      </c>
      <c r="K44" s="69" t="s">
        <v>72</v>
      </c>
      <c r="L44" s="42" t="s">
        <v>14</v>
      </c>
      <c r="M44" s="42"/>
      <c r="N44" s="45" t="s">
        <v>315</v>
      </c>
      <c r="O44" s="43">
        <v>45572</v>
      </c>
    </row>
    <row r="45" spans="1:18" x14ac:dyDescent="0.25">
      <c r="A45" t="s">
        <v>0</v>
      </c>
      <c r="B45" s="2" t="s">
        <v>316</v>
      </c>
      <c r="C45" t="s">
        <v>317</v>
      </c>
      <c r="D45" t="s">
        <v>3</v>
      </c>
      <c r="E45" s="28" t="s">
        <v>318</v>
      </c>
      <c r="F45" t="s">
        <v>319</v>
      </c>
      <c r="G45" t="s">
        <v>320</v>
      </c>
      <c r="H45" t="s">
        <v>321</v>
      </c>
      <c r="I45" t="s">
        <v>21</v>
      </c>
      <c r="J45" t="s">
        <v>322</v>
      </c>
      <c r="K45" t="s">
        <v>1</v>
      </c>
      <c r="L45" t="s">
        <v>323</v>
      </c>
      <c r="M45" t="s">
        <v>69</v>
      </c>
      <c r="N45" t="s">
        <v>324</v>
      </c>
      <c r="O45" s="43" t="s">
        <v>325</v>
      </c>
      <c r="Q45" t="s">
        <v>326</v>
      </c>
      <c r="R45" t="s">
        <v>327</v>
      </c>
    </row>
    <row r="46" spans="1:18" x14ac:dyDescent="0.25">
      <c r="A46" t="str">
        <f>TableOSCUINARS[[#This Row],[Study Package Code]]</f>
        <v>INAR2023</v>
      </c>
      <c r="B46" s="2">
        <f>TableOSCUINARS[[#This Row],[Ver]]</f>
        <v>1</v>
      </c>
      <c r="C46" s="2" t="str">
        <f>LEFT(TableOSCUINARS[[#This Row],[Structure Line]],(FIND(" ",TableOSCUINARS[[#This Row],[Structure Line]],1)-1))</f>
        <v>BIA280</v>
      </c>
      <c r="D46" t="str">
        <f>MID(TableOSCUINARS[[#This Row],[Structure Line]],FIND(" ",TableOSCUINARS[[#This Row],[Structure Line]])+1,256)</f>
        <v>Philosophy and Practice</v>
      </c>
      <c r="E46" s="28">
        <f>TableOSCUINARS[[#This Row],[Credit Points]]</f>
        <v>25</v>
      </c>
      <c r="F46" s="35">
        <v>1</v>
      </c>
      <c r="G46" s="35" t="s">
        <v>330</v>
      </c>
      <c r="H46" s="35">
        <v>0</v>
      </c>
      <c r="I46" s="35" t="s">
        <v>329</v>
      </c>
      <c r="J46" s="35" t="s">
        <v>159</v>
      </c>
      <c r="K46" s="35">
        <v>1</v>
      </c>
      <c r="L46" s="35" t="s">
        <v>366</v>
      </c>
      <c r="M46" s="35">
        <v>25</v>
      </c>
      <c r="N46" s="46">
        <v>44562</v>
      </c>
      <c r="O46" s="46"/>
      <c r="Q46" t="s">
        <v>159</v>
      </c>
      <c r="R46">
        <v>1</v>
      </c>
    </row>
    <row r="47" spans="1:18" x14ac:dyDescent="0.25">
      <c r="A47" t="str">
        <f>TableOSCUINARS[[#This Row],[Study Package Code]]</f>
        <v>INAR3021</v>
      </c>
      <c r="B47" s="2">
        <f>TableOSCUINARS[[#This Row],[Ver]]</f>
        <v>1</v>
      </c>
      <c r="C47" s="2" t="str">
        <f>LEFT(TableOSCUINARS[[#This Row],[Structure Line]],(FIND(" ",TableOSCUINARS[[#This Row],[Structure Line]],1)-1))</f>
        <v>BIA390</v>
      </c>
      <c r="D47" t="str">
        <f>MID(TableOSCUINARS[[#This Row],[Structure Line]],FIND(" ",TableOSCUINARS[[#This Row],[Structure Line]])+1,256)</f>
        <v>Furniture Design</v>
      </c>
      <c r="E47" s="28">
        <f>TableOSCUINARS[[#This Row],[Credit Points]]</f>
        <v>25</v>
      </c>
      <c r="F47" s="35">
        <v>2</v>
      </c>
      <c r="G47" s="35" t="s">
        <v>330</v>
      </c>
      <c r="H47" s="35">
        <v>0</v>
      </c>
      <c r="I47" s="35" t="s">
        <v>329</v>
      </c>
      <c r="J47" s="35" t="s">
        <v>164</v>
      </c>
      <c r="K47" s="35">
        <v>1</v>
      </c>
      <c r="L47" s="35" t="s">
        <v>367</v>
      </c>
      <c r="M47" s="35">
        <v>25</v>
      </c>
      <c r="N47" s="46">
        <v>45292</v>
      </c>
      <c r="O47" s="46"/>
      <c r="Q47" t="s">
        <v>164</v>
      </c>
      <c r="R47">
        <v>1</v>
      </c>
    </row>
    <row r="48" spans="1:18" x14ac:dyDescent="0.25">
      <c r="A48" t="str">
        <f>TableOSCUINARS[[#This Row],[Study Package Code]]</f>
        <v>AC-INARS</v>
      </c>
      <c r="B48" s="2">
        <f>TableOSCUINARS[[#This Row],[Ver]]</f>
        <v>0</v>
      </c>
      <c r="C48" s="2"/>
      <c r="D48" t="str">
        <f>TableOSCUINARS[[#This Row],[Structure Line]]</f>
        <v>Choose INAR1011 BIA140 or INAR1015 BIA170</v>
      </c>
      <c r="E48" s="28">
        <f>TableOSCUINARS[[#This Row],[Credit Points]]</f>
        <v>25</v>
      </c>
      <c r="F48" s="35">
        <v>3</v>
      </c>
      <c r="G48" s="35" t="s">
        <v>328</v>
      </c>
      <c r="H48" s="35">
        <v>0</v>
      </c>
      <c r="I48" s="35" t="s">
        <v>329</v>
      </c>
      <c r="J48" s="35" t="s">
        <v>136</v>
      </c>
      <c r="K48" s="35">
        <v>0</v>
      </c>
      <c r="L48" s="35" t="s">
        <v>368</v>
      </c>
      <c r="M48" s="35">
        <v>25</v>
      </c>
      <c r="N48" s="46"/>
      <c r="O48" s="46"/>
      <c r="Q48" t="s">
        <v>136</v>
      </c>
      <c r="R48">
        <v>0</v>
      </c>
    </row>
    <row r="49" spans="1:18" x14ac:dyDescent="0.25">
      <c r="A49" t="str">
        <f>TableOSCUINARS[[#This Row],[Study Package Code]]</f>
        <v>Opt-INARS</v>
      </c>
      <c r="B49" s="2">
        <f>TableOSCUINARS[[#This Row],[Ver]]</f>
        <v>0</v>
      </c>
      <c r="C49" s="2"/>
      <c r="D49" t="str">
        <f>TableOSCUINARS[[#This Row],[Structure Line]]</f>
        <v>Choose an Option</v>
      </c>
      <c r="E49" s="28">
        <f>TableOSCUINARS[[#This Row],[Credit Points]]</f>
        <v>25</v>
      </c>
      <c r="F49" s="35">
        <v>4</v>
      </c>
      <c r="G49" s="35" t="s">
        <v>369</v>
      </c>
      <c r="H49" s="35">
        <v>0</v>
      </c>
      <c r="I49" s="35" t="s">
        <v>329</v>
      </c>
      <c r="J49" s="35" t="s">
        <v>170</v>
      </c>
      <c r="K49" s="35">
        <v>0</v>
      </c>
      <c r="L49" s="35" t="s">
        <v>370</v>
      </c>
      <c r="M49" s="35">
        <v>25</v>
      </c>
      <c r="N49" s="46"/>
      <c r="O49" s="46"/>
      <c r="Q49" t="s">
        <v>170</v>
      </c>
      <c r="R49">
        <v>0</v>
      </c>
    </row>
    <row r="50" spans="1:18" x14ac:dyDescent="0.25">
      <c r="A50" t="str">
        <f>TableOSCUINARS[[#This Row],[Study Package Code]]</f>
        <v>INAR1011</v>
      </c>
      <c r="B50" s="2">
        <f>TableOSCUINARS[[#This Row],[Ver]]</f>
        <v>4</v>
      </c>
      <c r="C50" s="2" t="str">
        <f>LEFT(TableOSCUINARS[[#This Row],[Structure Line]],(FIND(" ",TableOSCUINARS[[#This Row],[Structure Line]],1)-1))</f>
        <v>BIA140</v>
      </c>
      <c r="D50" t="str">
        <f>MID(TableOSCUINARS[[#This Row],[Structure Line]],FIND(" ",TableOSCUINARS[[#This Row],[Structure Line]])+1,256)</f>
        <v>Interior Architecture Studio - Foundation</v>
      </c>
      <c r="E50" s="28">
        <f>TableOSCUINARS[[#This Row],[Credit Points]]</f>
        <v>25</v>
      </c>
      <c r="F50" s="35">
        <v>3</v>
      </c>
      <c r="G50" s="35" t="s">
        <v>328</v>
      </c>
      <c r="H50" s="35">
        <v>0</v>
      </c>
      <c r="I50" s="35" t="s">
        <v>329</v>
      </c>
      <c r="J50" s="35" t="s">
        <v>141</v>
      </c>
      <c r="K50" s="35">
        <v>4</v>
      </c>
      <c r="L50" s="35" t="s">
        <v>371</v>
      </c>
      <c r="M50" s="35">
        <v>25</v>
      </c>
      <c r="N50" s="46">
        <v>45292</v>
      </c>
      <c r="O50" s="46"/>
      <c r="Q50" t="s">
        <v>141</v>
      </c>
      <c r="R50">
        <v>4</v>
      </c>
    </row>
    <row r="51" spans="1:18" x14ac:dyDescent="0.25">
      <c r="A51" t="str">
        <f>TableOSCUINARS[[#This Row],[Study Package Code]]</f>
        <v>INAR1015</v>
      </c>
      <c r="B51" s="2">
        <f>TableOSCUINARS[[#This Row],[Ver]]</f>
        <v>1</v>
      </c>
      <c r="C51" s="2" t="str">
        <f>LEFT(TableOSCUINARS[[#This Row],[Structure Line]],(FIND(" ",TableOSCUINARS[[#This Row],[Structure Line]],1)-1))</f>
        <v>BIA170</v>
      </c>
      <c r="D51" t="str">
        <f>MID(TableOSCUINARS[[#This Row],[Structure Line]],FIND(" ",TableOSCUINARS[[#This Row],[Structure Line]])+1,256)</f>
        <v>History of the Interior</v>
      </c>
      <c r="E51" s="28">
        <f>TableOSCUINARS[[#This Row],[Credit Points]]</f>
        <v>25</v>
      </c>
      <c r="F51" s="35">
        <v>3</v>
      </c>
      <c r="G51" s="35" t="s">
        <v>328</v>
      </c>
      <c r="H51" s="35">
        <v>0</v>
      </c>
      <c r="I51" s="35" t="s">
        <v>329</v>
      </c>
      <c r="J51" s="35" t="s">
        <v>147</v>
      </c>
      <c r="K51" s="35">
        <v>1</v>
      </c>
      <c r="L51" s="35" t="s">
        <v>372</v>
      </c>
      <c r="M51" s="35">
        <v>25</v>
      </c>
      <c r="N51" s="46">
        <v>43101</v>
      </c>
      <c r="O51" s="46"/>
      <c r="Q51" t="s">
        <v>147</v>
      </c>
      <c r="R51">
        <v>1</v>
      </c>
    </row>
    <row r="52" spans="1:18" x14ac:dyDescent="0.25">
      <c r="A52" t="str">
        <f>TableOSCUINARS[[#This Row],[Study Package Code]]</f>
        <v>INAR2015</v>
      </c>
      <c r="B52" s="2">
        <f>TableOSCUINARS[[#This Row],[Ver]]</f>
        <v>4</v>
      </c>
      <c r="C52" s="2" t="str">
        <f>LEFT(TableOSCUINARS[[#This Row],[Structure Line]],(FIND(" ",TableOSCUINARS[[#This Row],[Structure Line]],1)-1))</f>
        <v>BIA250</v>
      </c>
      <c r="D52" t="str">
        <f>MID(TableOSCUINARS[[#This Row],[Structure Line]],FIND(" ",TableOSCUINARS[[#This Row],[Structure Line]])+1,256)</f>
        <v>Interior Architecture Studio – Community</v>
      </c>
      <c r="E52" s="28">
        <f>TableOSCUINARS[[#This Row],[Credit Points]]</f>
        <v>25</v>
      </c>
      <c r="F52" s="35">
        <v>4</v>
      </c>
      <c r="G52" s="35" t="s">
        <v>369</v>
      </c>
      <c r="H52" s="35">
        <v>0</v>
      </c>
      <c r="I52" s="35" t="s">
        <v>329</v>
      </c>
      <c r="J52" s="35" t="s">
        <v>172</v>
      </c>
      <c r="K52" s="35">
        <v>4</v>
      </c>
      <c r="L52" s="35" t="s">
        <v>373</v>
      </c>
      <c r="M52" s="35">
        <v>25</v>
      </c>
      <c r="N52" s="46">
        <v>45292</v>
      </c>
      <c r="O52" s="46"/>
      <c r="Q52" t="s">
        <v>172</v>
      </c>
      <c r="R52">
        <v>4</v>
      </c>
    </row>
    <row r="53" spans="1:18" x14ac:dyDescent="0.25">
      <c r="A53" t="str">
        <f>TableOSCUINARS[[#This Row],[Study Package Code]]</f>
        <v>INAR2025</v>
      </c>
      <c r="B53" s="2">
        <f>TableOSCUINARS[[#This Row],[Ver]]</f>
        <v>1</v>
      </c>
      <c r="C53" s="2" t="str">
        <f>LEFT(TableOSCUINARS[[#This Row],[Structure Line]],(FIND(" ",TableOSCUINARS[[#This Row],[Structure Line]],1)-1))</f>
        <v>BIA290</v>
      </c>
      <c r="D53" t="str">
        <f>MID(TableOSCUINARS[[#This Row],[Structure Line]],FIND(" ",TableOSCUINARS[[#This Row],[Structure Line]])+1,256)</f>
        <v>Design Fabrication</v>
      </c>
      <c r="E53" s="28">
        <f>TableOSCUINARS[[#This Row],[Credit Points]]</f>
        <v>25</v>
      </c>
      <c r="F53" s="35">
        <v>4</v>
      </c>
      <c r="G53" s="35" t="s">
        <v>369</v>
      </c>
      <c r="H53" s="35">
        <v>0</v>
      </c>
      <c r="I53" s="35" t="s">
        <v>329</v>
      </c>
      <c r="J53" s="35" t="s">
        <v>174</v>
      </c>
      <c r="K53" s="35">
        <v>1</v>
      </c>
      <c r="L53" s="35" t="s">
        <v>374</v>
      </c>
      <c r="M53" s="35">
        <v>25</v>
      </c>
      <c r="N53" s="46">
        <v>45292</v>
      </c>
      <c r="O53" s="46"/>
      <c r="Q53" t="s">
        <v>174</v>
      </c>
      <c r="R53">
        <v>1</v>
      </c>
    </row>
    <row r="54" spans="1:18" x14ac:dyDescent="0.25">
      <c r="A54" t="str">
        <f>TableOSCUINARS[[#This Row],[Study Package Code]]</f>
        <v>WORK2006</v>
      </c>
      <c r="B54" s="2">
        <f>TableOSCUINARS[[#This Row],[Ver]]</f>
        <v>3</v>
      </c>
      <c r="C54" s="2" t="str">
        <f>LEFT(TableOSCUINARS[[#This Row],[Structure Line]],(FIND(" ",TableOSCUINARS[[#This Row],[Structure Line]],1)-1))</f>
        <v>GOL200</v>
      </c>
      <c r="D54" t="str">
        <f>MID(TableOSCUINARS[[#This Row],[Structure Line]],FIND(" ",TableOSCUINARS[[#This Row],[Structure Line]])+1,256)</f>
        <v>Changemakers Innovation Lab</v>
      </c>
      <c r="E54" s="28">
        <f>TableOSCUINARS[[#This Row],[Credit Points]]</f>
        <v>25</v>
      </c>
      <c r="F54" s="35">
        <v>4</v>
      </c>
      <c r="G54" s="35" t="s">
        <v>369</v>
      </c>
      <c r="H54" s="35">
        <v>0</v>
      </c>
      <c r="I54" s="35" t="s">
        <v>329</v>
      </c>
      <c r="J54" s="35" t="s">
        <v>176</v>
      </c>
      <c r="K54" s="35">
        <v>3</v>
      </c>
      <c r="L54" s="35" t="s">
        <v>375</v>
      </c>
      <c r="M54" s="35">
        <v>25</v>
      </c>
      <c r="N54" s="46">
        <v>45474</v>
      </c>
      <c r="O54" s="46"/>
      <c r="Q54" t="s">
        <v>176</v>
      </c>
      <c r="R54">
        <v>2</v>
      </c>
    </row>
    <row r="55" spans="1:18" x14ac:dyDescent="0.25">
      <c r="A55" t="str">
        <f>TableOSCUINARS[[#This Row],[Study Package Code]]</f>
        <v>WORK2007</v>
      </c>
      <c r="B55" s="2">
        <f>TableOSCUINARS[[#This Row],[Ver]]</f>
        <v>1</v>
      </c>
      <c r="C55" s="2" t="str">
        <f>LEFT(TableOSCUINARS[[#This Row],[Structure Line]],(FIND(" ",TableOSCUINARS[[#This Row],[Structure Line]],1)-1))</f>
        <v>GOL210</v>
      </c>
      <c r="D55" t="str">
        <f>MID(TableOSCUINARS[[#This Row],[Structure Line]],FIND(" ",TableOSCUINARS[[#This Row],[Structure Line]])+1,256)</f>
        <v>Regional Industry Placement 2</v>
      </c>
      <c r="E55" s="28">
        <f>TableOSCUINARS[[#This Row],[Credit Points]]</f>
        <v>25</v>
      </c>
      <c r="F55" s="35">
        <v>4</v>
      </c>
      <c r="G55" s="35" t="s">
        <v>369</v>
      </c>
      <c r="H55" s="35">
        <v>0</v>
      </c>
      <c r="I55" s="35" t="s">
        <v>329</v>
      </c>
      <c r="J55" s="35" t="s">
        <v>182</v>
      </c>
      <c r="K55" s="35">
        <v>1</v>
      </c>
      <c r="L55" s="35" t="s">
        <v>376</v>
      </c>
      <c r="M55" s="35">
        <v>25</v>
      </c>
      <c r="N55" s="46">
        <v>44743</v>
      </c>
      <c r="O55" s="46">
        <v>44926</v>
      </c>
      <c r="Q55" t="s">
        <v>182</v>
      </c>
      <c r="R55">
        <v>1</v>
      </c>
    </row>
    <row r="56" spans="1:18" x14ac:dyDescent="0.25">
      <c r="A56" t="str">
        <f>TableOSCUINARS[[#This Row],[Study Package Code]]</f>
        <v>WORK3002</v>
      </c>
      <c r="B56" s="2">
        <f>TableOSCUINARS[[#This Row],[Ver]]</f>
        <v>1</v>
      </c>
      <c r="C56" s="2" t="str">
        <f>LEFT(TableOSCUINARS[[#This Row],[Structure Line]],(FIND(" ",TableOSCUINARS[[#This Row],[Structure Line]],1)-1))</f>
        <v>WBP300</v>
      </c>
      <c r="D56" t="str">
        <f>MID(TableOSCUINARS[[#This Row],[Structure Line]],FIND(" ",TableOSCUINARS[[#This Row],[Structure Line]])+1,256)</f>
        <v>Work Based Project</v>
      </c>
      <c r="E56" s="28">
        <f>TableOSCUINARS[[#This Row],[Credit Points]]</f>
        <v>25</v>
      </c>
      <c r="F56" s="35">
        <v>4</v>
      </c>
      <c r="G56" s="35" t="s">
        <v>369</v>
      </c>
      <c r="H56" s="35">
        <v>0</v>
      </c>
      <c r="I56" s="35" t="s">
        <v>329</v>
      </c>
      <c r="J56" s="35" t="s">
        <v>167</v>
      </c>
      <c r="K56" s="35">
        <v>1</v>
      </c>
      <c r="L56" s="35" t="s">
        <v>358</v>
      </c>
      <c r="M56" s="35">
        <v>25</v>
      </c>
      <c r="N56" s="46">
        <v>44287</v>
      </c>
      <c r="O56" s="46"/>
      <c r="Q56" t="s">
        <v>167</v>
      </c>
      <c r="R56">
        <v>1</v>
      </c>
    </row>
    <row r="57" spans="1:18" x14ac:dyDescent="0.25">
      <c r="A57" t="str">
        <f>TableOSCUINARS[[#This Row],[Study Package Code]]</f>
        <v>WORK3009</v>
      </c>
      <c r="B57" s="2">
        <f>TableOSCUINARS[[#This Row],[Ver]]</f>
        <v>1</v>
      </c>
      <c r="C57" s="2" t="str">
        <f>LEFT(TableOSCUINARS[[#This Row],[Structure Line]],(FIND(" ",TableOSCUINARS[[#This Row],[Structure Line]],1)-1))</f>
        <v>GOG300</v>
      </c>
      <c r="D57" t="str">
        <f>MID(TableOSCUINARS[[#This Row],[Structure Line]],FIND(" ",TableOSCUINARS[[#This Row],[Structure Line]])+1,256)</f>
        <v>Go Global - Internship 4</v>
      </c>
      <c r="E57" s="28">
        <f>TableOSCUINARS[[#This Row],[Credit Points]]</f>
        <v>25</v>
      </c>
      <c r="F57" s="35">
        <v>4</v>
      </c>
      <c r="G57" s="35" t="s">
        <v>369</v>
      </c>
      <c r="H57" s="35">
        <v>0</v>
      </c>
      <c r="I57" s="35" t="s">
        <v>329</v>
      </c>
      <c r="J57" s="35" t="s">
        <v>179</v>
      </c>
      <c r="K57" s="35">
        <v>1</v>
      </c>
      <c r="L57" s="35" t="s">
        <v>377</v>
      </c>
      <c r="M57" s="35">
        <v>25</v>
      </c>
      <c r="N57" s="46">
        <v>44927</v>
      </c>
      <c r="O57" s="46"/>
      <c r="Q57" t="s">
        <v>179</v>
      </c>
      <c r="R57">
        <v>1</v>
      </c>
    </row>
    <row r="58" spans="1:18" x14ac:dyDescent="0.25">
      <c r="B58"/>
      <c r="E58"/>
      <c r="F58" s="26"/>
      <c r="G58" s="27" t="s">
        <v>313</v>
      </c>
      <c r="H58" s="67">
        <v>44743</v>
      </c>
      <c r="I58" s="42"/>
      <c r="J58" s="68" t="s">
        <v>120</v>
      </c>
      <c r="K58" s="69" t="s">
        <v>105</v>
      </c>
      <c r="L58" s="42" t="s">
        <v>119</v>
      </c>
      <c r="M58" s="42"/>
      <c r="N58" s="45" t="s">
        <v>315</v>
      </c>
      <c r="O58" s="43">
        <v>45572</v>
      </c>
    </row>
    <row r="59" spans="1:18" x14ac:dyDescent="0.25">
      <c r="A59" t="s">
        <v>0</v>
      </c>
      <c r="B59" s="2" t="s">
        <v>316</v>
      </c>
      <c r="C59" t="s">
        <v>317</v>
      </c>
      <c r="D59" t="s">
        <v>3</v>
      </c>
      <c r="E59" s="28" t="s">
        <v>318</v>
      </c>
      <c r="F59" t="s">
        <v>319</v>
      </c>
      <c r="G59" t="s">
        <v>320</v>
      </c>
      <c r="H59" t="s">
        <v>321</v>
      </c>
      <c r="I59" t="s">
        <v>21</v>
      </c>
      <c r="J59" t="s">
        <v>322</v>
      </c>
      <c r="K59" t="s">
        <v>1</v>
      </c>
      <c r="L59" t="s">
        <v>323</v>
      </c>
      <c r="M59" t="s">
        <v>69</v>
      </c>
      <c r="N59" t="s">
        <v>324</v>
      </c>
      <c r="O59" s="43" t="s">
        <v>325</v>
      </c>
      <c r="Q59" t="s">
        <v>326</v>
      </c>
      <c r="R59" t="s">
        <v>327</v>
      </c>
    </row>
    <row r="60" spans="1:18" x14ac:dyDescent="0.25">
      <c r="A60" t="str">
        <f>TableOSCUPLGEO[[#This Row],[Study Package Code]]</f>
        <v>URDE1008</v>
      </c>
      <c r="B60" s="2">
        <f>TableOSCUPLGEO[[#This Row],[Ver]]</f>
        <v>1</v>
      </c>
      <c r="C60" s="2" t="str">
        <f>LEFT(TableOSCUPLGEO[[#This Row],[Structure Line]],(FIND(" ",TableOSCUPLGEO[[#This Row],[Structure Line]],1)-1))</f>
        <v>URP110</v>
      </c>
      <c r="D60" t="str">
        <f>MID(TableOSCUPLGEO[[#This Row],[Structure Line]],FIND(" ",TableOSCUPLGEO[[#This Row],[Structure Line]])+1,256)</f>
        <v>Introduction to Planning</v>
      </c>
      <c r="E60" s="28">
        <f>TableOSCUPLGEO[[#This Row],[Credit Points]]</f>
        <v>25</v>
      </c>
      <c r="F60" s="35">
        <v>1</v>
      </c>
      <c r="G60" s="35" t="s">
        <v>330</v>
      </c>
      <c r="H60" s="35">
        <v>1</v>
      </c>
      <c r="I60" s="35" t="s">
        <v>329</v>
      </c>
      <c r="J60" s="35" t="s">
        <v>148</v>
      </c>
      <c r="K60" s="35">
        <v>1</v>
      </c>
      <c r="L60" s="35" t="s">
        <v>378</v>
      </c>
      <c r="M60" s="35">
        <v>25</v>
      </c>
      <c r="N60" s="46">
        <v>42979</v>
      </c>
      <c r="O60" s="46"/>
      <c r="Q60" t="s">
        <v>148</v>
      </c>
      <c r="R60">
        <v>1</v>
      </c>
    </row>
    <row r="61" spans="1:18" x14ac:dyDescent="0.25">
      <c r="A61" t="str">
        <f>TableOSCUPLGEO[[#This Row],[Study Package Code]]</f>
        <v>URDE1007</v>
      </c>
      <c r="B61" s="2">
        <f>TableOSCUPLGEO[[#This Row],[Ver]]</f>
        <v>1</v>
      </c>
      <c r="C61" s="2" t="str">
        <f>LEFT(TableOSCUPLGEO[[#This Row],[Structure Line]],(FIND(" ",TableOSCUPLGEO[[#This Row],[Structure Line]],1)-1))</f>
        <v>URP100</v>
      </c>
      <c r="D61" t="str">
        <f>MID(TableOSCUPLGEO[[#This Row],[Structure Line]],FIND(" ",TableOSCUPLGEO[[#This Row],[Structure Line]])+1,256)</f>
        <v>Governance for Planning</v>
      </c>
      <c r="E61" s="28">
        <f>TableOSCUPLGEO[[#This Row],[Credit Points]]</f>
        <v>25</v>
      </c>
      <c r="F61" s="35">
        <v>2</v>
      </c>
      <c r="G61" s="35" t="s">
        <v>330</v>
      </c>
      <c r="H61" s="35">
        <v>1</v>
      </c>
      <c r="I61" s="35" t="s">
        <v>329</v>
      </c>
      <c r="J61" s="35" t="s">
        <v>142</v>
      </c>
      <c r="K61" s="35">
        <v>1</v>
      </c>
      <c r="L61" s="35" t="s">
        <v>379</v>
      </c>
      <c r="M61" s="35">
        <v>25</v>
      </c>
      <c r="N61" s="46">
        <v>42979</v>
      </c>
      <c r="O61" s="46"/>
      <c r="Q61" t="s">
        <v>142</v>
      </c>
      <c r="R61">
        <v>1</v>
      </c>
    </row>
    <row r="62" spans="1:18" x14ac:dyDescent="0.25">
      <c r="A62" t="str">
        <f>TableOSCUPLGEO[[#This Row],[Study Package Code]]</f>
        <v>PHGY3001</v>
      </c>
      <c r="B62" s="2">
        <f>TableOSCUPLGEO[[#This Row],[Ver]]</f>
        <v>3</v>
      </c>
      <c r="C62" s="2" t="str">
        <f>LEFT(TableOSCUPLGEO[[#This Row],[Structure Line]],(FIND(" ",TableOSCUPLGEO[[#This Row],[Structure Line]],1)-1))</f>
        <v>GPH311</v>
      </c>
      <c r="D62" t="str">
        <f>MID(TableOSCUPLGEO[[#This Row],[Structure Line]],FIND(" ",TableOSCUPLGEO[[#This Row],[Structure Line]])+1,256)</f>
        <v>Cultural Landscapes</v>
      </c>
      <c r="E62" s="28">
        <f>TableOSCUPLGEO[[#This Row],[Credit Points]]</f>
        <v>25</v>
      </c>
      <c r="F62" s="35">
        <v>3</v>
      </c>
      <c r="G62" s="35" t="s">
        <v>330</v>
      </c>
      <c r="H62" s="35">
        <v>3</v>
      </c>
      <c r="I62" s="35" t="s">
        <v>329</v>
      </c>
      <c r="J62" s="35" t="s">
        <v>153</v>
      </c>
      <c r="K62" s="35">
        <v>3</v>
      </c>
      <c r="L62" s="35" t="s">
        <v>380</v>
      </c>
      <c r="M62" s="35">
        <v>25</v>
      </c>
      <c r="N62" s="46">
        <v>44562</v>
      </c>
      <c r="O62" s="46"/>
      <c r="Q62" t="s">
        <v>153</v>
      </c>
      <c r="R62">
        <v>3</v>
      </c>
    </row>
    <row r="63" spans="1:18" x14ac:dyDescent="0.25">
      <c r="A63" t="str">
        <f>TableOSCUPLGEO[[#This Row],[Study Package Code]]</f>
        <v>AC-PLGEO</v>
      </c>
      <c r="B63" s="2">
        <f>TableOSCUPLGEO[[#This Row],[Ver]]</f>
        <v>0</v>
      </c>
      <c r="C63" s="2"/>
      <c r="D63" t="str">
        <f>TableOSCUPLGEO[[#This Row],[Structure Line]]</f>
        <v>Choose WORK3002 or GEOG3002</v>
      </c>
      <c r="E63" s="28">
        <f>TableOSCUPLGEO[[#This Row],[Credit Points]]</f>
        <v>25</v>
      </c>
      <c r="F63" s="35">
        <v>4</v>
      </c>
      <c r="G63" s="35" t="s">
        <v>328</v>
      </c>
      <c r="H63" s="35">
        <v>3</v>
      </c>
      <c r="I63" s="35" t="s">
        <v>329</v>
      </c>
      <c r="J63" s="35" t="s">
        <v>160</v>
      </c>
      <c r="K63" s="35">
        <v>0</v>
      </c>
      <c r="L63" s="35" t="s">
        <v>381</v>
      </c>
      <c r="M63" s="35">
        <v>25</v>
      </c>
      <c r="N63" s="46"/>
      <c r="O63" s="46"/>
      <c r="Q63" t="s">
        <v>160</v>
      </c>
      <c r="R63">
        <v>0</v>
      </c>
    </row>
    <row r="64" spans="1:18" x14ac:dyDescent="0.25">
      <c r="A64" t="str">
        <f>TableOSCUPLGEO[[#This Row],[Study Package Code]]</f>
        <v>GEOG3002</v>
      </c>
      <c r="B64" s="2">
        <f>TableOSCUPLGEO[[#This Row],[Ver]]</f>
        <v>2</v>
      </c>
      <c r="C64" s="2" t="str">
        <f>LEFT(TableOSCUPLGEO[[#This Row],[Structure Line]],(FIND(" ",TableOSCUPLGEO[[#This Row],[Structure Line]],1)-1))</f>
        <v>GPH320</v>
      </c>
      <c r="D64" t="str">
        <f>MID(TableOSCUPLGEO[[#This Row],[Structure Line]],FIND(" ",TableOSCUPLGEO[[#This Row],[Structure Line]])+1,256)</f>
        <v>Urban Geographies</v>
      </c>
      <c r="E64" s="28">
        <f>TableOSCUPLGEO[[#This Row],[Credit Points]]</f>
        <v>25</v>
      </c>
      <c r="F64" s="35">
        <v>4</v>
      </c>
      <c r="G64" s="35" t="s">
        <v>328</v>
      </c>
      <c r="H64" s="35">
        <v>3</v>
      </c>
      <c r="I64" s="35" t="s">
        <v>329</v>
      </c>
      <c r="J64" s="35" t="s">
        <v>165</v>
      </c>
      <c r="K64" s="35">
        <v>2</v>
      </c>
      <c r="L64" s="35" t="s">
        <v>382</v>
      </c>
      <c r="M64" s="35">
        <v>25</v>
      </c>
      <c r="N64" s="46">
        <v>44562</v>
      </c>
      <c r="O64" s="46"/>
      <c r="Q64" t="s">
        <v>165</v>
      </c>
      <c r="R64">
        <v>2</v>
      </c>
    </row>
    <row r="65" spans="1:18" x14ac:dyDescent="0.25">
      <c r="A65" t="str">
        <f>TableOSCUPLGEO[[#This Row],[Study Package Code]]</f>
        <v>WORK3002</v>
      </c>
      <c r="B65" s="2">
        <f>TableOSCUPLGEO[[#This Row],[Ver]]</f>
        <v>1</v>
      </c>
      <c r="C65" s="2" t="str">
        <f>LEFT(TableOSCUPLGEO[[#This Row],[Structure Line]],(FIND(" ",TableOSCUPLGEO[[#This Row],[Structure Line]],1)-1))</f>
        <v>WBP300</v>
      </c>
      <c r="D65" t="str">
        <f>MID(TableOSCUPLGEO[[#This Row],[Structure Line]],FIND(" ",TableOSCUPLGEO[[#This Row],[Structure Line]])+1,256)</f>
        <v>Work Based Project</v>
      </c>
      <c r="E65" s="28">
        <f>TableOSCUPLGEO[[#This Row],[Credit Points]]</f>
        <v>25</v>
      </c>
      <c r="F65" s="35">
        <v>4</v>
      </c>
      <c r="G65" s="35" t="s">
        <v>328</v>
      </c>
      <c r="H65" s="35">
        <v>3</v>
      </c>
      <c r="I65" s="35" t="s">
        <v>329</v>
      </c>
      <c r="J65" s="35" t="s">
        <v>167</v>
      </c>
      <c r="K65" s="35">
        <v>1</v>
      </c>
      <c r="L65" s="35" t="s">
        <v>358</v>
      </c>
      <c r="M65" s="35">
        <v>25</v>
      </c>
      <c r="N65" s="46">
        <v>44287</v>
      </c>
      <c r="O65" s="46"/>
      <c r="Q65" t="s">
        <v>167</v>
      </c>
      <c r="R65">
        <v>1</v>
      </c>
    </row>
  </sheetData>
  <conditionalFormatting sqref="J3:J27">
    <cfRule type="duplicateValues" dxfId="19" priority="13"/>
  </conditionalFormatting>
  <conditionalFormatting sqref="J30:J35">
    <cfRule type="duplicateValues" dxfId="18" priority="10"/>
  </conditionalFormatting>
  <conditionalFormatting sqref="J38:J43">
    <cfRule type="duplicateValues" dxfId="17" priority="7"/>
  </conditionalFormatting>
  <conditionalFormatting sqref="J46:J57">
    <cfRule type="duplicateValues" dxfId="16" priority="4"/>
  </conditionalFormatting>
  <conditionalFormatting sqref="J60:J65">
    <cfRule type="duplicateValues" dxfId="15" priority="1"/>
  </conditionalFormatting>
  <conditionalFormatting sqref="N3:N27">
    <cfRule type="cellIs" dxfId="14" priority="14" operator="greaterThan">
      <formula>$P$1</formula>
    </cfRule>
  </conditionalFormatting>
  <conditionalFormatting sqref="N30:N35">
    <cfRule type="cellIs" dxfId="13" priority="11" operator="greaterThan">
      <formula>$P$1</formula>
    </cfRule>
  </conditionalFormatting>
  <conditionalFormatting sqref="N38:N43">
    <cfRule type="cellIs" dxfId="12" priority="8" operator="greaterThan">
      <formula>$P$1</formula>
    </cfRule>
  </conditionalFormatting>
  <conditionalFormatting sqref="N46:N57">
    <cfRule type="cellIs" dxfId="11" priority="5" operator="greaterThan">
      <formula>$P$1</formula>
    </cfRule>
  </conditionalFormatting>
  <conditionalFormatting sqref="N60:N65">
    <cfRule type="cellIs" dxfId="10" priority="2" operator="greaterThan">
      <formula>$P$1</formula>
    </cfRule>
  </conditionalFormatting>
  <conditionalFormatting sqref="O3:O27">
    <cfRule type="notContainsBlanks" dxfId="9" priority="21">
      <formula>LEN(TRIM(O3))&gt;0</formula>
    </cfRule>
  </conditionalFormatting>
  <conditionalFormatting sqref="O30:O35">
    <cfRule type="notContainsBlanks" dxfId="8" priority="12">
      <formula>LEN(TRIM(O30))&gt;0</formula>
    </cfRule>
  </conditionalFormatting>
  <conditionalFormatting sqref="O38:O43">
    <cfRule type="notContainsBlanks" dxfId="7" priority="9">
      <formula>LEN(TRIM(O38))&gt;0</formula>
    </cfRule>
  </conditionalFormatting>
  <conditionalFormatting sqref="O46:O57">
    <cfRule type="notContainsBlanks" dxfId="6" priority="6">
      <formula>LEN(TRIM(O46))&gt;0</formula>
    </cfRule>
  </conditionalFormatting>
  <conditionalFormatting sqref="O60:O65">
    <cfRule type="notContainsBlanks" dxfId="5" priority="3">
      <formula>LEN(TRIM(O60))&gt;0</formula>
    </cfRule>
  </conditionalFormatting>
  <conditionalFormatting sqref="Q3:R27">
    <cfRule type="expression" dxfId="4" priority="27">
      <formula>Q3&lt;&gt;J3</formula>
    </cfRule>
  </conditionalFormatting>
  <conditionalFormatting sqref="Q30:R35">
    <cfRule type="expression" dxfId="3" priority="20">
      <formula>Q30&lt;&gt;J30</formula>
    </cfRule>
  </conditionalFormatting>
  <conditionalFormatting sqref="Q38:R43">
    <cfRule type="expression" dxfId="2" priority="24">
      <formula>Q38&lt;&gt;J38</formula>
    </cfRule>
  </conditionalFormatting>
  <conditionalFormatting sqref="Q46:R57">
    <cfRule type="expression" dxfId="1" priority="15">
      <formula>Q46&lt;&gt;J46</formula>
    </cfRule>
  </conditionalFormatting>
  <conditionalFormatting sqref="Q60:R65">
    <cfRule type="expression" dxfId="0" priority="22">
      <formula>Q60&lt;&gt;J60</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
  <sheetViews>
    <sheetView topLeftCell="A12" workbookViewId="0">
      <selection activeCell="A38" sqref="A38"/>
    </sheetView>
  </sheetViews>
  <sheetFormatPr defaultRowHeight="15.75" x14ac:dyDescent="0.25"/>
  <cols>
    <col min="1" max="1" width="12.375" bestFit="1" customWidth="1"/>
    <col min="2" max="5" width="5.375" bestFit="1" customWidth="1"/>
    <col min="6" max="6" width="12" bestFit="1" customWidth="1"/>
    <col min="7" max="7" width="10.375" bestFit="1" customWidth="1"/>
    <col min="8" max="8" width="10.125" bestFit="1" customWidth="1"/>
    <col min="9" max="12" width="1.875" bestFit="1" customWidth="1"/>
  </cols>
  <sheetData>
    <row r="1" spans="1:12" x14ac:dyDescent="0.25">
      <c r="F1" s="47" t="s">
        <v>383</v>
      </c>
      <c r="G1" s="48">
        <v>45597</v>
      </c>
    </row>
    <row r="3" spans="1:12" ht="76.5" x14ac:dyDescent="0.25">
      <c r="A3" t="s">
        <v>384</v>
      </c>
      <c r="B3" s="56" t="s">
        <v>385</v>
      </c>
      <c r="C3" s="56" t="s">
        <v>386</v>
      </c>
      <c r="D3" s="56" t="s">
        <v>387</v>
      </c>
      <c r="E3" s="56" t="s">
        <v>388</v>
      </c>
    </row>
    <row r="4" spans="1:12" x14ac:dyDescent="0.25">
      <c r="A4" t="s">
        <v>75</v>
      </c>
      <c r="B4" s="2"/>
      <c r="C4" s="2">
        <v>1</v>
      </c>
      <c r="D4" s="2"/>
      <c r="E4" s="2">
        <v>1</v>
      </c>
      <c r="H4" t="s">
        <v>75</v>
      </c>
      <c r="J4">
        <v>1</v>
      </c>
      <c r="L4">
        <v>1</v>
      </c>
    </row>
    <row r="5" spans="1:12" x14ac:dyDescent="0.25">
      <c r="A5" t="s">
        <v>56</v>
      </c>
      <c r="B5" s="2">
        <v>1</v>
      </c>
      <c r="C5" s="2"/>
      <c r="D5" s="2">
        <v>1</v>
      </c>
      <c r="E5" s="2"/>
      <c r="H5" t="s">
        <v>56</v>
      </c>
      <c r="I5">
        <v>1</v>
      </c>
      <c r="K5">
        <v>1</v>
      </c>
    </row>
    <row r="6" spans="1:12" x14ac:dyDescent="0.25">
      <c r="A6" t="s">
        <v>61</v>
      </c>
      <c r="B6" s="2">
        <v>1</v>
      </c>
      <c r="C6" s="2"/>
      <c r="D6" s="2">
        <v>1</v>
      </c>
      <c r="E6" s="2"/>
      <c r="H6" t="s">
        <v>61</v>
      </c>
      <c r="I6">
        <v>1</v>
      </c>
      <c r="K6">
        <v>1</v>
      </c>
    </row>
    <row r="7" spans="1:12" x14ac:dyDescent="0.25">
      <c r="A7" t="s">
        <v>58</v>
      </c>
      <c r="B7" s="2"/>
      <c r="C7" s="2">
        <v>1</v>
      </c>
      <c r="D7" s="2"/>
      <c r="E7" s="2">
        <v>1</v>
      </c>
      <c r="H7" t="s">
        <v>58</v>
      </c>
      <c r="J7">
        <v>1</v>
      </c>
      <c r="L7">
        <v>1</v>
      </c>
    </row>
    <row r="8" spans="1:12" x14ac:dyDescent="0.25">
      <c r="A8" t="s">
        <v>79</v>
      </c>
      <c r="B8" s="2"/>
      <c r="C8" s="2">
        <v>1</v>
      </c>
      <c r="D8" s="2"/>
      <c r="E8" s="2">
        <v>1</v>
      </c>
      <c r="H8" t="s">
        <v>79</v>
      </c>
      <c r="J8">
        <v>1</v>
      </c>
      <c r="L8">
        <v>1</v>
      </c>
    </row>
    <row r="9" spans="1:12" x14ac:dyDescent="0.25">
      <c r="A9" t="s">
        <v>78</v>
      </c>
      <c r="B9" s="2">
        <v>1</v>
      </c>
      <c r="C9" s="2"/>
      <c r="D9" s="2">
        <v>1</v>
      </c>
      <c r="E9" s="2"/>
      <c r="H9" t="s">
        <v>78</v>
      </c>
      <c r="I9">
        <v>1</v>
      </c>
      <c r="K9">
        <v>1</v>
      </c>
    </row>
    <row r="10" spans="1:12" x14ac:dyDescent="0.25">
      <c r="A10" t="s">
        <v>80</v>
      </c>
      <c r="B10" s="2">
        <v>1</v>
      </c>
      <c r="C10" s="2"/>
      <c r="D10" s="2">
        <v>1</v>
      </c>
      <c r="E10" s="2"/>
      <c r="H10" t="s">
        <v>80</v>
      </c>
      <c r="I10">
        <v>1</v>
      </c>
      <c r="K10">
        <v>1</v>
      </c>
    </row>
    <row r="11" spans="1:12" x14ac:dyDescent="0.25">
      <c r="A11" t="s">
        <v>96</v>
      </c>
      <c r="B11" s="2"/>
      <c r="C11" s="2">
        <v>1</v>
      </c>
      <c r="D11" s="2"/>
      <c r="E11" s="2">
        <v>1</v>
      </c>
      <c r="H11" t="s">
        <v>96</v>
      </c>
      <c r="J11">
        <v>1</v>
      </c>
      <c r="L11">
        <v>1</v>
      </c>
    </row>
    <row r="12" spans="1:12" x14ac:dyDescent="0.25">
      <c r="A12" t="s">
        <v>100</v>
      </c>
      <c r="B12" s="2"/>
      <c r="C12" s="2">
        <v>1</v>
      </c>
      <c r="D12" s="2"/>
      <c r="E12" s="2">
        <v>1</v>
      </c>
      <c r="H12" t="s">
        <v>100</v>
      </c>
      <c r="J12">
        <v>1</v>
      </c>
      <c r="L12">
        <v>1</v>
      </c>
    </row>
    <row r="13" spans="1:12" x14ac:dyDescent="0.25">
      <c r="A13" t="s">
        <v>91</v>
      </c>
      <c r="B13" s="2"/>
      <c r="C13" s="2">
        <v>1</v>
      </c>
      <c r="D13" s="2"/>
      <c r="E13" s="2">
        <v>1</v>
      </c>
      <c r="H13" t="s">
        <v>91</v>
      </c>
      <c r="J13">
        <v>1</v>
      </c>
      <c r="L13">
        <v>1</v>
      </c>
    </row>
    <row r="14" spans="1:12" x14ac:dyDescent="0.25">
      <c r="A14" t="s">
        <v>99</v>
      </c>
      <c r="B14" s="2">
        <v>1</v>
      </c>
      <c r="C14" s="2"/>
      <c r="D14" s="2">
        <v>1</v>
      </c>
      <c r="E14" s="2"/>
      <c r="H14" t="s">
        <v>99</v>
      </c>
      <c r="I14">
        <v>1</v>
      </c>
      <c r="K14">
        <v>1</v>
      </c>
    </row>
    <row r="15" spans="1:12" x14ac:dyDescent="0.25">
      <c r="A15" t="s">
        <v>89</v>
      </c>
      <c r="B15" s="2">
        <v>1</v>
      </c>
      <c r="C15" s="2"/>
      <c r="D15" s="2">
        <v>1</v>
      </c>
      <c r="E15" s="2"/>
      <c r="H15" t="s">
        <v>89</v>
      </c>
      <c r="I15">
        <v>1</v>
      </c>
      <c r="K15">
        <v>1</v>
      </c>
    </row>
    <row r="16" spans="1:12" x14ac:dyDescent="0.25">
      <c r="A16" t="s">
        <v>113</v>
      </c>
      <c r="B16" s="2"/>
      <c r="C16" s="2">
        <v>1</v>
      </c>
      <c r="D16" s="2"/>
      <c r="E16" s="2">
        <v>1</v>
      </c>
      <c r="H16" t="s">
        <v>113</v>
      </c>
      <c r="J16">
        <v>1</v>
      </c>
      <c r="L16">
        <v>1</v>
      </c>
    </row>
    <row r="17" spans="1:12" x14ac:dyDescent="0.25">
      <c r="A17" t="s">
        <v>95</v>
      </c>
      <c r="B17" s="2">
        <v>1</v>
      </c>
      <c r="C17" s="2"/>
      <c r="D17" s="2">
        <v>1</v>
      </c>
      <c r="E17" s="2"/>
      <c r="H17" t="s">
        <v>95</v>
      </c>
      <c r="I17">
        <v>1</v>
      </c>
      <c r="K17">
        <v>1</v>
      </c>
    </row>
    <row r="18" spans="1:12" x14ac:dyDescent="0.25">
      <c r="A18" t="s">
        <v>117</v>
      </c>
      <c r="B18" s="2">
        <v>1</v>
      </c>
      <c r="C18" s="2"/>
      <c r="D18" s="2">
        <v>1</v>
      </c>
      <c r="E18" s="2"/>
      <c r="H18" t="s">
        <v>117</v>
      </c>
      <c r="I18">
        <v>1</v>
      </c>
      <c r="K18">
        <v>1</v>
      </c>
    </row>
    <row r="19" spans="1:12" x14ac:dyDescent="0.25">
      <c r="A19" t="s">
        <v>118</v>
      </c>
      <c r="B19" s="2"/>
      <c r="C19" s="2">
        <v>1</v>
      </c>
      <c r="D19" s="2"/>
      <c r="E19" s="2">
        <v>1</v>
      </c>
      <c r="H19" t="s">
        <v>118</v>
      </c>
      <c r="J19">
        <v>1</v>
      </c>
      <c r="L19">
        <v>1</v>
      </c>
    </row>
    <row r="20" spans="1:12" x14ac:dyDescent="0.25">
      <c r="A20" t="s">
        <v>122</v>
      </c>
      <c r="B20" s="2"/>
      <c r="C20" s="2">
        <v>1</v>
      </c>
      <c r="D20" s="2"/>
      <c r="E20" s="2">
        <v>1</v>
      </c>
      <c r="H20" t="s">
        <v>122</v>
      </c>
      <c r="J20">
        <v>1</v>
      </c>
      <c r="L20">
        <v>1</v>
      </c>
    </row>
    <row r="21" spans="1:12" x14ac:dyDescent="0.25">
      <c r="A21" t="s">
        <v>121</v>
      </c>
      <c r="B21" s="2">
        <v>1</v>
      </c>
      <c r="C21" s="2"/>
      <c r="D21" s="2">
        <v>1</v>
      </c>
      <c r="E21" s="2"/>
      <c r="H21" t="s">
        <v>121</v>
      </c>
      <c r="I21">
        <v>1</v>
      </c>
      <c r="K21">
        <v>1</v>
      </c>
    </row>
    <row r="22" spans="1:12" x14ac:dyDescent="0.25">
      <c r="A22" t="s">
        <v>111</v>
      </c>
      <c r="B22" s="2">
        <v>1</v>
      </c>
      <c r="C22" s="2"/>
      <c r="D22" s="2">
        <v>1</v>
      </c>
      <c r="E22" s="2"/>
      <c r="H22" t="s">
        <v>111</v>
      </c>
      <c r="I22">
        <v>1</v>
      </c>
      <c r="K22">
        <v>1</v>
      </c>
    </row>
    <row r="23" spans="1:12" x14ac:dyDescent="0.25">
      <c r="A23" t="s">
        <v>140</v>
      </c>
      <c r="B23" s="2">
        <v>1</v>
      </c>
      <c r="C23" s="2"/>
      <c r="D23" s="2">
        <v>1</v>
      </c>
      <c r="E23" s="2"/>
      <c r="H23" t="s">
        <v>362</v>
      </c>
      <c r="J23">
        <v>1</v>
      </c>
    </row>
    <row r="24" spans="1:12" x14ac:dyDescent="0.25">
      <c r="A24" t="s">
        <v>146</v>
      </c>
      <c r="B24" s="2">
        <v>1</v>
      </c>
      <c r="C24" s="2"/>
      <c r="D24" s="2">
        <v>1</v>
      </c>
      <c r="E24" s="2"/>
      <c r="H24" t="s">
        <v>140</v>
      </c>
      <c r="I24">
        <v>1</v>
      </c>
      <c r="K24">
        <v>1</v>
      </c>
    </row>
    <row r="25" spans="1:12" x14ac:dyDescent="0.25">
      <c r="A25" t="s">
        <v>253</v>
      </c>
      <c r="B25" s="2"/>
      <c r="C25" s="2">
        <v>1</v>
      </c>
      <c r="D25" s="2"/>
      <c r="E25" s="2">
        <v>1</v>
      </c>
      <c r="H25" t="s">
        <v>146</v>
      </c>
      <c r="I25">
        <v>1</v>
      </c>
      <c r="K25">
        <v>1</v>
      </c>
    </row>
    <row r="26" spans="1:12" x14ac:dyDescent="0.25">
      <c r="A26" t="s">
        <v>168</v>
      </c>
      <c r="B26" s="2"/>
      <c r="C26" s="2">
        <v>1</v>
      </c>
      <c r="D26" s="2"/>
      <c r="E26" s="2">
        <v>1</v>
      </c>
      <c r="H26" t="s">
        <v>253</v>
      </c>
      <c r="J26">
        <v>1</v>
      </c>
      <c r="L26">
        <v>1</v>
      </c>
    </row>
    <row r="27" spans="1:12" x14ac:dyDescent="0.25">
      <c r="A27" t="s">
        <v>151</v>
      </c>
      <c r="B27" s="2">
        <v>1</v>
      </c>
      <c r="C27" s="2"/>
      <c r="D27" s="2">
        <v>1</v>
      </c>
      <c r="E27" s="2"/>
      <c r="H27" t="s">
        <v>151</v>
      </c>
      <c r="I27">
        <v>1</v>
      </c>
      <c r="K27">
        <v>1</v>
      </c>
    </row>
    <row r="28" spans="1:12" x14ac:dyDescent="0.25">
      <c r="A28" t="s">
        <v>163</v>
      </c>
      <c r="B28" s="2">
        <v>1</v>
      </c>
      <c r="C28" s="2"/>
      <c r="D28" s="2">
        <v>1</v>
      </c>
      <c r="E28" s="2"/>
      <c r="H28" t="s">
        <v>62</v>
      </c>
      <c r="I28">
        <v>1</v>
      </c>
      <c r="J28">
        <v>1</v>
      </c>
      <c r="K28">
        <v>1</v>
      </c>
      <c r="L28">
        <v>1</v>
      </c>
    </row>
    <row r="29" spans="1:12" x14ac:dyDescent="0.25">
      <c r="A29" t="s">
        <v>389</v>
      </c>
      <c r="B29" s="2"/>
      <c r="C29" s="2">
        <v>1</v>
      </c>
      <c r="D29" s="2"/>
      <c r="E29" s="2">
        <v>1</v>
      </c>
      <c r="H29" t="s">
        <v>165</v>
      </c>
      <c r="I29">
        <v>1</v>
      </c>
      <c r="K29">
        <v>1</v>
      </c>
    </row>
    <row r="30" spans="1:12" x14ac:dyDescent="0.25">
      <c r="A30" t="s">
        <v>62</v>
      </c>
      <c r="B30" s="2">
        <v>1</v>
      </c>
      <c r="C30" s="2">
        <v>1</v>
      </c>
      <c r="D30" s="2">
        <v>1</v>
      </c>
      <c r="E30" s="2">
        <v>1</v>
      </c>
      <c r="H30" t="s">
        <v>139</v>
      </c>
      <c r="J30">
        <v>1</v>
      </c>
      <c r="L30">
        <v>1</v>
      </c>
    </row>
    <row r="31" spans="1:12" x14ac:dyDescent="0.25">
      <c r="A31" t="s">
        <v>165</v>
      </c>
      <c r="B31" s="2">
        <v>1</v>
      </c>
      <c r="C31" s="2"/>
      <c r="D31" s="2"/>
      <c r="E31" s="2"/>
      <c r="H31" t="s">
        <v>145</v>
      </c>
      <c r="I31">
        <v>1</v>
      </c>
      <c r="K31">
        <v>1</v>
      </c>
    </row>
    <row r="32" spans="1:12" x14ac:dyDescent="0.25">
      <c r="A32" t="s">
        <v>139</v>
      </c>
      <c r="B32" s="2"/>
      <c r="C32" s="2">
        <v>1</v>
      </c>
      <c r="D32" s="2"/>
      <c r="E32" s="2">
        <v>1</v>
      </c>
      <c r="H32" t="s">
        <v>150</v>
      </c>
      <c r="J32">
        <v>1</v>
      </c>
      <c r="L32">
        <v>1</v>
      </c>
    </row>
    <row r="33" spans="1:12" x14ac:dyDescent="0.25">
      <c r="A33" t="s">
        <v>145</v>
      </c>
      <c r="B33" s="2">
        <v>1</v>
      </c>
      <c r="C33" s="2"/>
      <c r="D33" s="2">
        <v>1</v>
      </c>
      <c r="E33" s="2"/>
      <c r="H33" t="s">
        <v>162</v>
      </c>
      <c r="I33">
        <v>1</v>
      </c>
      <c r="K33">
        <v>1</v>
      </c>
    </row>
    <row r="34" spans="1:12" x14ac:dyDescent="0.25">
      <c r="A34" t="s">
        <v>150</v>
      </c>
      <c r="B34" s="2"/>
      <c r="C34" s="2">
        <v>1</v>
      </c>
      <c r="D34" s="2"/>
      <c r="E34" s="2">
        <v>1</v>
      </c>
      <c r="H34" t="s">
        <v>390</v>
      </c>
      <c r="J34">
        <v>1</v>
      </c>
      <c r="L34">
        <v>1</v>
      </c>
    </row>
    <row r="35" spans="1:12" x14ac:dyDescent="0.25">
      <c r="A35" t="s">
        <v>162</v>
      </c>
      <c r="B35" s="2">
        <v>1</v>
      </c>
      <c r="C35" s="2"/>
      <c r="D35" s="2">
        <v>1</v>
      </c>
      <c r="E35" s="2"/>
      <c r="H35" t="s">
        <v>141</v>
      </c>
      <c r="I35">
        <v>1</v>
      </c>
      <c r="K35">
        <v>1</v>
      </c>
    </row>
    <row r="36" spans="1:12" x14ac:dyDescent="0.25">
      <c r="A36" t="s">
        <v>141</v>
      </c>
      <c r="B36" s="2">
        <v>1</v>
      </c>
      <c r="C36" s="2"/>
      <c r="D36" s="2"/>
      <c r="E36" s="2"/>
      <c r="H36" t="s">
        <v>147</v>
      </c>
      <c r="I36">
        <v>1</v>
      </c>
      <c r="K36">
        <v>1</v>
      </c>
    </row>
    <row r="37" spans="1:12" x14ac:dyDescent="0.25">
      <c r="A37" t="s">
        <v>147</v>
      </c>
      <c r="B37" s="2"/>
      <c r="C37" s="2"/>
      <c r="D37" s="2">
        <v>1</v>
      </c>
      <c r="E37" s="2"/>
      <c r="H37" t="s">
        <v>172</v>
      </c>
      <c r="I37">
        <v>1</v>
      </c>
      <c r="K37">
        <v>1</v>
      </c>
    </row>
    <row r="38" spans="1:12" x14ac:dyDescent="0.25">
      <c r="A38" t="s">
        <v>172</v>
      </c>
      <c r="B38" s="2"/>
      <c r="C38" s="2"/>
      <c r="D38" s="2">
        <v>1</v>
      </c>
      <c r="E38" s="2"/>
      <c r="H38" t="s">
        <v>159</v>
      </c>
      <c r="J38">
        <v>1</v>
      </c>
      <c r="L38">
        <v>1</v>
      </c>
    </row>
    <row r="39" spans="1:12" x14ac:dyDescent="0.25">
      <c r="A39" t="s">
        <v>159</v>
      </c>
      <c r="B39" s="2"/>
      <c r="C39" s="2">
        <v>1</v>
      </c>
      <c r="D39" s="2"/>
      <c r="E39" s="2"/>
      <c r="H39" t="s">
        <v>174</v>
      </c>
      <c r="J39">
        <v>1</v>
      </c>
      <c r="L39">
        <v>1</v>
      </c>
    </row>
    <row r="40" spans="1:12" x14ac:dyDescent="0.25">
      <c r="A40" t="s">
        <v>174</v>
      </c>
      <c r="B40" s="2"/>
      <c r="C40" s="2"/>
      <c r="D40" s="2">
        <v>1</v>
      </c>
      <c r="E40" s="2"/>
      <c r="H40" t="s">
        <v>153</v>
      </c>
      <c r="I40">
        <v>1</v>
      </c>
      <c r="K40">
        <v>1</v>
      </c>
    </row>
    <row r="41" spans="1:12" x14ac:dyDescent="0.25">
      <c r="A41" t="s">
        <v>164</v>
      </c>
      <c r="B41" s="2">
        <v>1</v>
      </c>
      <c r="C41" s="2"/>
      <c r="D41" s="2"/>
      <c r="E41" s="2"/>
      <c r="H41" t="s">
        <v>142</v>
      </c>
      <c r="I41">
        <v>1</v>
      </c>
      <c r="K41">
        <v>1</v>
      </c>
    </row>
    <row r="42" spans="1:12" x14ac:dyDescent="0.25">
      <c r="A42" t="s">
        <v>153</v>
      </c>
      <c r="B42" s="2"/>
      <c r="C42" s="2"/>
      <c r="D42" s="2">
        <v>1</v>
      </c>
      <c r="E42" s="2"/>
      <c r="H42" t="s">
        <v>148</v>
      </c>
      <c r="J42">
        <v>1</v>
      </c>
      <c r="L42">
        <v>1</v>
      </c>
    </row>
    <row r="43" spans="1:12" x14ac:dyDescent="0.25">
      <c r="A43" t="s">
        <v>142</v>
      </c>
      <c r="B43" s="2">
        <v>1</v>
      </c>
      <c r="C43" s="2"/>
      <c r="D43" s="2">
        <v>1</v>
      </c>
      <c r="E43" s="2"/>
      <c r="H43" t="s">
        <v>176</v>
      </c>
    </row>
    <row r="44" spans="1:12" x14ac:dyDescent="0.25">
      <c r="A44" t="s">
        <v>148</v>
      </c>
      <c r="B44" s="2"/>
      <c r="C44" s="2">
        <v>1</v>
      </c>
      <c r="D44" s="2"/>
      <c r="E44" s="2">
        <v>1</v>
      </c>
      <c r="H44" t="s">
        <v>182</v>
      </c>
    </row>
    <row r="45" spans="1:12" x14ac:dyDescent="0.25">
      <c r="A45" s="40" t="s">
        <v>391</v>
      </c>
      <c r="B45" s="77"/>
      <c r="C45" s="77">
        <v>1</v>
      </c>
      <c r="D45" s="77"/>
      <c r="E45" s="77">
        <v>1</v>
      </c>
    </row>
    <row r="46" spans="1:12" x14ac:dyDescent="0.25">
      <c r="A46" s="40" t="s">
        <v>394</v>
      </c>
      <c r="B46" s="77"/>
      <c r="C46" s="77"/>
      <c r="D46" s="77"/>
      <c r="E46" s="77"/>
      <c r="F46" s="40" t="s">
        <v>395</v>
      </c>
    </row>
  </sheetData>
  <phoneticPr fontId="58"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b595d71ab02bcde828d7308146f62891">
  <xsd:schema xmlns:xsd="http://www.w3.org/2001/XMLSchema" xmlns:xs="http://www.w3.org/2001/XMLSchema" xmlns:p="http://schemas.microsoft.com/office/2006/metadata/properties" xmlns:ns3="1f4c0b20-2c14-4291-851e-36bd297de4e2" xmlns:ns4="ba69df13-0c3c-4942-8695-6ca01564010c" xmlns:ns5="http://schemas.microsoft.com/sharepoint/v4" targetNamespace="http://schemas.microsoft.com/office/2006/metadata/properties" ma:root="true" ma:fieldsID="e9bf827fc3b7a01fa6910562b926237c" ns3:_="" ns4:_="" ns5: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58b0421-3d9b-4d43-8840-b275eef407cc"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ba69df13-0c3c-4942-8695-6ca01564010c" xsi:nil="true"/>
    <SharedWithUsers xmlns="ba69df13-0c3c-4942-8695-6ca01564010c">
      <UserInfo>
        <DisplayName/>
        <AccountId xsi:nil="true"/>
        <AccountType/>
      </UserInfo>
    </SharedWithUsers>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07234-47A2-4608-BC3C-BFFF8BA53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9948A0-5721-4E31-86EA-1918F4101556}">
  <ds:schemaRefs>
    <ds:schemaRef ds:uri="Microsoft.SharePoint.Taxonomy.ContentTypeSync"/>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purl.org/dc/elements/1.1/"/>
    <ds:schemaRef ds:uri="http://purl.org/dc/dcmitype/"/>
    <ds:schemaRef ds:uri="http://www.w3.org/XML/1998/namespace"/>
    <ds:schemaRef ds:uri="http://schemas.microsoft.com/office/2006/documentManagement/types"/>
    <ds:schemaRef ds:uri="1f4c0b20-2c14-4291-851e-36bd297de4e2"/>
    <ds:schemaRef ds:uri="ba69df13-0c3c-4942-8695-6ca01564010c"/>
    <ds:schemaRef ds:uri="http://schemas.microsoft.com/office/infopath/2007/PartnerControls"/>
    <ds:schemaRef ds:uri="http://schemas.openxmlformats.org/package/2006/metadata/core-properties"/>
    <ds:schemaRef ds:uri="http://schemas.microsoft.com/sharepoint/v4"/>
    <ds:schemaRef ds:uri="http://schemas.microsoft.com/office/2006/metadata/properties"/>
  </ds:schemaRefs>
</ds:datastoreItem>
</file>

<file path=customXml/itemProps4.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B-Architecture Planner</vt:lpstr>
      <vt:lpstr>Unitsets</vt:lpstr>
      <vt:lpstr>Handbook</vt:lpstr>
      <vt:lpstr>Structures</vt:lpstr>
      <vt:lpstr>Availabilities</vt:lpstr>
      <vt:lpstr>'B-Architecture Planner'!Print_Area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2025-02-20T02:42:53Z</cp:lastPrinted>
  <dcterms:created xsi:type="dcterms:W3CDTF">2022-02-28T04:48:12Z</dcterms:created>
  <dcterms:modified xsi:type="dcterms:W3CDTF">2025-02-20T02:44:08Z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