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mc:AlternateContent xmlns:mc="http://schemas.openxmlformats.org/markup-compatibility/2006">
    <mc:Choice Requires="x15">
      <x15ac:absPath xmlns:x15ac="http://schemas.microsoft.com/office/spreadsheetml/2010/11/ac" url="https://oua-my.sharepoint.com/personal/bronte_wicker_open_edu_au/Documents/Documents/Cecille/"/>
    </mc:Choice>
  </mc:AlternateContent>
  <xr:revisionPtr revIDLastSave="0" documentId="11_3C9DC81F028F2D7855AB314C81D496921AC82BD3" xr6:coauthVersionLast="47" xr6:coauthVersionMax="47" xr10:uidLastSave="{00000000-0000-0000-0000-000000000000}"/>
  <workbookProtection workbookAlgorithmName="SHA-512" workbookHashValue="Z4pWHpCw0kI253IIV+0BaGNXXKYpIKVsPVcVeqNY+MBQ87sqiAtubnXKtrSYTwB9gkfi0TYQP1t0EgIzWOIASQ==" workbookSaltValue="CzSf7B7C3GIPb2ahcxd+wQ==" workbookSpinCount="100000" lockStructure="1"/>
  <bookViews>
    <workbookView xWindow="-110" yWindow="-110" windowWidth="19420" windowHeight="10300" xr2:uid="{00000000-000D-0000-FFFF-FFFF00000000}"/>
  </bookViews>
  <sheets>
    <sheet name="Masters URP (OUA)" sheetId="5" r:id="rId1"/>
    <sheet name="GC DevPlan (OUA)" sheetId="10" state="hidden" r:id="rId2"/>
    <sheet name="GC Geog (OUA)" sheetId="12" state="hidden" r:id="rId3"/>
    <sheet name="Unitsets" sheetId="2" state="hidden" r:id="rId4"/>
    <sheet name="Handbook" sheetId="3" state="hidden" r:id="rId5"/>
    <sheet name="Structures" sheetId="8" state="hidden" r:id="rId6"/>
    <sheet name="Availabilities" sheetId="9" state="hidden" r:id="rId7"/>
  </sheets>
  <definedNames>
    <definedName name="_xlnm._FilterDatabase" localSheetId="4" hidden="1">Handbook!$A$2:$I$2</definedName>
    <definedName name="_xlnm.Print_Area" localSheetId="1">'GC DevPlan (OUA)'!$A$1:$L$16</definedName>
    <definedName name="_xlnm.Print_Area" localSheetId="2">'GC Geog (OUA)'!$A$1:$L$16</definedName>
    <definedName name="_xlnm.Print_Area" localSheetId="0">'Masters URP (OUA)'!$A$1:$L$40</definedName>
    <definedName name="RangeOptions">Unitsets!$K$25:$M$35</definedName>
    <definedName name="RangeUnitsets">Unitsets!$K$3:$AH$19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2" l="1"/>
  <c r="G5" i="12"/>
  <c r="G4" i="12"/>
  <c r="L3" i="12"/>
  <c r="A9" i="12" s="1"/>
  <c r="C10" i="10"/>
  <c r="G5" i="10"/>
  <c r="G4" i="10"/>
  <c r="L3" i="10"/>
  <c r="J9" i="12" l="1"/>
  <c r="B9" i="12"/>
  <c r="I9" i="12"/>
  <c r="H9" i="12"/>
  <c r="D9" i="12"/>
  <c r="K9" i="12"/>
  <c r="C9" i="12"/>
  <c r="G9" i="12"/>
  <c r="F9" i="12"/>
  <c r="A11" i="12"/>
  <c r="A8" i="12"/>
  <c r="A12" i="12"/>
  <c r="A9" i="10"/>
  <c r="A11" i="10"/>
  <c r="A8" i="10"/>
  <c r="A12" i="10"/>
  <c r="E8" i="12" l="1"/>
  <c r="E9" i="12" s="1"/>
  <c r="K8" i="12"/>
  <c r="C8" i="12"/>
  <c r="D8" i="12"/>
  <c r="H8" i="12"/>
  <c r="G8" i="12"/>
  <c r="F8" i="12"/>
  <c r="J8" i="12"/>
  <c r="B8" i="12"/>
  <c r="I8" i="12"/>
  <c r="K12" i="12"/>
  <c r="C12" i="12"/>
  <c r="B12" i="12"/>
  <c r="I12" i="12"/>
  <c r="J12" i="12"/>
  <c r="D12" i="12"/>
  <c r="H12" i="12"/>
  <c r="G12" i="12"/>
  <c r="F12" i="12"/>
  <c r="F11" i="12"/>
  <c r="D11" i="12"/>
  <c r="G11" i="12"/>
  <c r="E11" i="12"/>
  <c r="E12" i="12" s="1"/>
  <c r="K11" i="12"/>
  <c r="C11" i="12"/>
  <c r="J11" i="12"/>
  <c r="B11" i="12"/>
  <c r="I11" i="12"/>
  <c r="H11" i="12"/>
  <c r="C12" i="10"/>
  <c r="F12" i="10"/>
  <c r="B12" i="10"/>
  <c r="G12" i="10"/>
  <c r="D12" i="10"/>
  <c r="G9" i="10"/>
  <c r="F9" i="10"/>
  <c r="B9" i="10"/>
  <c r="D9" i="10"/>
  <c r="C9" i="10"/>
  <c r="D11" i="10"/>
  <c r="F11" i="10"/>
  <c r="E11" i="10"/>
  <c r="E12" i="10" s="1"/>
  <c r="C11" i="10"/>
  <c r="B11" i="10"/>
  <c r="G11" i="10"/>
  <c r="C8" i="10"/>
  <c r="D8" i="10"/>
  <c r="B8" i="10"/>
  <c r="G8" i="10"/>
  <c r="F8" i="10"/>
  <c r="E8" i="10"/>
  <c r="E9" i="10" s="1"/>
  <c r="R7" i="2" l="1"/>
  <c r="R6" i="2"/>
  <c r="R5" i="2"/>
  <c r="R4" i="2"/>
  <c r="Z7" i="2"/>
  <c r="Z6" i="2"/>
  <c r="Z5" i="2"/>
  <c r="Z4" i="2"/>
  <c r="X7" i="2"/>
  <c r="X6" i="2"/>
  <c r="X5" i="2"/>
  <c r="X4" i="2"/>
  <c r="J9" i="3" l="1"/>
  <c r="I9" i="3"/>
  <c r="H9" i="3"/>
  <c r="G9" i="3"/>
  <c r="J8" i="3"/>
  <c r="I8" i="3"/>
  <c r="H8" i="3"/>
  <c r="G8" i="3"/>
  <c r="J7" i="3"/>
  <c r="I7" i="3"/>
  <c r="H7" i="3"/>
  <c r="G7" i="3"/>
  <c r="E20" i="8" l="1"/>
  <c r="D20" i="8"/>
  <c r="C20" i="8"/>
  <c r="B20" i="8"/>
  <c r="A20" i="8"/>
  <c r="E19" i="8"/>
  <c r="D19" i="8"/>
  <c r="C19" i="8"/>
  <c r="B19" i="8"/>
  <c r="A19" i="8"/>
  <c r="E18" i="8"/>
  <c r="D18" i="8"/>
  <c r="C18" i="8"/>
  <c r="B18" i="8"/>
  <c r="A18" i="8"/>
  <c r="E17" i="8"/>
  <c r="D17" i="8"/>
  <c r="C17" i="8"/>
  <c r="B17" i="8"/>
  <c r="A17" i="8"/>
  <c r="P7" i="2"/>
  <c r="P6" i="2"/>
  <c r="P5" i="2"/>
  <c r="P4" i="2"/>
  <c r="M8" i="3" l="1"/>
  <c r="M16" i="3"/>
  <c r="M24" i="3"/>
  <c r="M32" i="3"/>
  <c r="M4" i="3"/>
  <c r="M28" i="3"/>
  <c r="M21" i="3"/>
  <c r="M22" i="3"/>
  <c r="M23" i="3"/>
  <c r="M9" i="3"/>
  <c r="M17" i="3"/>
  <c r="M25" i="3"/>
  <c r="M33" i="3"/>
  <c r="M13" i="3"/>
  <c r="M30" i="3"/>
  <c r="M15" i="3"/>
  <c r="M10" i="3"/>
  <c r="M18" i="3"/>
  <c r="M26" i="3"/>
  <c r="M34" i="3"/>
  <c r="M20" i="3"/>
  <c r="M6" i="3"/>
  <c r="M7" i="3"/>
  <c r="M31" i="3"/>
  <c r="M11" i="3"/>
  <c r="M19" i="3"/>
  <c r="M27" i="3"/>
  <c r="M35" i="3"/>
  <c r="M12" i="3"/>
  <c r="M5" i="3"/>
  <c r="M29" i="3"/>
  <c r="M14" i="3"/>
  <c r="J4" i="3"/>
  <c r="J5" i="3"/>
  <c r="J6" i="3"/>
  <c r="J10" i="3"/>
  <c r="J11" i="3"/>
  <c r="J12" i="3"/>
  <c r="J13" i="3"/>
  <c r="J15" i="3"/>
  <c r="J16" i="3"/>
  <c r="J17" i="3"/>
  <c r="J18" i="3"/>
  <c r="J19" i="3"/>
  <c r="J20" i="3"/>
  <c r="J21" i="3"/>
  <c r="J22" i="3"/>
  <c r="J23" i="3"/>
  <c r="J24" i="3"/>
  <c r="K9" i="10" s="1"/>
  <c r="J25" i="3"/>
  <c r="K11" i="10" s="1"/>
  <c r="J26" i="3"/>
  <c r="K8" i="10" s="1"/>
  <c r="J27" i="3"/>
  <c r="J28" i="3"/>
  <c r="J30" i="3"/>
  <c r="J31" i="3"/>
  <c r="J32" i="3"/>
  <c r="J33" i="3"/>
  <c r="J34" i="3"/>
  <c r="J35" i="3"/>
  <c r="K12" i="10" s="1"/>
  <c r="J29" i="3"/>
  <c r="J14" i="3"/>
  <c r="I4" i="3"/>
  <c r="I5" i="3"/>
  <c r="I6" i="3"/>
  <c r="I10" i="3"/>
  <c r="I11" i="3"/>
  <c r="I12" i="3"/>
  <c r="I13" i="3"/>
  <c r="I15" i="3"/>
  <c r="I16" i="3"/>
  <c r="I17" i="3"/>
  <c r="I18" i="3"/>
  <c r="I19" i="3"/>
  <c r="I20" i="3"/>
  <c r="I21" i="3"/>
  <c r="I22" i="3"/>
  <c r="I23" i="3"/>
  <c r="I24" i="3"/>
  <c r="J9" i="10" s="1"/>
  <c r="I25" i="3"/>
  <c r="J11" i="10" s="1"/>
  <c r="I26" i="3"/>
  <c r="J8" i="10" s="1"/>
  <c r="I27" i="3"/>
  <c r="I28" i="3"/>
  <c r="I30" i="3"/>
  <c r="I31" i="3"/>
  <c r="I32" i="3"/>
  <c r="I33" i="3"/>
  <c r="I34" i="3"/>
  <c r="I35" i="3"/>
  <c r="J12" i="10" s="1"/>
  <c r="I29" i="3"/>
  <c r="I14" i="3"/>
  <c r="H14" i="3"/>
  <c r="H29" i="3"/>
  <c r="H35" i="3"/>
  <c r="I12" i="10" s="1"/>
  <c r="H34" i="3"/>
  <c r="H33" i="3"/>
  <c r="H32" i="3"/>
  <c r="H31" i="3"/>
  <c r="H30" i="3"/>
  <c r="H28" i="3"/>
  <c r="H27" i="3"/>
  <c r="H26" i="3"/>
  <c r="I8" i="10" s="1"/>
  <c r="H25" i="3"/>
  <c r="I11" i="10" s="1"/>
  <c r="H24" i="3"/>
  <c r="I9" i="10" s="1"/>
  <c r="H23" i="3"/>
  <c r="H22" i="3"/>
  <c r="H21" i="3"/>
  <c r="H20" i="3"/>
  <c r="H19" i="3"/>
  <c r="H18" i="3"/>
  <c r="H17" i="3"/>
  <c r="H16" i="3"/>
  <c r="H15" i="3"/>
  <c r="H13" i="3"/>
  <c r="H12" i="3"/>
  <c r="H11" i="3"/>
  <c r="H10" i="3"/>
  <c r="H6" i="3"/>
  <c r="H5" i="3"/>
  <c r="H4" i="3"/>
  <c r="G4" i="3"/>
  <c r="G5" i="3"/>
  <c r="G6" i="3"/>
  <c r="G10" i="3"/>
  <c r="G11" i="3"/>
  <c r="G12" i="3"/>
  <c r="G13" i="3"/>
  <c r="G15" i="3"/>
  <c r="G16" i="3"/>
  <c r="G17" i="3"/>
  <c r="G18" i="3"/>
  <c r="G19" i="3"/>
  <c r="G20" i="3"/>
  <c r="G21" i="3"/>
  <c r="G22" i="3"/>
  <c r="G23" i="3"/>
  <c r="G24" i="3"/>
  <c r="H9" i="10" s="1"/>
  <c r="G25" i="3"/>
  <c r="H11" i="10" s="1"/>
  <c r="G26" i="3"/>
  <c r="H8" i="10" s="1"/>
  <c r="G27" i="3"/>
  <c r="G28" i="3"/>
  <c r="G30" i="3"/>
  <c r="G31" i="3"/>
  <c r="G32" i="3"/>
  <c r="G33" i="3"/>
  <c r="G34" i="3"/>
  <c r="G35" i="3"/>
  <c r="H12" i="10" s="1"/>
  <c r="G29" i="3"/>
  <c r="G14" i="3"/>
  <c r="G4" i="5" l="1"/>
  <c r="C22" i="5"/>
  <c r="C16" i="5"/>
  <c r="C10" i="5"/>
  <c r="L26" i="5" l="1"/>
  <c r="A28" i="5" l="1"/>
  <c r="A32" i="5"/>
  <c r="A31" i="5"/>
  <c r="A36" i="5"/>
  <c r="A29" i="5"/>
  <c r="A33" i="5"/>
  <c r="A35" i="5"/>
  <c r="A30" i="5"/>
  <c r="A34" i="5"/>
  <c r="C13" i="5"/>
  <c r="I33" i="5" l="1"/>
  <c r="K33" i="5"/>
  <c r="H33" i="5"/>
  <c r="J33" i="5"/>
  <c r="H29" i="5"/>
  <c r="K29" i="5"/>
  <c r="J29" i="5"/>
  <c r="I29" i="5"/>
  <c r="J36" i="5"/>
  <c r="I36" i="5"/>
  <c r="H36" i="5"/>
  <c r="K36" i="5"/>
  <c r="K31" i="5"/>
  <c r="I31" i="5"/>
  <c r="J31" i="5"/>
  <c r="H31" i="5"/>
  <c r="J34" i="5"/>
  <c r="I34" i="5"/>
  <c r="H34" i="5"/>
  <c r="K34" i="5"/>
  <c r="J32" i="5"/>
  <c r="I32" i="5"/>
  <c r="K32" i="5"/>
  <c r="H32" i="5"/>
  <c r="J30" i="5"/>
  <c r="I30" i="5"/>
  <c r="H30" i="5"/>
  <c r="K30" i="5"/>
  <c r="H35" i="5"/>
  <c r="K35" i="5"/>
  <c r="I35" i="5"/>
  <c r="J35" i="5"/>
  <c r="J28" i="5"/>
  <c r="I28" i="5"/>
  <c r="H28" i="5"/>
  <c r="K28" i="5"/>
  <c r="C28" i="5"/>
  <c r="G35" i="5"/>
  <c r="C35" i="5"/>
  <c r="D35" i="5"/>
  <c r="B35" i="5"/>
  <c r="F35" i="5"/>
  <c r="D36" i="5"/>
  <c r="G36" i="5"/>
  <c r="F36" i="5"/>
  <c r="B36" i="5"/>
  <c r="C36" i="5"/>
  <c r="D29" i="5"/>
  <c r="C29" i="5"/>
  <c r="F29" i="5"/>
  <c r="G29" i="5"/>
  <c r="B29" i="5"/>
  <c r="G31" i="5"/>
  <c r="D31" i="5"/>
  <c r="C31" i="5"/>
  <c r="F31" i="5"/>
  <c r="B31" i="5"/>
  <c r="D34" i="5"/>
  <c r="B34" i="5"/>
  <c r="G34" i="5"/>
  <c r="C34" i="5"/>
  <c r="F34" i="5"/>
  <c r="D32" i="5"/>
  <c r="C32" i="5"/>
  <c r="G32" i="5"/>
  <c r="F32" i="5"/>
  <c r="B32" i="5"/>
  <c r="F33" i="5"/>
  <c r="G33" i="5"/>
  <c r="D33" i="5"/>
  <c r="C33" i="5"/>
  <c r="B33" i="5"/>
  <c r="C30" i="5"/>
  <c r="B30" i="5"/>
  <c r="D30" i="5"/>
  <c r="G30" i="5"/>
  <c r="F30" i="5"/>
  <c r="D10" i="8"/>
  <c r="D11" i="8"/>
  <c r="D12" i="8"/>
  <c r="D13" i="8"/>
  <c r="C10" i="8"/>
  <c r="C11" i="8"/>
  <c r="C12" i="8"/>
  <c r="C13" i="8"/>
  <c r="D3" i="8" l="1"/>
  <c r="D4" i="8"/>
  <c r="D5" i="8"/>
  <c r="D6" i="8"/>
  <c r="C3" i="8"/>
  <c r="C4" i="8"/>
  <c r="C5" i="8"/>
  <c r="C6" i="8"/>
  <c r="D26" i="8" l="1"/>
  <c r="D27" i="8"/>
  <c r="D28" i="8"/>
  <c r="D29" i="8"/>
  <c r="D30" i="8"/>
  <c r="D31" i="8"/>
  <c r="D32" i="8"/>
  <c r="D33" i="8"/>
  <c r="D34" i="8"/>
  <c r="D35" i="8"/>
  <c r="D36" i="8"/>
  <c r="D37" i="8"/>
  <c r="D38" i="8"/>
  <c r="D39" i="8"/>
  <c r="D40" i="8"/>
  <c r="D41" i="8"/>
  <c r="D42" i="8"/>
  <c r="D43" i="8"/>
  <c r="D44" i="8"/>
  <c r="D25" i="8"/>
  <c r="D24" i="8"/>
  <c r="C25" i="8" l="1"/>
  <c r="C26" i="8"/>
  <c r="C27" i="8"/>
  <c r="C28" i="8"/>
  <c r="C29" i="8"/>
  <c r="C30" i="8"/>
  <c r="C31" i="8"/>
  <c r="C32" i="8"/>
  <c r="C33" i="8"/>
  <c r="C34" i="8"/>
  <c r="C35" i="8"/>
  <c r="C36" i="8"/>
  <c r="C37" i="8"/>
  <c r="C38" i="8"/>
  <c r="C39" i="8"/>
  <c r="C40" i="8"/>
  <c r="C41" i="8"/>
  <c r="C42" i="8"/>
  <c r="C43" i="8"/>
  <c r="C44" i="8"/>
  <c r="E13" i="8" l="1"/>
  <c r="B13" i="8"/>
  <c r="A13" i="8"/>
  <c r="E12" i="8"/>
  <c r="B12" i="8"/>
  <c r="A12" i="8"/>
  <c r="E11" i="8"/>
  <c r="B11" i="8"/>
  <c r="A11" i="8"/>
  <c r="E10" i="8"/>
  <c r="B10" i="8"/>
  <c r="A10" i="8"/>
  <c r="B1" i="3" l="1"/>
  <c r="C1" i="3" s="1"/>
  <c r="D1" i="3" s="1"/>
  <c r="E1" i="3" s="1"/>
  <c r="F1" i="3" s="1"/>
  <c r="G1" i="3" s="1"/>
  <c r="H1" i="3" s="1"/>
  <c r="I1" i="3" s="1"/>
  <c r="J1" i="3" s="1"/>
  <c r="K1" i="3" s="1"/>
  <c r="L1" i="3" s="1"/>
  <c r="N1" i="3" s="1"/>
  <c r="E3" i="8" l="1"/>
  <c r="E4" i="8"/>
  <c r="E5" i="8"/>
  <c r="E6" i="8"/>
  <c r="B3" i="8"/>
  <c r="B4" i="8"/>
  <c r="B5" i="8"/>
  <c r="B6" i="8"/>
  <c r="A3" i="8"/>
  <c r="A4" i="8"/>
  <c r="A5" i="8"/>
  <c r="A6" i="8"/>
  <c r="L7" i="3" l="1"/>
  <c r="L8" i="3"/>
  <c r="L9" i="3"/>
  <c r="L14" i="3"/>
  <c r="L29" i="3"/>
  <c r="L5" i="3"/>
  <c r="L4" i="3"/>
  <c r="L22" i="3"/>
  <c r="L32" i="3"/>
  <c r="L19" i="3"/>
  <c r="L11" i="3"/>
  <c r="L25" i="3"/>
  <c r="L34" i="3"/>
  <c r="L21" i="3"/>
  <c r="L26" i="3"/>
  <c r="L15" i="3"/>
  <c r="L18" i="3"/>
  <c r="L23" i="3"/>
  <c r="L28" i="3"/>
  <c r="L24" i="3"/>
  <c r="L12" i="3"/>
  <c r="L17" i="3"/>
  <c r="L10" i="3"/>
  <c r="L6" i="3"/>
  <c r="L31" i="3"/>
  <c r="L13" i="3"/>
  <c r="L20" i="3"/>
  <c r="L30" i="3"/>
  <c r="L27" i="3"/>
  <c r="L33" i="3"/>
  <c r="L16" i="3"/>
  <c r="L35" i="3"/>
  <c r="A24" i="8" l="1"/>
  <c r="E24" i="8" l="1"/>
  <c r="E25" i="8"/>
  <c r="E26" i="8"/>
  <c r="E27" i="8"/>
  <c r="E28" i="8"/>
  <c r="E29" i="8"/>
  <c r="E30" i="8"/>
  <c r="E31" i="8"/>
  <c r="E32" i="8"/>
  <c r="E35" i="8"/>
  <c r="E36" i="8"/>
  <c r="E33" i="8"/>
  <c r="E34" i="8"/>
  <c r="E37" i="8"/>
  <c r="E38" i="8"/>
  <c r="E39" i="8"/>
  <c r="E40" i="8"/>
  <c r="E41" i="8"/>
  <c r="E42" i="8"/>
  <c r="E43" i="8"/>
  <c r="E44" i="8"/>
  <c r="B24" i="8"/>
  <c r="B25" i="8"/>
  <c r="B26" i="8"/>
  <c r="B27" i="8"/>
  <c r="B28" i="8"/>
  <c r="B29" i="8"/>
  <c r="B30" i="8"/>
  <c r="B31" i="8"/>
  <c r="B32" i="8"/>
  <c r="B35" i="8"/>
  <c r="B36" i="8"/>
  <c r="B33" i="8"/>
  <c r="B34" i="8"/>
  <c r="B37" i="8"/>
  <c r="B38" i="8"/>
  <c r="B39" i="8"/>
  <c r="B40" i="8"/>
  <c r="B41" i="8"/>
  <c r="B42" i="8"/>
  <c r="B43" i="8"/>
  <c r="B44" i="8"/>
  <c r="A25" i="8"/>
  <c r="N8" i="3" s="1"/>
  <c r="A26" i="8"/>
  <c r="A27" i="8"/>
  <c r="A28" i="8"/>
  <c r="A29" i="8"/>
  <c r="A30" i="8"/>
  <c r="A31" i="8"/>
  <c r="A32" i="8"/>
  <c r="A35" i="8"/>
  <c r="A36" i="8"/>
  <c r="A33" i="8"/>
  <c r="A34" i="8"/>
  <c r="A37" i="8"/>
  <c r="A38" i="8"/>
  <c r="A39" i="8"/>
  <c r="A40" i="8"/>
  <c r="A41" i="8"/>
  <c r="A42" i="8"/>
  <c r="A43" i="8"/>
  <c r="A44" i="8"/>
  <c r="N7" i="3" l="1"/>
  <c r="N9" i="3"/>
  <c r="N14" i="3"/>
  <c r="N29" i="3"/>
  <c r="N5" i="3"/>
  <c r="N4" i="3"/>
  <c r="N21" i="3"/>
  <c r="N6" i="3"/>
  <c r="N23" i="3"/>
  <c r="N18" i="3"/>
  <c r="N32" i="3"/>
  <c r="N34" i="3"/>
  <c r="N13" i="3"/>
  <c r="N22" i="3"/>
  <c r="N27" i="3"/>
  <c r="N15" i="3"/>
  <c r="N31" i="3"/>
  <c r="N10" i="3"/>
  <c r="N16" i="3"/>
  <c r="N35" i="3"/>
  <c r="N25" i="3"/>
  <c r="N19" i="3"/>
  <c r="N33" i="3"/>
  <c r="N12" i="3"/>
  <c r="N11" i="3"/>
  <c r="N30" i="3"/>
  <c r="N24" i="3"/>
  <c r="N26" i="3"/>
  <c r="N17" i="3"/>
  <c r="N20" i="3"/>
  <c r="N28" i="3"/>
  <c r="G28" i="5"/>
  <c r="F28" i="5"/>
  <c r="D28" i="5"/>
  <c r="B28" i="5"/>
  <c r="L3" i="5" l="1"/>
  <c r="A12" i="5" s="1"/>
  <c r="G5" i="5"/>
  <c r="I12" i="5" l="1"/>
  <c r="K12" i="5"/>
  <c r="H12" i="5"/>
  <c r="J12" i="5"/>
  <c r="A17" i="5"/>
  <c r="A15" i="5"/>
  <c r="A14" i="5"/>
  <c r="A24" i="5"/>
  <c r="A23" i="5"/>
  <c r="A21" i="5"/>
  <c r="A9" i="5"/>
  <c r="A11" i="5"/>
  <c r="A20" i="5"/>
  <c r="A8" i="5"/>
  <c r="A18" i="5"/>
  <c r="K8" i="5" l="1"/>
  <c r="J8" i="5"/>
  <c r="I8" i="5"/>
  <c r="H8" i="5"/>
  <c r="H15" i="5"/>
  <c r="K15" i="5"/>
  <c r="I15" i="5"/>
  <c r="J15" i="5"/>
  <c r="K18" i="5"/>
  <c r="J18" i="5"/>
  <c r="I18" i="5"/>
  <c r="H18" i="5"/>
  <c r="J17" i="5"/>
  <c r="I17" i="5"/>
  <c r="H17" i="5"/>
  <c r="K17" i="5"/>
  <c r="J11" i="5"/>
  <c r="I11" i="5"/>
  <c r="H11" i="5"/>
  <c r="K11" i="5"/>
  <c r="K9" i="5"/>
  <c r="I9" i="5"/>
  <c r="J9" i="5"/>
  <c r="H9" i="5"/>
  <c r="K24" i="5"/>
  <c r="I24" i="5"/>
  <c r="J24" i="5"/>
  <c r="H24" i="5"/>
  <c r="J20" i="5"/>
  <c r="I20" i="5"/>
  <c r="K20" i="5"/>
  <c r="H20" i="5"/>
  <c r="I21" i="5"/>
  <c r="K21" i="5"/>
  <c r="H21" i="5"/>
  <c r="J21" i="5"/>
  <c r="J14" i="5"/>
  <c r="I14" i="5"/>
  <c r="H14" i="5"/>
  <c r="K14" i="5"/>
  <c r="J23" i="5"/>
  <c r="I23" i="5"/>
  <c r="H23" i="5"/>
  <c r="K23" i="5"/>
  <c r="E23" i="5"/>
  <c r="E24" i="5" s="1"/>
  <c r="E14" i="5"/>
  <c r="E15" i="5" s="1"/>
  <c r="C12" i="5"/>
  <c r="E20" i="5"/>
  <c r="E21" i="5" s="1"/>
  <c r="E11" i="5"/>
  <c r="E12" i="5" s="1"/>
  <c r="E17" i="5"/>
  <c r="E18" i="5" s="1"/>
  <c r="E8" i="5"/>
  <c r="E9" i="5" s="1"/>
  <c r="C23" i="5"/>
  <c r="C21" i="5"/>
  <c r="C24" i="5"/>
  <c r="C20" i="5"/>
  <c r="C18" i="5"/>
  <c r="C9" i="5"/>
  <c r="C17" i="5"/>
  <c r="C11" i="5"/>
  <c r="C15" i="5"/>
  <c r="C14" i="5"/>
  <c r="C8" i="5" l="1"/>
  <c r="G14" i="5"/>
  <c r="F14" i="5"/>
  <c r="B14" i="5"/>
  <c r="G12" i="5"/>
  <c r="F12" i="5"/>
  <c r="B12" i="5"/>
  <c r="B15" i="5"/>
  <c r="G15" i="5"/>
  <c r="F15" i="5"/>
  <c r="G11" i="5"/>
  <c r="F11" i="5"/>
  <c r="B11" i="5"/>
  <c r="G17" i="5"/>
  <c r="F17" i="5"/>
  <c r="B17" i="5"/>
  <c r="G9" i="5"/>
  <c r="F9" i="5"/>
  <c r="B9" i="5"/>
  <c r="G18" i="5"/>
  <c r="F18" i="5"/>
  <c r="B18" i="5"/>
  <c r="G8" i="5"/>
  <c r="F8" i="5"/>
  <c r="B8" i="5"/>
  <c r="G20" i="5"/>
  <c r="F20" i="5"/>
  <c r="B20" i="5"/>
  <c r="G24" i="5"/>
  <c r="F24" i="5"/>
  <c r="B24" i="5"/>
  <c r="G21" i="5"/>
  <c r="F21" i="5"/>
  <c r="B21" i="5"/>
  <c r="G23" i="5"/>
  <c r="F23" i="5"/>
  <c r="B23" i="5"/>
  <c r="D20" i="5"/>
  <c r="D24" i="5"/>
  <c r="D21" i="5"/>
  <c r="D23" i="5"/>
  <c r="D15" i="5"/>
  <c r="D17" i="5"/>
  <c r="D14" i="5"/>
  <c r="D18" i="5"/>
  <c r="D11" i="5"/>
  <c r="D12" i="5"/>
  <c r="D9" i="5"/>
  <c r="D8" i="5"/>
</calcChain>
</file>

<file path=xl/sharedStrings.xml><?xml version="1.0" encoding="utf-8"?>
<sst xmlns="http://schemas.openxmlformats.org/spreadsheetml/2006/main" count="782" uniqueCount="236">
  <si>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</si>
  <si>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</si>
  <si>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</si>
  <si>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</si>
  <si>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</si>
  <si>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</si>
  <si>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</si>
  <si>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</si>
  <si>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</si>
  <si>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Course:</t>
  </si>
  <si>
    <t>Graduate Certificate in Development Planning (OpenUnis)</t>
  </si>
  <si>
    <t>Course version:</t>
  </si>
  <si>
    <t>Commencing:</t>
  </si>
  <si>
    <t>Study Period 2 (May - August)</t>
  </si>
  <si>
    <t>Credits to Complete:</t>
  </si>
  <si>
    <t>Year 1</t>
  </si>
  <si>
    <t>v</t>
  </si>
  <si>
    <t>OUA Code</t>
  </si>
  <si>
    <t>Study Period</t>
  </si>
  <si>
    <t>Pre Requisite(s)</t>
  </si>
  <si>
    <t>CP</t>
  </si>
  <si>
    <t>SP1</t>
  </si>
  <si>
    <t>SP2</t>
  </si>
  <si>
    <t>SP3</t>
  </si>
  <si>
    <t>SP4</t>
  </si>
  <si>
    <t>Progress</t>
  </si>
  <si>
    <t>Year 2</t>
  </si>
  <si>
    <t>Option List</t>
  </si>
  <si>
    <t>Pre-Requisite(s)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</si>
  <si>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</si>
  <si>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</si>
  <si>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</si>
  <si>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</si>
  <si>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Urban and Regional Planning / Development Planning</t>
  </si>
  <si>
    <t>OM-URPLAN2SP1</t>
  </si>
  <si>
    <t>OC-DEVPLNSP1</t>
  </si>
  <si>
    <t>OC-DEVPLNSP2</t>
  </si>
  <si>
    <t>OC-DEVPLNSP3</t>
  </si>
  <si>
    <t>OC-DEVPLNSP4</t>
  </si>
  <si>
    <t>OM-URPLAN2SP2</t>
  </si>
  <si>
    <t>OM-URPLAN2SP3</t>
  </si>
  <si>
    <t>OM-URPLAN2SP4</t>
  </si>
  <si>
    <t>Structure Line</t>
  </si>
  <si>
    <t>Y1SP1</t>
  </si>
  <si>
    <t>URDE5030</t>
  </si>
  <si>
    <t>Y1SP2</t>
  </si>
  <si>
    <t>URDE5014</t>
  </si>
  <si>
    <t>Y1SP3</t>
  </si>
  <si>
    <t>Y1SP4</t>
  </si>
  <si>
    <t>URDE5016</t>
  </si>
  <si>
    <t>URDE5017</t>
  </si>
  <si>
    <t>URDE3010</t>
  </si>
  <si>
    <t>GEOG5000</t>
  </si>
  <si>
    <t>URDE5031</t>
  </si>
  <si>
    <t>URDE6007</t>
  </si>
  <si>
    <t>URDE5015</t>
  </si>
  <si>
    <t>Version</t>
  </si>
  <si>
    <t>Credit Points</t>
  </si>
  <si>
    <t>Effective Date</t>
  </si>
  <si>
    <t>OC-DEVPLN</t>
  </si>
  <si>
    <t>v.2</t>
  </si>
  <si>
    <t>100 credit points required</t>
  </si>
  <si>
    <t>Master of Urban and Regional Planning (OpenUnis)</t>
  </si>
  <si>
    <t>OM-URPLAN2</t>
  </si>
  <si>
    <t>v.1</t>
  </si>
  <si>
    <t>300 credit points required</t>
  </si>
  <si>
    <t>URDE5020</t>
  </si>
  <si>
    <t>URDE6003</t>
  </si>
  <si>
    <t>URDE6001</t>
  </si>
  <si>
    <t>URDE6004</t>
  </si>
  <si>
    <t>START</t>
  </si>
  <si>
    <t>Next</t>
  </si>
  <si>
    <t>Next2</t>
  </si>
  <si>
    <t>Next3</t>
  </si>
  <si>
    <t>Study Period 1 (February - May)</t>
  </si>
  <si>
    <t>Y2SP1</t>
  </si>
  <si>
    <t>URDE6005</t>
  </si>
  <si>
    <t>Y2SP2</t>
  </si>
  <si>
    <t>Y2SP3</t>
  </si>
  <si>
    <t>Y2SP4</t>
  </si>
  <si>
    <t>-</t>
  </si>
  <si>
    <t>Option</t>
  </si>
  <si>
    <t>Study Period 3 (August - November)</t>
  </si>
  <si>
    <t>Study Period 4 (November - February)</t>
  </si>
  <si>
    <t>Do we want to add in:</t>
  </si>
  <si>
    <t>Graduate Certificate in Geography (OpenUnis)</t>
  </si>
  <si>
    <t>OC-GEOG1</t>
  </si>
  <si>
    <t>DLT Supplied</t>
  </si>
  <si>
    <t>50CP Unit</t>
  </si>
  <si>
    <t>RangeOptions</t>
  </si>
  <si>
    <t>--</t>
  </si>
  <si>
    <t>PRJM6013</t>
  </si>
  <si>
    <t>PRJM6018</t>
  </si>
  <si>
    <t>PRJM6020</t>
  </si>
  <si>
    <t>PRJM6021</t>
  </si>
  <si>
    <t>SUST5011</t>
  </si>
  <si>
    <t>SUST5013</t>
  </si>
  <si>
    <t>SUST5016</t>
  </si>
  <si>
    <t>SUST5019</t>
  </si>
  <si>
    <t>SUST5021</t>
  </si>
  <si>
    <t>SUST5025</t>
  </si>
  <si>
    <t>Title</t>
  </si>
  <si>
    <t>NOTES</t>
  </si>
  <si>
    <t>Please note this is a double subject</t>
  </si>
  <si>
    <t>Not relevant to this course / study sequence</t>
  </si>
  <si>
    <t>GPH510</t>
  </si>
  <si>
    <t>Human Geography</t>
  </si>
  <si>
    <t>None</t>
  </si>
  <si>
    <t>Study an Optional subject from the list below</t>
  </si>
  <si>
    <t>See below</t>
  </si>
  <si>
    <t>PRM500</t>
  </si>
  <si>
    <t>Project Management Overview</t>
  </si>
  <si>
    <t>PRM540</t>
  </si>
  <si>
    <t>Project Procurement Management</t>
  </si>
  <si>
    <t>PRM550</t>
  </si>
  <si>
    <t>Project Risk Management</t>
  </si>
  <si>
    <t>PRM530</t>
  </si>
  <si>
    <t>Project Time Management</t>
  </si>
  <si>
    <t>SCP541</t>
  </si>
  <si>
    <t>Urban Design for Sustainability</t>
  </si>
  <si>
    <t>SCP543</t>
  </si>
  <si>
    <t>Future Cities</t>
  </si>
  <si>
    <t>SCP547</t>
  </si>
  <si>
    <t>Climate Policy</t>
  </si>
  <si>
    <t>SCP548</t>
  </si>
  <si>
    <t>People and Planet</t>
  </si>
  <si>
    <t>SCP549</t>
  </si>
  <si>
    <t>Sustainability, Climate Change and Economics</t>
  </si>
  <si>
    <t>SCP530</t>
  </si>
  <si>
    <t>Sustainable Waste Management</t>
  </si>
  <si>
    <t>URP310</t>
  </si>
  <si>
    <t>Professional Practice in Urban and Regional Planning 1</t>
  </si>
  <si>
    <t>URP540</t>
  </si>
  <si>
    <t>Introduction to Planning</t>
  </si>
  <si>
    <t>URP530</t>
  </si>
  <si>
    <t>Planning Theory and Context</t>
  </si>
  <si>
    <t>URP500</t>
  </si>
  <si>
    <t>Planning Law</t>
  </si>
  <si>
    <t>URP510</t>
  </si>
  <si>
    <t>Planning for Regions</t>
  </si>
  <si>
    <t>URP570</t>
  </si>
  <si>
    <t>Planning Dissertation Preparation</t>
  </si>
  <si>
    <t>DBE600 AND URP530</t>
  </si>
  <si>
    <t>S1 has - URDE6007 AND (URDE5015 OR URDE5014)</t>
  </si>
  <si>
    <t>URP505</t>
  </si>
  <si>
    <t>Governance for Planning</t>
  </si>
  <si>
    <t>URP515</t>
  </si>
  <si>
    <t>Development Assessment</t>
  </si>
  <si>
    <t>URP620</t>
  </si>
  <si>
    <t>Planning for Housing</t>
  </si>
  <si>
    <t>URP600</t>
  </si>
  <si>
    <t>Urban Transport Systems</t>
  </si>
  <si>
    <t>URP640</t>
  </si>
  <si>
    <t>Participatory Planning</t>
  </si>
  <si>
    <t>URP650</t>
  </si>
  <si>
    <t>Planning Masters Dissertation</t>
  </si>
  <si>
    <t>DBE600</t>
  </si>
  <si>
    <t>Design and Built Environment Research Methods</t>
  </si>
  <si>
    <t>Effective:</t>
  </si>
  <si>
    <t>CPs</t>
  </si>
  <si>
    <t>Column4</t>
  </si>
  <si>
    <t>Component Type</t>
  </si>
  <si>
    <t>Year Level</t>
  </si>
  <si>
    <t>Study Package Code</t>
  </si>
  <si>
    <t>Core</t>
  </si>
  <si>
    <t>NA</t>
  </si>
  <si>
    <t>URP540 Introduction to Planning</t>
  </si>
  <si>
    <t>URP505 Governance for Planning</t>
  </si>
  <si>
    <t>GPH510 Human Geography</t>
  </si>
  <si>
    <t>OC-DVPLC1</t>
  </si>
  <si>
    <t>Graduate Certificate in Development Planning (OpenUnis CSP)</t>
  </si>
  <si>
    <t/>
  </si>
  <si>
    <t>URP310 Professional Practice in Urban and Regional Planning 1</t>
  </si>
  <si>
    <t>URP500 Planning Law</t>
  </si>
  <si>
    <t>URP510 Planning for Regions</t>
  </si>
  <si>
    <t>URP530 Planning Theory and Context</t>
  </si>
  <si>
    <t>URP620 Planning for Housing</t>
  </si>
  <si>
    <t>URP640 Participatory Planning</t>
  </si>
  <si>
    <t>DBE600 Design and Built Environment Research Methods</t>
  </si>
  <si>
    <t>URP570 Planning Dissertation Preparation</t>
  </si>
  <si>
    <t>URP600 Urban Transport Systems</t>
  </si>
  <si>
    <t>URP650 Planning Masters Dissertation</t>
  </si>
  <si>
    <t>PRM500 Project Management Overview</t>
  </si>
  <si>
    <t>PRM540 Project Procurement Management</t>
  </si>
  <si>
    <t>PRM550 Project Risk Management</t>
  </si>
  <si>
    <t>PRM530 Project Time Management</t>
  </si>
  <si>
    <t>SCP541 Urban Design for Sustainability</t>
  </si>
  <si>
    <t>SCP543 Future Cities</t>
  </si>
  <si>
    <t>SCP547 Climate Policy</t>
  </si>
  <si>
    <t>SCP548 People and Planet</t>
  </si>
  <si>
    <t>SCP549 Sustainability, Climate Change and Economics</t>
  </si>
  <si>
    <t>SCP530 Sustainable Waste Management</t>
  </si>
  <si>
    <t>Count of Availability Available to Students Flag</t>
  </si>
  <si>
    <t>Row Labels</t>
  </si>
  <si>
    <t>OpenUnis SP 1</t>
  </si>
  <si>
    <t>OpenUnis SP 2</t>
  </si>
  <si>
    <t>OpenUnis SP 3</t>
  </si>
  <si>
    <t>OpenUnis SP 4</t>
  </si>
  <si>
    <t>2024 Approved Structures - Bentley</t>
  </si>
  <si>
    <t>2024 Enrolment Planner</t>
  </si>
  <si>
    <t>2024 Availabilities</t>
  </si>
  <si>
    <t>Choose your commencing study period (drop-down list)</t>
  </si>
  <si>
    <t>Akari Updates</t>
  </si>
  <si>
    <t>SP1; SP2; SP3; SP4</t>
  </si>
  <si>
    <t>SPK</t>
  </si>
  <si>
    <t>Effective</t>
  </si>
  <si>
    <t>Discont.</t>
  </si>
  <si>
    <t>Downloaded:</t>
  </si>
  <si>
    <t>URP515 Development Outcomes</t>
  </si>
  <si>
    <t>Development Outcomes</t>
  </si>
  <si>
    <t>Choose your optional unit</t>
  </si>
  <si>
    <t>Project Planning and Schedule Management</t>
  </si>
  <si>
    <t>PRJM6021.PO</t>
  </si>
  <si>
    <t>Phasing Out</t>
  </si>
  <si>
    <t>New Version 2024</t>
  </si>
  <si>
    <t>URDE5031.PO</t>
  </si>
  <si>
    <t>GEOG5002</t>
  </si>
  <si>
    <t>GEOG5003</t>
  </si>
  <si>
    <t>GPH514 Geographies of Food Security</t>
  </si>
  <si>
    <t>GEOG5004</t>
  </si>
  <si>
    <t>GPH513 Urban Geographies</t>
  </si>
  <si>
    <t>GPH512 Physical Geography</t>
  </si>
  <si>
    <t>GPH512</t>
  </si>
  <si>
    <t>Physical Geography</t>
  </si>
  <si>
    <t>GPH514</t>
  </si>
  <si>
    <t>Geographies of Food Security</t>
  </si>
  <si>
    <t>GPH513</t>
  </si>
  <si>
    <t>Urban Geographies</t>
  </si>
  <si>
    <t>OC-GEOG1SP1</t>
  </si>
  <si>
    <t>OC-GEOG1SP2</t>
  </si>
  <si>
    <t>OC-GEOG1SP3</t>
  </si>
  <si>
    <t>OC-GEOG1SP4</t>
  </si>
  <si>
    <t>Choose your Planning / Geography Course (drop-down list)</t>
  </si>
  <si>
    <t>Not being offered 2024, removed from Options offering</t>
  </si>
  <si>
    <t>Approval by CC / DLT 9/02/2024</t>
  </si>
  <si>
    <t>CC/DLT Approved 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</si>
</sst>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b/>
      <sz val="9"/>
      <color theme="0"/>
      <name val="Segoe UI"/>
      <family val="2"/>
    </font>
    <font>
      <i/>
      <sz val="8"/>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sz val="12"/>
      <name val="Calibri"/>
      <family val="2"/>
      <scheme val="minor"/>
    </font>
    <font>
      <b/>
      <i/>
      <sz val="12"/>
      <color rgb="FFC00000"/>
      <name val="Calibri"/>
      <family val="2"/>
      <scheme val="minor"/>
    </font>
    <font>
      <sz val="12"/>
      <color rgb="FFFF0000"/>
      <name val="Calibri"/>
      <family val="2"/>
      <scheme val="minor"/>
    </font>
    <font>
      <sz val="9"/>
      <name val="Segoe UI"/>
      <family val="2"/>
    </font>
    <font>
      <b/>
      <i/>
      <sz val="12"/>
      <color theme="0" tint="-0.499984740745262"/>
      <name val="Calibri"/>
      <family val="2"/>
      <scheme val="minor"/>
    </font>
    <font>
      <b/>
      <sz val="10"/>
      <name val="Segoe UI"/>
      <family val="2"/>
    </font>
    <font>
      <b/>
      <sz val="10"/>
      <color theme="1"/>
      <name val="Segoe UI"/>
      <family val="2"/>
    </font>
    <font>
      <b/>
      <sz val="18"/>
      <color theme="1"/>
      <name val="Segoe UI"/>
      <family val="2"/>
    </font>
    <font>
      <b/>
      <sz val="11"/>
      <color theme="0" tint="-0.34998626667073579"/>
      <name val="Segoe UI"/>
      <family val="2"/>
    </font>
    <font>
      <b/>
      <sz val="11"/>
      <color theme="8" tint="-0.249977111117893"/>
      <name val="Segoe UI"/>
      <family val="2"/>
    </font>
    <font>
      <sz val="8"/>
      <color rgb="FF00B050"/>
      <name val="Arial"/>
      <family val="2"/>
    </font>
    <font>
      <sz val="12"/>
      <name val="Calibri"/>
      <family val="2"/>
      <scheme val="minor"/>
    </font>
    <font>
      <i/>
      <sz val="8"/>
      <color theme="0" tint="-0.499984740745262"/>
      <name val="Arial"/>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theme="4" tint="0.79998168889431442"/>
        <bgColor indexed="64"/>
      </patternFill>
    </fill>
    <fill>
      <patternFill patternType="solid">
        <fgColor theme="7"/>
        <bgColor indexed="64"/>
      </patternFill>
    </fill>
    <fill>
      <patternFill patternType="solid">
        <fgColor rgb="FFFFC00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rgb="FF92D05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style="thin">
        <color theme="0" tint="-0.14990691854609822"/>
      </left>
      <right/>
      <top style="thin">
        <color theme="0" tint="-0.14993743705557422"/>
      </top>
      <bottom style="thin">
        <color theme="0" tint="-0.14996795556505021"/>
      </bottom>
      <diagonal/>
    </border>
    <border>
      <left/>
      <right style="thin">
        <color theme="0" tint="-0.14990691854609822"/>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s>
  <cellStyleXfs count="3">
    <xf numFmtId="0" fontId="0" fillId="0" borderId="0"/>
    <xf numFmtId="0" fontId="1" fillId="0" borderId="0"/>
    <xf numFmtId="0" fontId="28" fillId="0" borderId="0" applyNumberFormat="0" applyFill="0" applyBorder="0" applyAlignment="0" applyProtection="0"/>
  </cellStyleXfs>
  <cellXfs count="248">
    <xf numFmtId="0" fontId="0" fillId="0" borderId="0" xfId="0"/>
    <xf numFmtId="0" fontId="2" fillId="3" borderId="1" xfId="0" applyFont="1" applyFill="1" applyBorder="1"/>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5" borderId="0" xfId="0" applyFont="1" applyFill="1"/>
    <xf numFmtId="0" fontId="5" fillId="5" borderId="0" xfId="0" applyFont="1" applyFill="1" applyAlignment="1">
      <alignment horizontal="center"/>
    </xf>
    <xf numFmtId="0" fontId="7" fillId="0" borderId="0" xfId="0" applyFont="1" applyAlignment="1">
      <alignment horizontal="center"/>
    </xf>
    <xf numFmtId="0" fontId="16" fillId="0" borderId="0" xfId="0" applyFont="1"/>
    <xf numFmtId="0" fontId="5" fillId="5" borderId="0" xfId="0" applyFont="1" applyFill="1" applyAlignment="1">
      <alignment horizontal="left"/>
    </xf>
    <xf numFmtId="0" fontId="5" fillId="5" borderId="7" xfId="0" applyFont="1" applyFill="1" applyBorder="1" applyAlignment="1">
      <alignment horizontal="center"/>
    </xf>
    <xf numFmtId="0" fontId="5" fillId="5" borderId="6" xfId="0" applyFont="1" applyFill="1" applyBorder="1" applyAlignment="1">
      <alignment horizontal="left"/>
    </xf>
    <xf numFmtId="0" fontId="18" fillId="0" borderId="0" xfId="0" applyFont="1" applyAlignment="1">
      <alignment horizontal="center"/>
    </xf>
    <xf numFmtId="0" fontId="17" fillId="0" borderId="0" xfId="0" applyFont="1"/>
    <xf numFmtId="0" fontId="2" fillId="0" borderId="0" xfId="0" applyFont="1"/>
    <xf numFmtId="0" fontId="9" fillId="0" borderId="0" xfId="0" applyFont="1" applyAlignment="1">
      <alignment horizontal="left" vertical="center"/>
    </xf>
    <xf numFmtId="0" fontId="38" fillId="0" borderId="0" xfId="0" applyFont="1" applyAlignment="1">
      <alignment horizontal="left" vertical="center"/>
    </xf>
    <xf numFmtId="0" fontId="8" fillId="0" borderId="0" xfId="0" applyFont="1" applyAlignment="1">
      <alignment horizontal="center"/>
    </xf>
    <xf numFmtId="0" fontId="5" fillId="5" borderId="8" xfId="0" applyFont="1" applyFill="1" applyBorder="1" applyAlignment="1">
      <alignment horizontal="left"/>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2" fillId="3" borderId="3" xfId="0" applyFont="1" applyFill="1" applyBorder="1" applyAlignment="1">
      <alignment horizontal="center" vertical="center"/>
    </xf>
    <xf numFmtId="0" fontId="2" fillId="4" borderId="5" xfId="0" applyFont="1" applyFill="1" applyBorder="1" applyAlignment="1">
      <alignment horizontal="right" vertical="center"/>
    </xf>
    <xf numFmtId="0" fontId="4" fillId="0" borderId="24" xfId="0" applyFont="1" applyBorder="1" applyAlignment="1">
      <alignment horizontal="center" vertical="center"/>
    </xf>
    <xf numFmtId="0" fontId="3" fillId="7" borderId="0" xfId="0" applyFont="1" applyFill="1" applyAlignment="1">
      <alignment horizontal="center" vertical="center"/>
    </xf>
    <xf numFmtId="0" fontId="4" fillId="0" borderId="3" xfId="0" applyFont="1" applyBorder="1" applyAlignment="1">
      <alignment horizontal="center" vertical="center"/>
    </xf>
    <xf numFmtId="0" fontId="4" fillId="0" borderId="29" xfId="0" applyFont="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0" xfId="0" applyAlignment="1">
      <alignment vertical="center"/>
    </xf>
    <xf numFmtId="0" fontId="0" fillId="0" borderId="34" xfId="0" applyBorder="1" applyAlignment="1">
      <alignment vertical="center"/>
    </xf>
    <xf numFmtId="0" fontId="0" fillId="0" borderId="35" xfId="0" applyBorder="1" applyAlignment="1">
      <alignment horizontal="center" vertical="center"/>
    </xf>
    <xf numFmtId="0" fontId="0" fillId="0" borderId="36" xfId="0" applyBorder="1" applyAlignment="1">
      <alignment vertical="center"/>
    </xf>
    <xf numFmtId="0" fontId="0" fillId="0" borderId="37" xfId="0" applyBorder="1" applyAlignment="1">
      <alignment horizontal="center" vertical="center"/>
    </xf>
    <xf numFmtId="0" fontId="0" fillId="0" borderId="37" xfId="0" applyBorder="1" applyAlignment="1">
      <alignment vertical="center"/>
    </xf>
    <xf numFmtId="0" fontId="0" fillId="0" borderId="38" xfId="0" applyBorder="1" applyAlignment="1">
      <alignment horizontal="center" vertical="center"/>
    </xf>
    <xf numFmtId="0" fontId="0" fillId="0" borderId="0" xfId="0"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4" fillId="5" borderId="8" xfId="0" applyFont="1" applyFill="1" applyBorder="1" applyAlignment="1">
      <alignment horizontal="left"/>
    </xf>
    <xf numFmtId="0" fontId="4" fillId="8" borderId="0" xfId="0" applyFont="1" applyFill="1" applyAlignment="1">
      <alignment horizontal="center" vertical="center"/>
    </xf>
    <xf numFmtId="0" fontId="4" fillId="8" borderId="27" xfId="0" applyFont="1" applyFill="1" applyBorder="1" applyAlignment="1">
      <alignment horizontal="center" vertical="center"/>
    </xf>
    <xf numFmtId="0" fontId="45" fillId="0" borderId="0" xfId="0" applyFont="1"/>
    <xf numFmtId="0" fontId="2" fillId="3" borderId="42" xfId="0" applyFont="1" applyFill="1" applyBorder="1" applyAlignment="1">
      <alignment horizontal="right" vertical="center"/>
    </xf>
    <xf numFmtId="0" fontId="4" fillId="0" borderId="7" xfId="0" applyFont="1" applyBorder="1" applyAlignment="1">
      <alignment horizontal="center" vertical="center"/>
    </xf>
    <xf numFmtId="0" fontId="4" fillId="0" borderId="43" xfId="0" applyFont="1" applyBorder="1" applyAlignment="1">
      <alignment horizontal="center" vertical="center"/>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6" fillId="0" borderId="0" xfId="0" applyFont="1"/>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5" fillId="5" borderId="3" xfId="0" applyFont="1" applyFill="1" applyBorder="1" applyAlignment="1">
      <alignment horizontal="left"/>
    </xf>
    <xf numFmtId="0" fontId="5" fillId="5" borderId="4" xfId="0" applyFont="1" applyFill="1" applyBorder="1" applyAlignment="1">
      <alignment horizontal="left"/>
    </xf>
    <xf numFmtId="0" fontId="5" fillId="5" borderId="5" xfId="0" applyFont="1" applyFill="1" applyBorder="1" applyAlignment="1">
      <alignment horizontal="left"/>
    </xf>
    <xf numFmtId="0" fontId="4" fillId="7" borderId="0" xfId="0" applyFont="1" applyFill="1" applyAlignment="1">
      <alignment horizontal="center" vertical="center"/>
    </xf>
    <xf numFmtId="0" fontId="4" fillId="9" borderId="0" xfId="0" applyFont="1" applyFill="1" applyAlignment="1">
      <alignment horizontal="center" vertical="center"/>
    </xf>
    <xf numFmtId="0" fontId="4" fillId="9" borderId="27" xfId="0" applyFont="1" applyFill="1" applyBorder="1" applyAlignment="1">
      <alignment horizontal="center" vertical="center"/>
    </xf>
    <xf numFmtId="0" fontId="45" fillId="0" borderId="0" xfId="0" applyFont="1" applyAlignment="1">
      <alignment horizontal="right"/>
    </xf>
    <xf numFmtId="14" fontId="45" fillId="0" borderId="0" xfId="0" applyNumberFormat="1" applyFont="1"/>
    <xf numFmtId="0" fontId="10" fillId="10" borderId="0" xfId="0" applyFont="1" applyFill="1"/>
    <xf numFmtId="0" fontId="8" fillId="10" borderId="0" xfId="0" applyFont="1" applyFill="1"/>
    <xf numFmtId="0" fontId="10" fillId="6" borderId="0" xfId="0" applyFont="1" applyFill="1" applyAlignment="1">
      <alignment horizontal="center"/>
    </xf>
    <xf numFmtId="0" fontId="10" fillId="6" borderId="3" xfId="0" applyFont="1" applyFill="1" applyBorder="1" applyAlignment="1">
      <alignment horizontal="center"/>
    </xf>
    <xf numFmtId="0" fontId="10" fillId="6" borderId="4" xfId="0" applyFont="1" applyFill="1" applyBorder="1" applyAlignment="1">
      <alignment horizontal="center"/>
    </xf>
    <xf numFmtId="0" fontId="6" fillId="6" borderId="4" xfId="0" applyFont="1" applyFill="1" applyBorder="1" applyAlignment="1">
      <alignment horizont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6" fillId="6" borderId="0" xfId="0" applyFont="1" applyFill="1" applyAlignment="1">
      <alignment horizontal="center"/>
    </xf>
    <xf numFmtId="0" fontId="10" fillId="6" borderId="7" xfId="0" applyFont="1" applyFill="1" applyBorder="1" applyAlignment="1">
      <alignment horizontal="center"/>
    </xf>
    <xf numFmtId="0" fontId="7" fillId="6" borderId="0" xfId="0" applyFont="1" applyFill="1" applyAlignment="1">
      <alignment horizontal="center"/>
    </xf>
    <xf numFmtId="0" fontId="8" fillId="6" borderId="0" xfId="0" applyFont="1" applyFill="1" applyAlignment="1">
      <alignment horizontal="center"/>
    </xf>
    <xf numFmtId="0" fontId="48" fillId="0" borderId="0" xfId="0" applyFont="1" applyAlignment="1">
      <alignment horizontal="right"/>
    </xf>
    <xf numFmtId="0" fontId="10" fillId="6" borderId="40" xfId="0" applyFont="1" applyFill="1" applyBorder="1" applyAlignment="1">
      <alignment horizontal="center"/>
    </xf>
    <xf numFmtId="0" fontId="10" fillId="6" borderId="8" xfId="0" applyFont="1" applyFill="1" applyBorder="1" applyAlignment="1">
      <alignment horizontal="center"/>
    </xf>
    <xf numFmtId="0" fontId="6" fillId="6" borderId="8" xfId="0" applyFont="1" applyFill="1" applyBorder="1" applyAlignment="1">
      <alignment horizontal="center"/>
    </xf>
    <xf numFmtId="0" fontId="10" fillId="6" borderId="41" xfId="0" applyFont="1" applyFill="1" applyBorder="1" applyAlignment="1">
      <alignment horizontal="center"/>
    </xf>
    <xf numFmtId="0" fontId="46" fillId="11" borderId="0" xfId="0" applyFont="1" applyFill="1"/>
    <xf numFmtId="0" fontId="9" fillId="0" borderId="0" xfId="0" applyFont="1" applyAlignment="1">
      <alignment horizontal="center" vertical="center"/>
    </xf>
    <xf numFmtId="0" fontId="22" fillId="13" borderId="16" xfId="1" applyFont="1" applyFill="1" applyBorder="1" applyAlignment="1" applyProtection="1">
      <alignment horizontal="center" vertical="center" wrapText="1"/>
      <protection locked="0"/>
    </xf>
    <xf numFmtId="0" fontId="29" fillId="13" borderId="0" xfId="2" applyFont="1" applyFill="1" applyAlignment="1" applyProtection="1">
      <alignment vertical="center"/>
    </xf>
    <xf numFmtId="0" fontId="28" fillId="13" borderId="0" xfId="2" applyFill="1" applyAlignment="1" applyProtection="1">
      <alignment vertical="center"/>
    </xf>
    <xf numFmtId="0" fontId="22" fillId="2" borderId="50" xfId="1" applyFont="1" applyFill="1" applyBorder="1" applyAlignment="1" applyProtection="1">
      <alignment horizontal="center" vertical="center" wrapText="1"/>
      <protection locked="0"/>
    </xf>
    <xf numFmtId="0" fontId="22" fillId="2" borderId="55" xfId="1" applyFont="1" applyFill="1" applyBorder="1" applyAlignment="1" applyProtection="1">
      <alignment horizontal="center" vertical="center" wrapText="1"/>
      <protection locked="0"/>
    </xf>
    <xf numFmtId="0" fontId="22" fillId="0" borderId="50" xfId="1" applyFont="1" applyBorder="1" applyAlignment="1" applyProtection="1">
      <alignment horizontal="center" vertical="center" wrapText="1"/>
      <protection locked="0"/>
    </xf>
    <xf numFmtId="0" fontId="22" fillId="0" borderId="55" xfId="1" applyFont="1" applyBorder="1" applyAlignment="1" applyProtection="1">
      <alignment horizontal="center" vertical="center" wrapText="1"/>
      <protection locked="0"/>
    </xf>
    <xf numFmtId="0" fontId="22" fillId="2" borderId="50" xfId="1" applyFont="1" applyFill="1" applyBorder="1" applyAlignment="1" applyProtection="1">
      <alignment horizontal="left" vertical="center" wrapText="1"/>
      <protection locked="0"/>
    </xf>
    <xf numFmtId="0" fontId="22" fillId="2" borderId="55" xfId="1" applyFont="1" applyFill="1" applyBorder="1" applyAlignment="1" applyProtection="1">
      <alignment horizontal="left" vertical="center" wrapText="1"/>
      <protection locked="0"/>
    </xf>
    <xf numFmtId="0" fontId="54" fillId="0" borderId="0" xfId="0" applyFont="1" applyAlignment="1">
      <alignment horizontal="center" vertical="center"/>
    </xf>
    <xf numFmtId="0" fontId="50" fillId="2" borderId="0" xfId="1" applyFont="1" applyFill="1" applyAlignment="1" applyProtection="1">
      <alignment vertical="center"/>
      <protection locked="0"/>
    </xf>
    <xf numFmtId="0" fontId="47" fillId="0" borderId="19" xfId="1" applyFont="1" applyBorder="1" applyAlignment="1" applyProtection="1">
      <alignment horizontal="center" vertical="center" wrapText="1"/>
      <protection locked="0"/>
    </xf>
    <xf numFmtId="0" fontId="0" fillId="0" borderId="0" xfId="0" applyAlignment="1">
      <alignment horizontal="left"/>
    </xf>
    <xf numFmtId="0" fontId="0" fillId="0" borderId="0" xfId="0" applyAlignment="1">
      <alignment horizontal="left" textRotation="90"/>
    </xf>
    <xf numFmtId="0" fontId="0" fillId="0" borderId="34" xfId="0" quotePrefix="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0" fontId="0" fillId="0" borderId="38" xfId="0" applyBorder="1" applyAlignment="1">
      <alignment horizontal="center"/>
    </xf>
    <xf numFmtId="14" fontId="10" fillId="0" borderId="0" xfId="0" applyNumberFormat="1" applyFont="1" applyAlignment="1">
      <alignment horizontal="center"/>
    </xf>
    <xf numFmtId="0" fontId="10" fillId="14" borderId="0" xfId="0" applyFont="1" applyFill="1" applyAlignment="1">
      <alignment horizontal="center"/>
    </xf>
    <xf numFmtId="14" fontId="0" fillId="0" borderId="0" xfId="0" applyNumberFormat="1"/>
    <xf numFmtId="0" fontId="55" fillId="0" borderId="0" xfId="0" applyFont="1" applyAlignment="1">
      <alignment horizontal="right"/>
    </xf>
    <xf numFmtId="0" fontId="45" fillId="14" borderId="0" xfId="0" applyFont="1" applyFill="1"/>
    <xf numFmtId="14" fontId="0" fillId="0" borderId="0" xfId="0" applyNumberFormat="1" applyAlignment="1">
      <alignment vertical="center"/>
    </xf>
    <xf numFmtId="0" fontId="0" fillId="0" borderId="0" xfId="0" applyNumberFormat="1" applyAlignment="1">
      <alignment vertical="center"/>
    </xf>
    <xf numFmtId="0" fontId="10" fillId="6" borderId="0" xfId="0" applyNumberFormat="1" applyFont="1" applyFill="1" applyAlignment="1">
      <alignment horizontal="center"/>
    </xf>
    <xf numFmtId="0" fontId="10" fillId="6" borderId="0" xfId="0" applyFont="1" applyFill="1" applyBorder="1" applyAlignment="1">
      <alignment horizontal="center"/>
    </xf>
    <xf numFmtId="0" fontId="6" fillId="6" borderId="0" xfId="0" applyFont="1" applyFill="1" applyBorder="1" applyAlignment="1">
      <alignment horizontal="center"/>
    </xf>
    <xf numFmtId="0" fontId="0" fillId="11" borderId="0" xfId="0" applyFill="1"/>
    <xf numFmtId="14" fontId="0" fillId="11" borderId="0" xfId="0" applyNumberFormat="1" applyFill="1"/>
    <xf numFmtId="0" fontId="56" fillId="0" borderId="5" xfId="0" applyFont="1" applyBorder="1" applyAlignment="1">
      <alignment horizontal="center" vertical="center"/>
    </xf>
    <xf numFmtId="0" fontId="56" fillId="0" borderId="7" xfId="0" applyFont="1" applyBorder="1" applyAlignment="1">
      <alignment horizontal="center" vertical="center"/>
    </xf>
    <xf numFmtId="0" fontId="5" fillId="5" borderId="8" xfId="0" applyFont="1" applyFill="1" applyBorder="1" applyAlignment="1">
      <alignment horizontal="left" textRotation="90"/>
    </xf>
    <xf numFmtId="0" fontId="10" fillId="0" borderId="0" xfId="0" applyFont="1" applyFill="1"/>
    <xf numFmtId="0" fontId="0" fillId="0" borderId="0" xfId="0" quotePrefix="1" applyBorder="1" applyAlignment="1">
      <alignment horizontal="center"/>
    </xf>
    <xf numFmtId="0" fontId="0" fillId="0" borderId="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39" fillId="12" borderId="0" xfId="1" applyFont="1" applyFill="1" applyAlignment="1" applyProtection="1">
      <alignment vertical="center" wrapText="1"/>
    </xf>
    <xf numFmtId="0" fontId="19" fillId="13" borderId="13" xfId="1" applyFont="1" applyFill="1" applyBorder="1" applyAlignment="1" applyProtection="1">
      <alignment vertical="center"/>
    </xf>
    <xf numFmtId="0" fontId="19" fillId="13" borderId="14" xfId="1" applyFont="1" applyFill="1" applyBorder="1" applyAlignment="1" applyProtection="1">
      <alignment vertical="center"/>
    </xf>
    <xf numFmtId="0" fontId="19" fillId="13" borderId="14" xfId="1" applyFont="1" applyFill="1" applyBorder="1" applyAlignment="1" applyProtection="1">
      <alignment horizontal="right" vertical="center"/>
    </xf>
    <xf numFmtId="0" fontId="51" fillId="13" borderId="14" xfId="1" applyFont="1" applyFill="1" applyBorder="1" applyAlignment="1" applyProtection="1">
      <alignment horizontal="center" vertical="center"/>
    </xf>
    <xf numFmtId="0" fontId="42" fillId="13" borderId="14" xfId="1" applyFont="1" applyFill="1" applyBorder="1" applyAlignment="1" applyProtection="1">
      <alignment vertical="center"/>
    </xf>
    <xf numFmtId="0" fontId="52" fillId="13" borderId="15" xfId="1" applyFont="1" applyFill="1" applyBorder="1" applyAlignment="1" applyProtection="1">
      <alignment horizontal="righ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9" fillId="2" borderId="0" xfId="1" applyFont="1" applyFill="1" applyAlignment="1" applyProtection="1">
      <alignment vertical="center"/>
    </xf>
    <xf numFmtId="0" fontId="20" fillId="2" borderId="0" xfId="1" applyFont="1" applyFill="1" applyAlignment="1" applyProtection="1">
      <alignment vertical="center"/>
    </xf>
    <xf numFmtId="14" fontId="22" fillId="2" borderId="0" xfId="1" applyNumberFormat="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2" borderId="0" xfId="1" applyFont="1" applyFill="1" applyAlignment="1" applyProtection="1">
      <alignment horizontal="center" vertical="center"/>
    </xf>
    <xf numFmtId="0" fontId="23" fillId="12" borderId="0" xfId="1" applyFont="1" applyFill="1" applyAlignment="1" applyProtection="1">
      <alignment horizontal="left" vertical="center" indent="1"/>
    </xf>
    <xf numFmtId="0" fontId="23" fillId="12" borderId="0" xfId="1" applyFont="1" applyFill="1" applyAlignment="1" applyProtection="1">
      <alignment vertical="center"/>
    </xf>
    <xf numFmtId="0" fontId="23" fillId="12" borderId="20" xfId="1" applyFont="1" applyFill="1" applyBorder="1" applyAlignment="1" applyProtection="1">
      <alignment horizontal="left" vertical="center"/>
    </xf>
    <xf numFmtId="0" fontId="23" fillId="12" borderId="0" xfId="1" applyFont="1" applyFill="1" applyAlignment="1" applyProtection="1">
      <alignment horizontal="left" vertical="center"/>
    </xf>
    <xf numFmtId="0" fontId="23" fillId="12" borderId="16"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2" borderId="0" xfId="1" applyFont="1" applyFill="1" applyAlignment="1" applyProtection="1">
      <alignment horizontal="center" vertical="center" wrapText="1"/>
    </xf>
    <xf numFmtId="0" fontId="23" fillId="12" borderId="20" xfId="1" applyFont="1" applyFill="1" applyBorder="1" applyAlignment="1" applyProtection="1">
      <alignment horizontal="center" vertical="center" wrapText="1"/>
    </xf>
    <xf numFmtId="0" fontId="23" fillId="12" borderId="16" xfId="1" applyFont="1" applyFill="1" applyBorder="1" applyAlignment="1" applyProtection="1">
      <alignment horizontal="center" vertical="center" wrapText="1"/>
    </xf>
    <xf numFmtId="0" fontId="22" fillId="2" borderId="46" xfId="1" applyFont="1" applyFill="1" applyBorder="1" applyAlignment="1" applyProtection="1">
      <alignment horizontal="center" vertical="center" wrapText="1"/>
    </xf>
    <xf numFmtId="0" fontId="22" fillId="2" borderId="47" xfId="1" applyFont="1" applyFill="1" applyBorder="1" applyAlignment="1" applyProtection="1">
      <alignment horizontal="center" vertical="center" wrapText="1"/>
    </xf>
    <xf numFmtId="0" fontId="22" fillId="2" borderId="47" xfId="1" applyFont="1" applyFill="1" applyBorder="1" applyAlignment="1" applyProtection="1">
      <alignment vertical="center" wrapText="1"/>
    </xf>
    <xf numFmtId="0" fontId="25" fillId="2" borderId="47" xfId="1" applyFont="1" applyFill="1" applyBorder="1" applyAlignment="1" applyProtection="1">
      <alignment horizontal="center" vertical="center" wrapText="1"/>
    </xf>
    <xf numFmtId="0" fontId="22" fillId="2" borderId="48" xfId="1" applyFont="1" applyFill="1" applyBorder="1" applyAlignment="1" applyProtection="1">
      <alignment horizontal="center" vertical="center" wrapText="1"/>
    </xf>
    <xf numFmtId="0" fontId="22" fillId="2" borderId="49" xfId="1" applyFont="1" applyFill="1" applyBorder="1" applyAlignment="1" applyProtection="1">
      <alignment horizontal="center" vertical="center" wrapText="1"/>
    </xf>
    <xf numFmtId="0" fontId="26" fillId="0" borderId="0" xfId="1" applyFont="1" applyAlignment="1" applyProtection="1">
      <alignment horizontal="left" vertical="top"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51" xfId="1" applyFont="1" applyFill="1" applyBorder="1" applyAlignment="1" applyProtection="1">
      <alignment horizontal="center" vertical="center" wrapText="1"/>
    </xf>
    <xf numFmtId="0" fontId="22" fillId="2" borderId="52" xfId="1" applyFont="1" applyFill="1" applyBorder="1" applyAlignment="1" applyProtection="1">
      <alignment horizontal="center" vertical="center" wrapText="1"/>
    </xf>
    <xf numFmtId="0" fontId="22" fillId="2" borderId="52" xfId="1" applyFont="1" applyFill="1" applyBorder="1" applyAlignment="1" applyProtection="1">
      <alignment vertical="center" wrapText="1"/>
    </xf>
    <xf numFmtId="0" fontId="25" fillId="2" borderId="52" xfId="1" applyFont="1" applyFill="1" applyBorder="1" applyAlignment="1" applyProtection="1">
      <alignment horizontal="center" vertical="center" wrapText="1"/>
    </xf>
    <xf numFmtId="0" fontId="22" fillId="2" borderId="53" xfId="1" applyFont="1" applyFill="1" applyBorder="1" applyAlignment="1" applyProtection="1">
      <alignment horizontal="center" vertical="center" wrapText="1"/>
    </xf>
    <xf numFmtId="0" fontId="22" fillId="2" borderId="54" xfId="1" applyFont="1" applyFill="1" applyBorder="1" applyAlignment="1" applyProtection="1">
      <alignment horizontal="center" vertical="center" wrapText="1"/>
    </xf>
    <xf numFmtId="0" fontId="22" fillId="13" borderId="11" xfId="1" applyFont="1" applyFill="1" applyBorder="1" applyAlignment="1" applyProtection="1">
      <alignment horizontal="center" vertical="center" wrapText="1"/>
    </xf>
    <xf numFmtId="0" fontId="22" fillId="13" borderId="0" xfId="1" applyFont="1" applyFill="1" applyAlignment="1" applyProtection="1">
      <alignment horizontal="center" vertical="center" wrapText="1"/>
    </xf>
    <xf numFmtId="0" fontId="22" fillId="13" borderId="0" xfId="1" applyFont="1" applyFill="1" applyAlignment="1" applyProtection="1">
      <alignment vertical="center" wrapText="1"/>
    </xf>
    <xf numFmtId="0" fontId="25" fillId="13" borderId="0" xfId="1" applyFont="1" applyFill="1" applyAlignment="1" applyProtection="1">
      <alignment horizontal="left" vertical="center" wrapText="1"/>
    </xf>
    <xf numFmtId="0" fontId="43" fillId="13" borderId="20" xfId="1" applyFont="1" applyFill="1" applyBorder="1" applyAlignment="1" applyProtection="1">
      <alignment horizontal="center" vertical="center" wrapText="1"/>
    </xf>
    <xf numFmtId="0" fontId="43" fillId="13" borderId="0" xfId="1" applyFont="1" applyFill="1" applyAlignment="1" applyProtection="1">
      <alignment horizontal="center" vertical="center" wrapText="1"/>
    </xf>
    <xf numFmtId="0" fontId="43" fillId="13" borderId="16" xfId="1" applyFont="1" applyFill="1" applyBorder="1" applyAlignment="1" applyProtection="1">
      <alignment horizontal="center" vertical="center" wrapText="1"/>
    </xf>
    <xf numFmtId="0" fontId="26" fillId="0" borderId="0" xfId="1" applyFont="1" applyAlignment="1" applyProtection="1">
      <alignment vertical="center" wrapText="1"/>
    </xf>
    <xf numFmtId="0" fontId="22" fillId="0" borderId="47" xfId="1" applyFont="1" applyBorder="1" applyAlignment="1" applyProtection="1">
      <alignment horizontal="center" vertical="center" wrapText="1"/>
    </xf>
    <xf numFmtId="0" fontId="22" fillId="0" borderId="48" xfId="1" applyFont="1" applyBorder="1" applyAlignment="1" applyProtection="1">
      <alignment horizontal="center" vertical="center" wrapText="1"/>
    </xf>
    <xf numFmtId="0" fontId="22" fillId="0" borderId="49" xfId="1" applyFont="1" applyBorder="1" applyAlignment="1" applyProtection="1">
      <alignment horizontal="center" vertical="center" wrapText="1"/>
    </xf>
    <xf numFmtId="0" fontId="22" fillId="0" borderId="52" xfId="1" applyFont="1" applyBorder="1" applyAlignment="1" applyProtection="1">
      <alignment horizontal="center" vertical="center" wrapText="1"/>
    </xf>
    <xf numFmtId="0" fontId="22" fillId="0" borderId="53" xfId="1" applyFont="1" applyBorder="1" applyAlignment="1" applyProtection="1">
      <alignment horizontal="center" vertical="center" wrapText="1"/>
    </xf>
    <xf numFmtId="0" fontId="22" fillId="0" borderId="5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52" xfId="1" applyFont="1" applyBorder="1" applyAlignment="1" applyProtection="1">
      <alignment horizontal="left" vertical="center"/>
    </xf>
    <xf numFmtId="0" fontId="23" fillId="12" borderId="20" xfId="1" applyFont="1" applyFill="1" applyBorder="1" applyAlignment="1" applyProtection="1">
      <alignment horizontal="center" vertical="center"/>
    </xf>
    <xf numFmtId="0" fontId="23" fillId="12" borderId="16" xfId="1" applyFont="1" applyFill="1" applyBorder="1" applyAlignment="1" applyProtection="1">
      <alignment horizontal="center" vertical="center"/>
    </xf>
    <xf numFmtId="0" fontId="22" fillId="0" borderId="47" xfId="1" applyFont="1" applyBorder="1" applyAlignment="1" applyProtection="1">
      <alignment vertical="center" wrapText="1"/>
    </xf>
    <xf numFmtId="0" fontId="22" fillId="0" borderId="47" xfId="1" applyFont="1" applyBorder="1" applyAlignment="1" applyProtection="1">
      <alignment horizontal="left" vertical="center"/>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Protection="1"/>
    <xf numFmtId="0" fontId="12" fillId="2" borderId="0" xfId="1" applyFont="1" applyFill="1" applyProtection="1"/>
    <xf numFmtId="0" fontId="37" fillId="12" borderId="0" xfId="1" applyFont="1" applyFill="1" applyAlignment="1" applyProtection="1">
      <alignment horizontal="left" vertical="center" readingOrder="1"/>
    </xf>
    <xf numFmtId="0" fontId="21" fillId="12" borderId="0" xfId="1" applyFont="1" applyFill="1" applyAlignment="1" applyProtection="1">
      <alignment horizontal="left" vertical="center" readingOrder="1"/>
    </xf>
    <xf numFmtId="0" fontId="41" fillId="12" borderId="0" xfId="1" applyFont="1" applyFill="1" applyAlignment="1" applyProtection="1">
      <alignment horizontal="center" vertical="center" readingOrder="1"/>
    </xf>
    <xf numFmtId="0" fontId="23" fillId="12" borderId="20" xfId="1" applyFont="1" applyFill="1" applyBorder="1" applyAlignment="1" applyProtection="1">
      <alignment vertical="center" readingOrder="1"/>
    </xf>
    <xf numFmtId="0" fontId="23" fillId="12" borderId="0" xfId="1" applyFont="1" applyFill="1" applyAlignment="1" applyProtection="1">
      <alignment vertical="center" readingOrder="1"/>
    </xf>
    <xf numFmtId="0" fontId="41" fillId="12" borderId="0" xfId="1" applyFont="1" applyFill="1" applyAlignment="1" applyProtection="1">
      <alignment vertical="center" readingOrder="1"/>
    </xf>
    <xf numFmtId="0" fontId="41" fillId="12" borderId="16" xfId="1" applyFont="1" applyFill="1" applyBorder="1" applyAlignment="1" applyProtection="1">
      <alignment vertical="center" readingOrder="1"/>
    </xf>
    <xf numFmtId="0" fontId="53" fillId="12" borderId="0" xfId="1" applyFont="1" applyFill="1" applyAlignment="1" applyProtection="1">
      <alignment horizontal="right" vertical="center" readingOrder="1"/>
    </xf>
    <xf numFmtId="0" fontId="37" fillId="12" borderId="0" xfId="1" applyFont="1" applyFill="1" applyAlignment="1" applyProtection="1">
      <alignment horizontal="center" vertical="center"/>
    </xf>
    <xf numFmtId="0" fontId="23" fillId="12" borderId="20" xfId="1" applyFont="1" applyFill="1" applyBorder="1" applyAlignment="1" applyProtection="1">
      <alignment horizontal="center" vertical="center" wrapText="1" readingOrder="1"/>
    </xf>
    <xf numFmtId="0" fontId="23" fillId="12" borderId="0" xfId="1" applyFont="1" applyFill="1" applyAlignment="1" applyProtection="1">
      <alignment horizontal="center" vertical="center" wrapText="1" readingOrder="1"/>
    </xf>
    <xf numFmtId="0" fontId="23" fillId="12" borderId="16" xfId="1" applyFont="1" applyFill="1" applyBorder="1" applyAlignment="1" applyProtection="1">
      <alignment horizontal="center" vertical="center" wrapText="1" readingOrder="1"/>
    </xf>
    <xf numFmtId="0" fontId="23" fillId="12" borderId="0" xfId="1" applyFont="1" applyFill="1" applyAlignment="1" applyProtection="1">
      <alignment horizontal="center" vertical="top"/>
    </xf>
    <xf numFmtId="0" fontId="1" fillId="0" borderId="0" xfId="1" applyAlignment="1" applyProtection="1">
      <alignment horizontal="center" vertical="top"/>
    </xf>
    <xf numFmtId="0" fontId="47" fillId="0" borderId="17" xfId="1" applyFont="1" applyBorder="1" applyAlignment="1" applyProtection="1">
      <alignment horizontal="center" vertical="center"/>
    </xf>
    <xf numFmtId="0" fontId="47" fillId="0" borderId="18" xfId="1" applyFont="1" applyBorder="1" applyAlignment="1" applyProtection="1">
      <alignment horizontal="center" vertical="center"/>
    </xf>
    <xf numFmtId="0" fontId="47" fillId="0" borderId="18" xfId="1" applyFont="1" applyBorder="1" applyAlignment="1" applyProtection="1">
      <alignment vertical="center"/>
    </xf>
    <xf numFmtId="0" fontId="47" fillId="0" borderId="18" xfId="1" applyFont="1" applyBorder="1" applyAlignment="1" applyProtection="1">
      <alignment horizontal="center" vertical="center" wrapText="1"/>
    </xf>
    <xf numFmtId="0" fontId="47" fillId="0" borderId="21" xfId="1" applyFont="1" applyBorder="1" applyAlignment="1" applyProtection="1">
      <alignment horizontal="center" vertical="center" wrapText="1"/>
    </xf>
    <xf numFmtId="0" fontId="47" fillId="0" borderId="22" xfId="1" applyFont="1" applyBorder="1" applyAlignment="1" applyProtection="1">
      <alignment horizontal="center" vertical="center" wrapText="1"/>
    </xf>
    <xf numFmtId="0" fontId="0" fillId="0" borderId="0" xfId="0" applyProtection="1"/>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xf numFmtId="0" fontId="46" fillId="0" borderId="0" xfId="0" applyFont="1" applyAlignment="1">
      <alignment horizontal="left"/>
    </xf>
    <xf numFmtId="0" fontId="55" fillId="14" borderId="0" xfId="0" applyFont="1" applyFill="1"/>
    <xf numFmtId="0" fontId="39" fillId="12" borderId="12" xfId="1" applyFont="1" applyFill="1" applyBorder="1" applyAlignment="1" applyProtection="1">
      <alignment horizontal="left" vertical="center" wrapText="1"/>
    </xf>
    <xf numFmtId="0" fontId="27" fillId="2" borderId="0" xfId="1" applyFont="1" applyFill="1" applyAlignment="1" applyProtection="1">
      <alignment horizontal="center" vertical="center" wrapText="1"/>
    </xf>
  </cellXfs>
  <cellStyles count="3">
    <cellStyle name="Hyperlink" xfId="2" builtinId="8"/>
    <cellStyle name="Normal" xfId="0" builtinId="0"/>
    <cellStyle name="Normal 2" xfId="1" xr:uid="{00000000-0005-0000-0000-000002000000}"/>
  </cellStyles>
  <dxfs count="121">
    <dxf>
      <alignment horizontal="left" vertical="bottom" wrapText="0" indent="0" justifyLastLine="0" shrinkToFit="0" readingOrder="0"/>
    </dxf>
    <dxf>
      <alignment horizontal="left" vertical="bottom" wrapText="0" indent="0" justifyLastLine="0" shrinkToFit="0" readingOrder="0"/>
    </dxf>
    <dxf>
      <alignment horizontal="left" vertical="bottom" wrapText="0" indent="0" justifyLastLine="0" shrinkToFit="0" readingOrder="0"/>
    </dxf>
    <dxf>
      <alignment horizontal="left" vertical="bottom"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border diagonalUp="0" diagonalDown="0">
        <left style="medium">
          <color indexed="64"/>
        </left>
        <right/>
        <top/>
        <bottom/>
        <vertical/>
        <horizontal/>
      </border>
    </dxf>
    <dxf>
      <alignment vertical="center" textRotation="0" wrapText="0" indent="0" justifyLastLine="0" shrinkToFit="0" readingOrder="0"/>
    </dxf>
    <dxf>
      <alignment vertical="center" textRotation="0" wrapText="0" indent="0" justifyLastLine="0" shrinkToFit="0" readingOrder="0"/>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0" tint="-0.14996795556505021"/>
        </patternFill>
      </fill>
    </dxf>
    <dxf>
      <font>
        <b/>
        <i/>
        <color rgb="FFFF0000"/>
      </font>
    </dxf>
    <dxf>
      <fill>
        <patternFill>
          <bgColor theme="0" tint="-0.14996795556505021"/>
        </patternFill>
      </fill>
    </dxf>
    <dxf>
      <font>
        <b/>
        <i/>
        <color rgb="FFFF0000"/>
      </font>
    </dxf>
    <dxf>
      <fill>
        <patternFill>
          <bgColor theme="0" tint="-0.14996795556505021"/>
        </patternFill>
      </fill>
    </dxf>
    <dxf>
      <font>
        <b/>
        <i/>
        <color rgb="FFFF0000"/>
      </font>
    </dxf>
  </dxfs>
  <tableStyles count="0" defaultTableStyle="TableStyleMedium2" defaultPivotStyle="PivotStyleLight16"/>
  <colors>
    <mruColors>
      <color rgb="FFF49AC1"/>
      <color rgb="FFB4FFFF"/>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209551</xdr:colOff>
      <xdr:row>2</xdr:row>
      <xdr:rowOff>19050</xdr:rowOff>
    </xdr:from>
    <xdr:to>
      <xdr:col>21</xdr:col>
      <xdr:colOff>514350</xdr:colOff>
      <xdr:row>18</xdr:row>
      <xdr:rowOff>85724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801351" y="523875"/>
          <a:ext cx="5791199" cy="34861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Master of Urban and Regional Planning (OpenUnis)</a:t>
          </a:r>
        </a:p>
        <a:p>
          <a:endParaRPr lang="en-AU" sz="1100">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Commencing Study Period.</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urbanandregionalplanning@curtin.edu.au)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endParaRPr lang="en-AU">
            <a:effectLst/>
          </a:endParaRPr>
        </a:p>
      </xdr:txBody>
    </xdr:sp>
    <xdr:clientData/>
  </xdr:twoCellAnchor>
  <xdr:twoCellAnchor>
    <xdr:from>
      <xdr:col>18</xdr:col>
      <xdr:colOff>114300</xdr:colOff>
      <xdr:row>16</xdr:row>
      <xdr:rowOff>163525</xdr:rowOff>
    </xdr:from>
    <xdr:to>
      <xdr:col>21</xdr:col>
      <xdr:colOff>476250</xdr:colOff>
      <xdr:row>17</xdr:row>
      <xdr:rowOff>238124</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000-000006000000}"/>
            </a:ext>
          </a:extLst>
        </xdr:cNvPr>
        <xdr:cNvSpPr txBox="1"/>
      </xdr:nvSpPr>
      <xdr:spPr>
        <a:xfrm>
          <a:off x="14135100" y="3592525"/>
          <a:ext cx="2419350" cy="322249"/>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228601</xdr:colOff>
      <xdr:row>2</xdr:row>
      <xdr:rowOff>9526</xdr:rowOff>
    </xdr:from>
    <xdr:to>
      <xdr:col>21</xdr:col>
      <xdr:colOff>533400</xdr:colOff>
      <xdr:row>15</xdr:row>
      <xdr:rowOff>133350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820401" y="514351"/>
          <a:ext cx="5791199" cy="339089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Graduate Certificate in Development Planning (OpenUnis)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Commencing study period.</a:t>
          </a:r>
          <a:endParaRPr lang="en-AU" sz="1000">
            <a:effectLst/>
          </a:endParaRPr>
        </a:p>
        <a:p>
          <a:pPr algn="ct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urbanandregionalplanning@curtin.edu.au)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endParaRPr lang="en-AU">
            <a:effectLst/>
          </a:endParaRPr>
        </a:p>
      </xdr:txBody>
    </xdr:sp>
    <xdr:clientData/>
  </xdr:twoCellAnchor>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58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114301</xdr:colOff>
      <xdr:row>14</xdr:row>
      <xdr:rowOff>38101</xdr:rowOff>
    </xdr:from>
    <xdr:to>
      <xdr:col>21</xdr:col>
      <xdr:colOff>476251</xdr:colOff>
      <xdr:row>15</xdr:row>
      <xdr:rowOff>38101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135101" y="3495676"/>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228601</xdr:colOff>
      <xdr:row>2</xdr:row>
      <xdr:rowOff>9526</xdr:rowOff>
    </xdr:from>
    <xdr:to>
      <xdr:col>21</xdr:col>
      <xdr:colOff>533400</xdr:colOff>
      <xdr:row>15</xdr:row>
      <xdr:rowOff>142875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820401" y="514351"/>
          <a:ext cx="5791199" cy="340042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Graduate Certificate in Geography (OpenUnis)</a:t>
          </a:r>
        </a:p>
        <a:p>
          <a:endParaRPr lang="en-AU">
            <a:effectLst/>
          </a:endParaRPr>
        </a:p>
        <a:p>
          <a:pPr algn="ct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Commencing Study Period.</a:t>
          </a:r>
          <a:endParaRPr lang="en-AU">
            <a:effectLst/>
          </a:endParaRPr>
        </a:p>
        <a:p>
          <a:pPr algn="ct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geography@curtin.edu.au)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endParaRPr lang="en-AU">
            <a:effectLst/>
          </a:endParaRPr>
        </a:p>
      </xdr:txBody>
    </xdr:sp>
    <xdr:clientData/>
  </xdr:twoCellAnchor>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58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123825</xdr:colOff>
      <xdr:row>14</xdr:row>
      <xdr:rowOff>57150</xdr:rowOff>
    </xdr:from>
    <xdr:to>
      <xdr:col>21</xdr:col>
      <xdr:colOff>485775</xdr:colOff>
      <xdr:row>15</xdr:row>
      <xdr:rowOff>57150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144625" y="351472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G10" totalsRowShown="0" headerRowDxfId="114">
  <autoFilter ref="A6:G10" xr:uid="{00000000-0009-0000-0100-000003000000}"/>
  <tableColumns count="7">
    <tableColumn id="3" xr3:uid="{00000000-0010-0000-0000-000003000000}" name="Choose your Planning / Geography Course (drop-down list)" dataDxfId="113"/>
    <tableColumn id="1" xr3:uid="{00000000-0010-0000-0000-000001000000}" name="UDC" dataDxfId="112"/>
    <tableColumn id="2" xr3:uid="{00000000-0010-0000-0000-000002000000}" name="Version" dataDxfId="111"/>
    <tableColumn id="5" xr3:uid="{00000000-0010-0000-0000-000005000000}" name="Credit Points" dataDxfId="110"/>
    <tableColumn id="4" xr3:uid="{00000000-0010-0000-0000-000004000000}" name="Effective Date" dataDxfId="109"/>
    <tableColumn id="6" xr3:uid="{00000000-0010-0000-0000-000006000000}" name="Akari Updates" dataDxfId="108"/>
    <tableColumn id="7" xr3:uid="{00000000-0010-0000-0000-000007000000}" name="Availabilities" dataDxfId="107"/>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OCGEOG1" displayName="TableOCGEOG1" ref="A16:O20" totalsRowShown="0" headerRowDxfId="21" dataDxfId="20" tableBorderDxfId="19">
  <autoFilter ref="A16:O20" xr:uid="{00000000-0009-0000-0100-00000C000000}"/>
  <sortState xmlns:xlrd2="http://schemas.microsoft.com/office/spreadsheetml/2017/richdata2" ref="A17:M24">
    <sortCondition ref="F2:F10"/>
  </sortState>
  <tableColumns count="15">
    <tableColumn id="1" xr3:uid="{00000000-0010-0000-0900-000001000000}" name="UDC" dataDxfId="18">
      <calculatedColumnFormula>TableOCGEOG1[[#This Row],[Study Package Code]]</calculatedColumnFormula>
    </tableColumn>
    <tableColumn id="2" xr3:uid="{00000000-0010-0000-0900-000002000000}" name="Version" dataDxfId="17">
      <calculatedColumnFormula>TableOCGEOG1[[#This Row],[Ver]]</calculatedColumnFormula>
    </tableColumn>
    <tableColumn id="3" xr3:uid="{00000000-0010-0000-0900-000003000000}" name="OUA Code" dataDxfId="16">
      <calculatedColumnFormula>LEFT(TableOCGEOG1[[#This Row],[Structure Line]],6)</calculatedColumnFormula>
    </tableColumn>
    <tableColumn id="4" xr3:uid="{00000000-0010-0000-0900-000004000000}" name="Unit Title" dataDxfId="15">
      <calculatedColumnFormula>MID(TableOCGEOG1[[#This Row],[Structure Line]],8,LEN(TableOCGEOG1[[#This Row],[Structure Line]]))</calculatedColumnFormula>
    </tableColumn>
    <tableColumn id="5" xr3:uid="{00000000-0010-0000-0900-000005000000}" name="CPs" dataDxfId="14">
      <calculatedColumnFormula>TableOCGEOG1[[#This Row],[Credit Points]]</calculatedColumnFormula>
    </tableColumn>
    <tableColumn id="6" xr3:uid="{00000000-0010-0000-0900-000006000000}" name="Column4" dataDxfId="13"/>
    <tableColumn id="7" xr3:uid="{00000000-0010-0000-0900-000007000000}" name="Component Type" dataDxfId="12"/>
    <tableColumn id="8" xr3:uid="{00000000-0010-0000-0900-000008000000}" name="Year Level" dataDxfId="11"/>
    <tableColumn id="9" xr3:uid="{00000000-0010-0000-0900-000009000000}" name="Study Period" dataDxfId="10"/>
    <tableColumn id="10" xr3:uid="{00000000-0010-0000-0900-00000A000000}" name="Study Package Code" dataDxfId="9"/>
    <tableColumn id="11" xr3:uid="{00000000-0010-0000-0900-00000B000000}" name="Ver" dataDxfId="8"/>
    <tableColumn id="12" xr3:uid="{00000000-0010-0000-0900-00000C000000}" name="Structure Line" dataDxfId="7"/>
    <tableColumn id="13" xr3:uid="{00000000-0010-0000-0900-00000D000000}" name="Credit Points" dataDxfId="6"/>
    <tableColumn id="14" xr3:uid="{00000000-0010-0000-0900-00000E000000}" name="Effective" dataDxfId="5"/>
    <tableColumn id="15" xr3:uid="{00000000-0010-0000-0900-00000F000000}" name="Discont." dataDxfId="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1515" displayName="Table1515" ref="Q16:R20" totalsRowShown="0">
  <autoFilter ref="Q16:R20" xr:uid="{00000000-0009-0000-0100-00000E000000}"/>
  <tableColumns count="2">
    <tableColumn id="5" xr3:uid="{00000000-0010-0000-0A00-000005000000}" name="SPK"/>
    <tableColumn id="6" xr3:uid="{00000000-0010-0000-0A00-000006000000}" name="Ver"/>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Availabilities" displayName="TableAvailabilities" ref="A3:E30" totalsRowShown="0">
  <autoFilter ref="A3:E30" xr:uid="{00000000-0009-0000-0100-00000D000000}"/>
  <sortState xmlns:xlrd2="http://schemas.microsoft.com/office/spreadsheetml/2017/richdata2" ref="A4:E27">
    <sortCondition ref="A3:A27"/>
  </sortState>
  <tableColumns count="5">
    <tableColumn id="1" xr3:uid="{00000000-0010-0000-0B00-000001000000}" name="Row Labels"/>
    <tableColumn id="2" xr3:uid="{00000000-0010-0000-0B00-000002000000}" name="OpenUnis SP 1" dataDxfId="3"/>
    <tableColumn id="3" xr3:uid="{00000000-0010-0000-0B00-000003000000}" name="OpenUnis SP 2" dataDxfId="2"/>
    <tableColumn id="4" xr3:uid="{00000000-0010-0000-0B00-000004000000}" name="OpenUnis SP 3" dataDxfId="1"/>
    <tableColumn id="5" xr3:uid="{00000000-0010-0000-0B00-000005000000}" name="OpenUnis SP 4" dataDxfId="0"/>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3:E17" totalsRowShown="0" dataDxfId="106">
  <autoFilter ref="A13:E17" xr:uid="{00000000-0009-0000-0100-000004000000}"/>
  <tableColumns count="5">
    <tableColumn id="1" xr3:uid="{00000000-0010-0000-0100-000001000000}" name="Choose your commencing study period (drop-down list)" dataDxfId="105"/>
    <tableColumn id="2" xr3:uid="{00000000-0010-0000-0100-000002000000}" name="START" dataDxfId="104"/>
    <tableColumn id="3" xr3:uid="{00000000-0010-0000-0100-000003000000}" name="Next" dataDxfId="103"/>
    <tableColumn id="4" xr3:uid="{00000000-0010-0000-0100-000004000000}" name="Next2" dataDxfId="102"/>
    <tableColumn id="5" xr3:uid="{00000000-0010-0000-0100-000005000000}" name="Next3" dataDxfId="10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3:N35" totalsRowShown="0" headerRowDxfId="99" dataDxfId="97" headerRowBorderDxfId="98" tableBorderDxfId="96">
  <autoFilter ref="A3:N35" xr:uid="{00000000-0009-0000-0100-000002000000}"/>
  <sortState xmlns:xlrd2="http://schemas.microsoft.com/office/spreadsheetml/2017/richdata2" ref="A4:M36">
    <sortCondition ref="A3:A36"/>
  </sortState>
  <tableColumns count="14">
    <tableColumn id="1" xr3:uid="{00000000-0010-0000-0200-000001000000}" name="UDC" dataDxfId="95"/>
    <tableColumn id="2" xr3:uid="{00000000-0010-0000-0200-000002000000}" name="Ver" dataDxfId="94"/>
    <tableColumn id="3" xr3:uid="{00000000-0010-0000-0200-000003000000}" name="OUA Cd" dataDxfId="93"/>
    <tableColumn id="4" xr3:uid="{00000000-0010-0000-0200-000004000000}" name="Title" dataDxfId="92"/>
    <tableColumn id="5" xr3:uid="{00000000-0010-0000-0200-000005000000}" name="Credits" dataDxfId="91"/>
    <tableColumn id="6" xr3:uid="{00000000-0010-0000-0200-000006000000}" name="Pre-reqs" dataDxfId="90"/>
    <tableColumn id="12" xr3:uid="{00000000-0010-0000-0200-00000C000000}" name="SP1" dataDxfId="89">
      <calculatedColumnFormula>IFERROR(IF(VLOOKUP(TableHandbook[[#This Row],[UDC]],TableAvailabilities[],2,FALSE)&gt;0,"Y",""),"")</calculatedColumnFormula>
    </tableColumn>
    <tableColumn id="13" xr3:uid="{00000000-0010-0000-0200-00000D000000}" name="SP2" dataDxfId="88"/>
    <tableColumn id="14" xr3:uid="{00000000-0010-0000-0200-00000E000000}" name="SP3" dataDxfId="87">
      <calculatedColumnFormula>IFERROR(IF(VLOOKUP(TableHandbook[[#This Row],[UDC]],TableAvailabilities[],4,FALSE)&gt;0,"Y",""),"")</calculatedColumnFormula>
    </tableColumn>
    <tableColumn id="15" xr3:uid="{00000000-0010-0000-0200-00000F000000}" name="SP4" dataDxfId="86">
      <calculatedColumnFormula>IFERROR(IF(VLOOKUP(TableHandbook[[#This Row],[UDC]],TableAvailabilities[],5,FALSE)&gt;0,"Y",""),"")</calculatedColumnFormula>
    </tableColumn>
    <tableColumn id="7" xr3:uid="{00000000-0010-0000-0200-000007000000}" name="NOTES" dataDxfId="85"/>
    <tableColumn id="10" xr3:uid="{00000000-0010-0000-0200-00000A000000}" name="OC-DEVPLN" dataDxfId="84">
      <calculatedColumnFormula>IFERROR(VLOOKUP(TableHandbook[[#This Row],[UDC]],TableOCDEVPLN[],7,FALSE),"")</calculatedColumnFormula>
    </tableColumn>
    <tableColumn id="9" xr3:uid="{00000000-0010-0000-0200-000009000000}" name="OC-GEOG1" dataDxfId="83">
      <calculatedColumnFormula>IFERROR(VLOOKUP(TableHandbook[[#This Row],[UDC]],TableOCGEOG1[],7,FALSE),"")</calculatedColumnFormula>
    </tableColumn>
    <tableColumn id="8" xr3:uid="{00000000-0010-0000-0200-000008000000}" name="OM-URPLAN2" dataDxfId="82">
      <calculatedColumnFormula>IFERROR(VLOOKUP(TableHandbook[[#This Row],[UDC]],TableOMURPLAN2[],7,FALSE),"")</calculatedColumnFormula>
    </tableColumn>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OMURPLAN2" displayName="TableOMURPLAN2" ref="A23:O44" totalsRowShown="0" headerRowDxfId="74" dataDxfId="73">
  <autoFilter ref="A23:O44" xr:uid="{00000000-0009-0000-0100-000001000000}"/>
  <sortState xmlns:xlrd2="http://schemas.microsoft.com/office/spreadsheetml/2017/richdata2" ref="A3:M27">
    <sortCondition ref="F2:F27"/>
  </sortState>
  <tableColumns count="15">
    <tableColumn id="1" xr3:uid="{00000000-0010-0000-0300-000001000000}" name="UDC" dataDxfId="72">
      <calculatedColumnFormula>TableOMURPLAN2[[#This Row],[Study Package Code]]</calculatedColumnFormula>
    </tableColumn>
    <tableColumn id="9" xr3:uid="{00000000-0010-0000-0300-000009000000}" name="Version" dataDxfId="71">
      <calculatedColumnFormula>TableOMURPLAN2[[#This Row],[Ver]]</calculatedColumnFormula>
    </tableColumn>
    <tableColumn id="10" xr3:uid="{00000000-0010-0000-0300-00000A000000}" name="OUA Code" dataDxfId="70">
      <calculatedColumnFormula>LEFT(TableOMURPLAN2[[#This Row],[Structure Line]],6)</calculatedColumnFormula>
    </tableColumn>
    <tableColumn id="13" xr3:uid="{00000000-0010-0000-0300-00000D000000}" name="Unit Title" dataDxfId="69">
      <calculatedColumnFormula>MID(TableOMURPLAN2[[#This Row],[Structure Line]],7,LEN(TableOMURPLAN2[[#This Row],[Structure Line]]))</calculatedColumnFormula>
    </tableColumn>
    <tableColumn id="11" xr3:uid="{00000000-0010-0000-0300-00000B000000}" name="CPs" dataDxfId="68">
      <calculatedColumnFormula>TableOMURPLAN2[[#This Row],[Credit Points]]</calculatedColumnFormula>
    </tableColumn>
    <tableColumn id="12" xr3:uid="{00000000-0010-0000-0300-00000C000000}" name="Column4" dataDxfId="67"/>
    <tableColumn id="2" xr3:uid="{00000000-0010-0000-0300-000002000000}" name="Component Type" dataDxfId="66"/>
    <tableColumn id="3" xr3:uid="{00000000-0010-0000-0300-000003000000}" name="Year Level" dataDxfId="65"/>
    <tableColumn id="4" xr3:uid="{00000000-0010-0000-0300-000004000000}" name="Study Period" dataDxfId="64"/>
    <tableColumn id="5" xr3:uid="{00000000-0010-0000-0300-000005000000}" name="Study Package Code" dataDxfId="63"/>
    <tableColumn id="6" xr3:uid="{00000000-0010-0000-0300-000006000000}" name="Ver" dataDxfId="62"/>
    <tableColumn id="7" xr3:uid="{00000000-0010-0000-0300-000007000000}" name="Structure Line" dataDxfId="61"/>
    <tableColumn id="8" xr3:uid="{00000000-0010-0000-0300-000008000000}" name="Credit Points" dataDxfId="60"/>
    <tableColumn id="14" xr3:uid="{00000000-0010-0000-0300-00000E000000}" name="Effective" dataDxfId="59"/>
    <tableColumn id="15" xr3:uid="{00000000-0010-0000-0300-00000F000000}" name="Discont." dataDxfId="58"/>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OCDEVPLN" displayName="TableOCDEVPLN" ref="A2:O6" totalsRowShown="0" headerRowDxfId="57" dataDxfId="56" tableBorderDxfId="55">
  <autoFilter ref="A2:O6" xr:uid="{00000000-0009-0000-0100-000005000000}"/>
  <sortState xmlns:xlrd2="http://schemas.microsoft.com/office/spreadsheetml/2017/richdata2" ref="A3:M10">
    <sortCondition ref="F2:F10"/>
  </sortState>
  <tableColumns count="15">
    <tableColumn id="1" xr3:uid="{00000000-0010-0000-0400-000001000000}" name="UDC" dataDxfId="54">
      <calculatedColumnFormula>TableOCDEVPLN[[#This Row],[Study Package Code]]</calculatedColumnFormula>
    </tableColumn>
    <tableColumn id="2" xr3:uid="{00000000-0010-0000-0400-000002000000}" name="Version" dataDxfId="53">
      <calculatedColumnFormula>TableOCDEVPLN[[#This Row],[Ver]]</calculatedColumnFormula>
    </tableColumn>
    <tableColumn id="3" xr3:uid="{00000000-0010-0000-0400-000003000000}" name="OUA Code" dataDxfId="52">
      <calculatedColumnFormula>LEFT(TableOCDEVPLN[[#This Row],[Structure Line]],6)</calculatedColumnFormula>
    </tableColumn>
    <tableColumn id="4" xr3:uid="{00000000-0010-0000-0400-000004000000}" name="Unit Title" dataDxfId="51">
      <calculatedColumnFormula>MID(TableOCDEVPLN[[#This Row],[Structure Line]],8,LEN(TableOCDEVPLN[[#This Row],[Structure Line]]))</calculatedColumnFormula>
    </tableColumn>
    <tableColumn id="5" xr3:uid="{00000000-0010-0000-0400-000005000000}" name="CPs" dataDxfId="50">
      <calculatedColumnFormula>TableOCDEVPLN[[#This Row],[Credit Points]]</calculatedColumnFormula>
    </tableColumn>
    <tableColumn id="6" xr3:uid="{00000000-0010-0000-0400-000006000000}" name="Column4" dataDxfId="49"/>
    <tableColumn id="7" xr3:uid="{00000000-0010-0000-0400-000007000000}" name="Component Type" dataDxfId="48"/>
    <tableColumn id="8" xr3:uid="{00000000-0010-0000-0400-000008000000}" name="Year Level" dataDxfId="47"/>
    <tableColumn id="9" xr3:uid="{00000000-0010-0000-0400-000009000000}" name="Study Period" dataDxfId="46"/>
    <tableColumn id="10" xr3:uid="{00000000-0010-0000-0400-00000A000000}" name="Study Package Code" dataDxfId="45"/>
    <tableColumn id="11" xr3:uid="{00000000-0010-0000-0400-00000B000000}" name="Ver" dataDxfId="44"/>
    <tableColumn id="12" xr3:uid="{00000000-0010-0000-0400-00000C000000}" name="Structure Line" dataDxfId="43"/>
    <tableColumn id="13" xr3:uid="{00000000-0010-0000-0400-00000D000000}" name="Credit Points" dataDxfId="42"/>
    <tableColumn id="14" xr3:uid="{00000000-0010-0000-0400-00000E000000}" name="Effective" dataDxfId="41"/>
    <tableColumn id="15" xr3:uid="{00000000-0010-0000-0400-00000F000000}" name="Discont." dataDxfId="40"/>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OCDVPLC1" displayName="TableOCDVPLC1" ref="A9:O13" totalsRowShown="0" headerRowDxfId="39" dataDxfId="38" tableBorderDxfId="37">
  <autoFilter ref="A9:O13" xr:uid="{00000000-0009-0000-0100-000006000000}"/>
  <sortState xmlns:xlrd2="http://schemas.microsoft.com/office/spreadsheetml/2017/richdata2" ref="A14:M21">
    <sortCondition ref="F2:F10"/>
  </sortState>
  <tableColumns count="15">
    <tableColumn id="1" xr3:uid="{00000000-0010-0000-0500-000001000000}" name="UDC" dataDxfId="36">
      <calculatedColumnFormula>TableOCDVPLC1[[#This Row],[Study Package Code]]</calculatedColumnFormula>
    </tableColumn>
    <tableColumn id="2" xr3:uid="{00000000-0010-0000-0500-000002000000}" name="Version" dataDxfId="35">
      <calculatedColumnFormula>TableOCDVPLC1[[#This Row],[Ver]]</calculatedColumnFormula>
    </tableColumn>
    <tableColumn id="3" xr3:uid="{00000000-0010-0000-0500-000003000000}" name="OUA Code" dataDxfId="34">
      <calculatedColumnFormula>LEFT(TableOCDVPLC1[[#This Row],[Structure Line]],6)</calculatedColumnFormula>
    </tableColumn>
    <tableColumn id="4" xr3:uid="{00000000-0010-0000-0500-000004000000}" name="Unit Title" dataDxfId="33">
      <calculatedColumnFormula>MID(TableOCDVPLC1[[#This Row],[Structure Line]],8,LEN(TableOCDVPLC1[[#This Row],[Structure Line]]))</calculatedColumnFormula>
    </tableColumn>
    <tableColumn id="5" xr3:uid="{00000000-0010-0000-0500-000005000000}" name="CPs" dataDxfId="32">
      <calculatedColumnFormula>TableOCDVPLC1[[#This Row],[Credit Points]]</calculatedColumnFormula>
    </tableColumn>
    <tableColumn id="6" xr3:uid="{00000000-0010-0000-0500-000006000000}" name="Column4" dataDxfId="31"/>
    <tableColumn id="7" xr3:uid="{00000000-0010-0000-0500-000007000000}" name="Component Type" dataDxfId="30"/>
    <tableColumn id="8" xr3:uid="{00000000-0010-0000-0500-000008000000}" name="Year Level" dataDxfId="29"/>
    <tableColumn id="9" xr3:uid="{00000000-0010-0000-0500-000009000000}" name="Study Period" dataDxfId="28"/>
    <tableColumn id="10" xr3:uid="{00000000-0010-0000-0500-00000A000000}" name="Study Package Code" dataDxfId="27"/>
    <tableColumn id="11" xr3:uid="{00000000-0010-0000-0500-00000B000000}" name="Ver" dataDxfId="26"/>
    <tableColumn id="12" xr3:uid="{00000000-0010-0000-0500-00000C000000}" name="Structure Line" dataDxfId="25"/>
    <tableColumn id="13" xr3:uid="{00000000-0010-0000-0500-00000D000000}" name="Credit Points" dataDxfId="24"/>
    <tableColumn id="14" xr3:uid="{00000000-0010-0000-0500-00000E000000}" name="Effective" dataDxfId="23"/>
    <tableColumn id="15" xr3:uid="{00000000-0010-0000-0500-00000F000000}" name="Discont." dataDxfId="22"/>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15" displayName="Table15" ref="Q2:R6" totalsRowShown="0">
  <autoFilter ref="Q2:R6" xr:uid="{00000000-0009-0000-0100-000007000000}"/>
  <tableColumns count="2">
    <tableColumn id="5" xr3:uid="{00000000-0010-0000-0600-000005000000}" name="SPK"/>
    <tableColumn id="6" xr3:uid="{00000000-0010-0000-0600-000006000000}" name="Ver"/>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159" displayName="Table159" ref="Q9:R13" totalsRowShown="0">
  <autoFilter ref="Q9:R13" xr:uid="{00000000-0009-0000-0100-000008000000}"/>
  <tableColumns count="2">
    <tableColumn id="5" xr3:uid="{00000000-0010-0000-0700-000005000000}" name="SPK"/>
    <tableColumn id="6" xr3:uid="{00000000-0010-0000-0700-000006000000}" name="Ver"/>
  </tableColumns>
  <tableStyleInfo name="TableStyleLight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1510" displayName="Table1510" ref="Q23:R44" totalsRowShown="0">
  <autoFilter ref="Q23:R44" xr:uid="{00000000-0009-0000-0100-000009000000}"/>
  <tableColumns count="2">
    <tableColumn id="5" xr3:uid="{00000000-0010-0000-0800-000005000000}" name="SPK"/>
    <tableColumn id="6" xr3:uid="{00000000-0010-0000-0800-000006000000}"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
  <sheetViews>
    <sheetView showGridLines="0" tabSelected="1" topLeftCell="A2" zoomScaleNormal="100" workbookViewId="0">
      <selection activeCell="D4" sqref="D4"/>
    </sheetView>
  </sheetViews>
  <sheetFormatPr defaultColWidth="9" defaultRowHeight="14.5" x14ac:dyDescent="0.35"/>
  <cols>
    <col min="1" max="1" width="8.5" style="156" customWidth="1"/>
    <col min="2" max="2" width="3.25" style="156" customWidth="1"/>
    <col min="3" max="3" width="9.25" style="156" customWidth="1"/>
    <col min="4" max="4" width="47.83203125" style="148" bestFit="1" customWidth="1"/>
    <col min="5" max="5" width="8" style="148" customWidth="1"/>
    <col min="6" max="6" width="22.33203125" style="148" customWidth="1"/>
    <col min="7" max="7" width="5.58203125" style="148" customWidth="1"/>
    <col min="8" max="11" width="4.58203125" style="148" customWidth="1"/>
    <col min="12" max="12" width="15.58203125" style="148" customWidth="1"/>
    <col min="13" max="13" width="2.5" style="148" hidden="1" customWidth="1"/>
    <col min="14" max="16384" width="9" style="148"/>
  </cols>
  <sheetData>
    <row r="1" spans="1:16" hidden="1" x14ac:dyDescent="0.35">
      <c r="A1" s="144" t="s">
        <v>0</v>
      </c>
      <c r="B1" s="145" t="s">
        <v>1</v>
      </c>
      <c r="C1" s="145" t="s">
        <v>2</v>
      </c>
      <c r="D1" s="146" t="s">
        <v>3</v>
      </c>
      <c r="E1" s="146"/>
      <c r="F1" s="146" t="s">
        <v>4</v>
      </c>
      <c r="G1" s="146" t="s">
        <v>5</v>
      </c>
      <c r="H1" s="147" t="s">
        <v>6</v>
      </c>
      <c r="I1" s="146"/>
      <c r="J1" s="146"/>
      <c r="K1" s="146"/>
      <c r="L1" s="146" t="s">
        <v>7</v>
      </c>
    </row>
    <row r="2" spans="1:16" ht="40" customHeight="1" x14ac:dyDescent="0.35">
      <c r="A2" s="246" t="s">
        <v>8</v>
      </c>
      <c r="B2" s="246"/>
      <c r="C2" s="246"/>
      <c r="D2" s="246"/>
      <c r="E2" s="149"/>
      <c r="F2" s="149"/>
      <c r="G2" s="149"/>
      <c r="H2" s="149"/>
      <c r="I2" s="149"/>
      <c r="J2" s="149"/>
      <c r="K2" s="149"/>
      <c r="L2" s="149"/>
    </row>
    <row r="3" spans="1:16" ht="26" x14ac:dyDescent="0.35">
      <c r="A3" s="150"/>
      <c r="B3" s="151"/>
      <c r="C3" s="151"/>
      <c r="D3" s="152"/>
      <c r="E3" s="153" t="s">
        <v>199</v>
      </c>
      <c r="F3" s="151"/>
      <c r="G3" s="154"/>
      <c r="H3" s="154"/>
      <c r="I3" s="154"/>
      <c r="J3" s="154"/>
      <c r="K3" s="154"/>
      <c r="L3" s="155" t="e">
        <f>CONCATENATE(VLOOKUP(D4,TableCourses[],2,FALSE),VLOOKUP(D5,TableStudyPeriods[],2,FALSE))</f>
        <v>#N/A</v>
      </c>
    </row>
    <row r="4" spans="1:16" ht="20.149999999999999" customHeight="1" x14ac:dyDescent="0.35">
      <c r="B4" s="157"/>
      <c r="C4" s="158" t="s">
        <v>9</v>
      </c>
      <c r="D4" s="159" t="s">
        <v>62</v>
      </c>
      <c r="E4" s="160"/>
      <c r="F4" s="158" t="s">
        <v>11</v>
      </c>
      <c r="G4" s="160" t="str">
        <f>IFERROR(CONCATENATE(VLOOKUP(D4,TableCourses[],2,FALSE)," ",VLOOKUP(D4,TableCourses[],3,FALSE)),"")</f>
        <v>OM-URPLAN2 v.1</v>
      </c>
      <c r="H4" s="160"/>
      <c r="I4" s="160"/>
      <c r="J4" s="160"/>
      <c r="K4" s="160"/>
      <c r="L4" s="161"/>
    </row>
    <row r="5" spans="1:16" ht="20.149999999999999" customHeight="1" x14ac:dyDescent="0.35">
      <c r="A5" s="162"/>
      <c r="B5" s="163"/>
      <c r="C5" s="158" t="s">
        <v>12</v>
      </c>
      <c r="D5" s="113" t="s">
        <v>201</v>
      </c>
      <c r="E5" s="164"/>
      <c r="F5" s="158" t="s">
        <v>14</v>
      </c>
      <c r="G5" s="160" t="str">
        <f>IFERROR(VLOOKUP($D$4,TableCourses[],4,FALSE),"")</f>
        <v>300 credit points required</v>
      </c>
      <c r="H5" s="165"/>
      <c r="I5" s="165"/>
      <c r="J5" s="165"/>
      <c r="K5" s="165"/>
      <c r="L5" s="165"/>
    </row>
    <row r="6" spans="1:16" s="173" customFormat="1" ht="14.15" customHeight="1" x14ac:dyDescent="0.35">
      <c r="A6" s="166"/>
      <c r="B6" s="166"/>
      <c r="C6" s="166"/>
      <c r="D6" s="167"/>
      <c r="E6" s="168"/>
      <c r="F6" s="166"/>
      <c r="G6" s="166"/>
      <c r="H6" s="169" t="s">
        <v>200</v>
      </c>
      <c r="I6" s="170"/>
      <c r="J6" s="170"/>
      <c r="K6" s="171"/>
      <c r="L6" s="168"/>
      <c r="M6" s="172"/>
      <c r="N6" s="172"/>
      <c r="O6" s="172"/>
    </row>
    <row r="7" spans="1:16" s="173" customFormat="1" ht="23" x14ac:dyDescent="0.35">
      <c r="A7" s="166" t="s">
        <v>15</v>
      </c>
      <c r="B7" s="166" t="s">
        <v>16</v>
      </c>
      <c r="C7" s="166" t="s">
        <v>17</v>
      </c>
      <c r="D7" s="168" t="s">
        <v>3</v>
      </c>
      <c r="E7" s="174" t="s">
        <v>18</v>
      </c>
      <c r="F7" s="166" t="s">
        <v>19</v>
      </c>
      <c r="G7" s="166" t="s">
        <v>20</v>
      </c>
      <c r="H7" s="175" t="s">
        <v>21</v>
      </c>
      <c r="I7" s="174" t="s">
        <v>22</v>
      </c>
      <c r="J7" s="174" t="s">
        <v>23</v>
      </c>
      <c r="K7" s="176" t="s">
        <v>24</v>
      </c>
      <c r="L7" s="166" t="s">
        <v>25</v>
      </c>
      <c r="M7" s="172"/>
      <c r="N7" s="172"/>
      <c r="O7" s="172"/>
    </row>
    <row r="8" spans="1:16" s="185" customFormat="1" ht="20.149999999999999" customHeight="1" x14ac:dyDescent="0.3">
      <c r="A8" s="177" t="str">
        <f>IFERROR(IF(HLOOKUP($L$3,RangeUnitsets,M8,FALSE)=0,"",HLOOKUP($L$3,RangeUnitsets,M8,FALSE)),"")</f>
        <v/>
      </c>
      <c r="B8" s="178" t="str">
        <f>IFERROR(IF(VLOOKUP(A8,TableHandbook[],2,FALSE)=0,"",VLOOKUP(A8,TableHandbook[],2,FALSE)),"")</f>
        <v/>
      </c>
      <c r="C8" s="178" t="str">
        <f>IFERROR(IF(VLOOKUP(A8,TableHandbook[],3,FALSE)=0,"",VLOOKUP(A8,TableHandbook[],3,FALSE)),"")</f>
        <v/>
      </c>
      <c r="D8" s="179" t="str">
        <f>IFERROR(VLOOKUP(A8,TableHandbook[],4,FALSE),"")</f>
        <v/>
      </c>
      <c r="E8" s="178" t="str">
        <f>IF(A8="","",VLOOKUP($D$5,TableStudyPeriods[],2,FALSE))</f>
        <v/>
      </c>
      <c r="F8" s="180" t="str">
        <f>IFERROR(IF(VLOOKUP(A8,TableHandbook[],6,FALSE)=0,"",VLOOKUP(A8,TableHandbook[],6,FALSE)),"")</f>
        <v/>
      </c>
      <c r="G8" s="178" t="str">
        <f>IFERROR(IF(VLOOKUP(A8,TableHandbook[],5,FALSE)=0,"",VLOOKUP(A8,TableHandbook[],5,FALSE)),"")</f>
        <v/>
      </c>
      <c r="H8" s="181" t="str">
        <f>IFERROR(VLOOKUP($A8,TableHandbook[],7,FALSE),"")</f>
        <v/>
      </c>
      <c r="I8" s="178" t="str">
        <f>IFERROR(VLOOKUP($A8,TableHandbook[],8,FALSE),"")</f>
        <v/>
      </c>
      <c r="J8" s="178" t="str">
        <f>IFERROR(VLOOKUP($A8,TableHandbook[],9,FALSE),"")</f>
        <v/>
      </c>
      <c r="K8" s="182" t="str">
        <f>IFERROR(VLOOKUP($A8,TableHandbook[],10,FALSE),"")</f>
        <v/>
      </c>
      <c r="L8" s="106"/>
      <c r="M8" s="183">
        <v>2</v>
      </c>
      <c r="N8" s="184"/>
      <c r="O8" s="184"/>
    </row>
    <row r="9" spans="1:16" s="185" customFormat="1" ht="20.149999999999999" customHeight="1" x14ac:dyDescent="0.3">
      <c r="A9" s="186" t="str">
        <f>IFERROR(IF(HLOOKUP($L$3,RangeUnitsets,M9,FALSE)=0,"",HLOOKUP($L$3,RangeUnitsets,M9,FALSE)),"")</f>
        <v/>
      </c>
      <c r="B9" s="187" t="str">
        <f>IFERROR(IF(VLOOKUP(A9,TableHandbook[],2,FALSE)=0,"",VLOOKUP(A9,TableHandbook[],2,FALSE)),"")</f>
        <v/>
      </c>
      <c r="C9" s="187" t="str">
        <f>IFERROR(IF(VLOOKUP(A9,TableHandbook[],3,FALSE)=0,"",VLOOKUP(A9,TableHandbook[],3,FALSE)),"")</f>
        <v/>
      </c>
      <c r="D9" s="188" t="str">
        <f>IFERROR(VLOOKUP(A9,TableHandbook[],4,FALSE),"")</f>
        <v/>
      </c>
      <c r="E9" s="187" t="str">
        <f>IF(A9="","",E8)</f>
        <v/>
      </c>
      <c r="F9" s="189" t="str">
        <f>IFERROR(IF(VLOOKUP(A9,TableHandbook[],6,FALSE)=0,"",VLOOKUP(A9,TableHandbook[],6,FALSE)),"")</f>
        <v/>
      </c>
      <c r="G9" s="187" t="str">
        <f>IFERROR(IF(VLOOKUP(A9,TableHandbook[],5,FALSE)=0,"",VLOOKUP(A9,TableHandbook[],5,FALSE)),"")</f>
        <v/>
      </c>
      <c r="H9" s="190" t="str">
        <f>IFERROR(VLOOKUP($A9,TableHandbook[],7,FALSE),"")</f>
        <v/>
      </c>
      <c r="I9" s="187" t="str">
        <f>IFERROR(VLOOKUP($A9,TableHandbook[],8,FALSE),"")</f>
        <v/>
      </c>
      <c r="J9" s="187" t="str">
        <f>IFERROR(VLOOKUP($A9,TableHandbook[],9,FALSE),"")</f>
        <v/>
      </c>
      <c r="K9" s="191" t="str">
        <f>IFERROR(VLOOKUP($A9,TableHandbook[],10,FALSE),"")</f>
        <v/>
      </c>
      <c r="L9" s="107"/>
      <c r="M9" s="183">
        <v>3</v>
      </c>
      <c r="N9" s="184"/>
      <c r="O9" s="184"/>
    </row>
    <row r="10" spans="1:16" s="185" customFormat="1" ht="4.5" customHeight="1" x14ac:dyDescent="0.3">
      <c r="A10" s="192"/>
      <c r="B10" s="193"/>
      <c r="C10" s="193" t="str">
        <f>IFERROR(IF(VLOOKUP(A10,TableHandbook[],3,FALSE)=0,"",VLOOKUP(A10,TableHandbook[],3,FALSE)),"")</f>
        <v/>
      </c>
      <c r="D10" s="194"/>
      <c r="E10" s="193"/>
      <c r="F10" s="195"/>
      <c r="G10" s="193"/>
      <c r="H10" s="196"/>
      <c r="I10" s="197"/>
      <c r="J10" s="197"/>
      <c r="K10" s="198"/>
      <c r="L10" s="103"/>
      <c r="M10" s="199"/>
      <c r="N10" s="184"/>
      <c r="O10" s="184"/>
      <c r="P10" s="184"/>
    </row>
    <row r="11" spans="1:16" s="185" customFormat="1" ht="20.149999999999999" customHeight="1" x14ac:dyDescent="0.3">
      <c r="A11" s="177" t="str">
        <f>IFERROR(IF(HLOOKUP($L$3,RangeUnitsets,M11,FALSE)=0,"",HLOOKUP($L$3,RangeUnitsets,M11,FALSE)),"")</f>
        <v/>
      </c>
      <c r="B11" s="178" t="str">
        <f>IFERROR(IF(VLOOKUP(A11,TableHandbook[],2,FALSE)=0,"",VLOOKUP(A11,TableHandbook[],2,FALSE)),"")</f>
        <v/>
      </c>
      <c r="C11" s="178" t="str">
        <f>IFERROR(IF(VLOOKUP(A11,TableHandbook[],3,FALSE)=0,"",VLOOKUP(A11,TableHandbook[],3,FALSE)),"")</f>
        <v/>
      </c>
      <c r="D11" s="179" t="str">
        <f>IFERROR(VLOOKUP(A11,TableHandbook[],4,FALSE),"")</f>
        <v/>
      </c>
      <c r="E11" s="178" t="str">
        <f>IF(A11="","",VLOOKUP($D$5,TableStudyPeriods[],3,FALSE))</f>
        <v/>
      </c>
      <c r="F11" s="180" t="str">
        <f>IFERROR(IF(VLOOKUP(A11,TableHandbook[],6,FALSE)=0,"",VLOOKUP(A11,TableHandbook[],6,FALSE)),"")</f>
        <v/>
      </c>
      <c r="G11" s="178" t="str">
        <f>IFERROR(IF(VLOOKUP(A11,TableHandbook[],5,FALSE)=0,"",VLOOKUP(A11,TableHandbook[],5,FALSE)),"")</f>
        <v/>
      </c>
      <c r="H11" s="181" t="str">
        <f>IFERROR(VLOOKUP($A11,TableHandbook[],7,FALSE),"")</f>
        <v/>
      </c>
      <c r="I11" s="178" t="str">
        <f>IFERROR(VLOOKUP($A11,TableHandbook[],8,FALSE),"")</f>
        <v/>
      </c>
      <c r="J11" s="178" t="str">
        <f>IFERROR(VLOOKUP($A11,TableHandbook[],9,FALSE),"")</f>
        <v/>
      </c>
      <c r="K11" s="182" t="str">
        <f>IFERROR(VLOOKUP($A11,TableHandbook[],10,FALSE),"")</f>
        <v/>
      </c>
      <c r="L11" s="108"/>
      <c r="M11" s="183">
        <v>4</v>
      </c>
      <c r="N11" s="184"/>
      <c r="O11" s="184"/>
    </row>
    <row r="12" spans="1:16" s="185" customFormat="1" ht="20.149999999999999" customHeight="1" x14ac:dyDescent="0.3">
      <c r="A12" s="186" t="str">
        <f>IFERROR(IF(HLOOKUP($L$3,RangeUnitsets,M12,FALSE)=0,"",HLOOKUP($L$3,RangeUnitsets,M12,FALSE)),"")</f>
        <v/>
      </c>
      <c r="B12" s="187" t="str">
        <f>IFERROR(IF(VLOOKUP(A12,TableHandbook[],2,FALSE)=0,"",VLOOKUP(A12,TableHandbook[],2,FALSE)),"")</f>
        <v/>
      </c>
      <c r="C12" s="187" t="str">
        <f>IFERROR(IF(VLOOKUP(A12,TableHandbook[],3,FALSE)=0,"",VLOOKUP(A12,TableHandbook[],3,FALSE)),"")</f>
        <v/>
      </c>
      <c r="D12" s="188" t="str">
        <f>IFERROR(VLOOKUP(A12,TableHandbook[],4,FALSE),"")</f>
        <v/>
      </c>
      <c r="E12" s="187" t="str">
        <f>IF(A12="","",E11)</f>
        <v/>
      </c>
      <c r="F12" s="189" t="str">
        <f>IFERROR(IF(VLOOKUP(A12,TableHandbook[],6,FALSE)=0,"",VLOOKUP(A12,TableHandbook[],6,FALSE)),"")</f>
        <v/>
      </c>
      <c r="G12" s="187" t="str">
        <f>IFERROR(IF(VLOOKUP(A12,TableHandbook[],5,FALSE)=0,"",VLOOKUP(A12,TableHandbook[],5,FALSE)),"")</f>
        <v/>
      </c>
      <c r="H12" s="190" t="str">
        <f>IFERROR(VLOOKUP($A12,TableHandbook[],7,FALSE),"")</f>
        <v/>
      </c>
      <c r="I12" s="187" t="str">
        <f>IFERROR(VLOOKUP($A12,TableHandbook[],8,FALSE),"")</f>
        <v/>
      </c>
      <c r="J12" s="187" t="str">
        <f>IFERROR(VLOOKUP($A12,TableHandbook[],9,FALSE),"")</f>
        <v/>
      </c>
      <c r="K12" s="191" t="str">
        <f>IFERROR(VLOOKUP($A12,TableHandbook[],10,FALSE),"")</f>
        <v/>
      </c>
      <c r="L12" s="107"/>
      <c r="M12" s="183">
        <v>5</v>
      </c>
      <c r="N12" s="184"/>
      <c r="O12" s="184"/>
    </row>
    <row r="13" spans="1:16" s="185" customFormat="1" ht="4.5" customHeight="1" x14ac:dyDescent="0.3">
      <c r="A13" s="192"/>
      <c r="B13" s="193"/>
      <c r="C13" s="193" t="str">
        <f>IFERROR(IF(VLOOKUP(A13,TableHandbook[],3,FALSE)=0,"",VLOOKUP(A13,TableHandbook[],3,FALSE)),"")</f>
        <v/>
      </c>
      <c r="D13" s="194"/>
      <c r="E13" s="193"/>
      <c r="F13" s="195"/>
      <c r="G13" s="193"/>
      <c r="H13" s="196"/>
      <c r="I13" s="197"/>
      <c r="J13" s="197"/>
      <c r="K13" s="198"/>
      <c r="L13" s="103"/>
      <c r="M13" s="199"/>
      <c r="N13" s="184"/>
      <c r="O13" s="184"/>
      <c r="P13" s="184"/>
    </row>
    <row r="14" spans="1:16" s="185" customFormat="1" ht="20.149999999999999" customHeight="1" x14ac:dyDescent="0.3">
      <c r="A14" s="177" t="str">
        <f>IFERROR(IF(HLOOKUP($L$3,RangeUnitsets,M14,FALSE)=0,"",HLOOKUP($L$3,RangeUnitsets,M14,FALSE)),"")</f>
        <v/>
      </c>
      <c r="B14" s="200" t="str">
        <f>IFERROR(IF(VLOOKUP(A14,TableHandbook[],2,FALSE)=0,"",VLOOKUP(A14,TableHandbook[],2,FALSE)),"")</f>
        <v/>
      </c>
      <c r="C14" s="200" t="str">
        <f>IFERROR(IF(VLOOKUP(A14,TableHandbook[],3,FALSE)=0,"",VLOOKUP(A14,TableHandbook[],3,FALSE)),"")</f>
        <v/>
      </c>
      <c r="D14" s="179" t="str">
        <f>IFERROR(VLOOKUP(A14,TableHandbook[],4,FALSE),"")</f>
        <v/>
      </c>
      <c r="E14" s="178" t="str">
        <f>IF(A14="","",VLOOKUP($D$5,TableStudyPeriods[],4,FALSE))</f>
        <v/>
      </c>
      <c r="F14" s="180" t="str">
        <f>IFERROR(IF(VLOOKUP(A14,TableHandbook[],6,FALSE)=0,"",VLOOKUP(A14,TableHandbook[],6,FALSE)),"")</f>
        <v/>
      </c>
      <c r="G14" s="200" t="str">
        <f>IFERROR(IF(VLOOKUP(A14,TableHandbook[],5,FALSE)=0,"",VLOOKUP(A14,TableHandbook[],5,FALSE)),"")</f>
        <v/>
      </c>
      <c r="H14" s="201" t="str">
        <f>IFERROR(VLOOKUP($A14,TableHandbook[],7,FALSE),"")</f>
        <v/>
      </c>
      <c r="I14" s="200" t="str">
        <f>IFERROR(VLOOKUP($A14,TableHandbook[],8,FALSE),"")</f>
        <v/>
      </c>
      <c r="J14" s="200" t="str">
        <f>IFERROR(VLOOKUP($A14,TableHandbook[],9,FALSE),"")</f>
        <v/>
      </c>
      <c r="K14" s="202" t="str">
        <f>IFERROR(VLOOKUP($A14,TableHandbook[],10,FALSE),"")</f>
        <v/>
      </c>
      <c r="L14" s="108"/>
      <c r="M14" s="183">
        <v>6</v>
      </c>
      <c r="N14" s="184"/>
      <c r="O14" s="184"/>
    </row>
    <row r="15" spans="1:16" s="207" customFormat="1" ht="20.149999999999999" customHeight="1" x14ac:dyDescent="0.3">
      <c r="A15" s="186" t="str">
        <f>IFERROR(IF(HLOOKUP($L$3,RangeUnitsets,M15,FALSE)=0,"",HLOOKUP($L$3,RangeUnitsets,M15,FALSE)),"")</f>
        <v/>
      </c>
      <c r="B15" s="203" t="str">
        <f>IFERROR(IF(VLOOKUP(A15,TableHandbook[],2,FALSE)=0,"",VLOOKUP(A15,TableHandbook[],2,FALSE)),"")</f>
        <v/>
      </c>
      <c r="C15" s="203" t="str">
        <f>IFERROR(IF(VLOOKUP(A15,TableHandbook[],3,FALSE)=0,"",VLOOKUP(A15,TableHandbook[],3,FALSE)),"")</f>
        <v/>
      </c>
      <c r="D15" s="188" t="str">
        <f>IFERROR(VLOOKUP(A15,TableHandbook[],4,FALSE),"")</f>
        <v/>
      </c>
      <c r="E15" s="187" t="str">
        <f>IF(A15="","",E14)</f>
        <v/>
      </c>
      <c r="F15" s="189" t="str">
        <f>IFERROR(IF(VLOOKUP(A15,TableHandbook[],6,FALSE)=0,"",VLOOKUP(A15,TableHandbook[],6,FALSE)),"")</f>
        <v/>
      </c>
      <c r="G15" s="203" t="str">
        <f>IFERROR(IF(VLOOKUP(A15,TableHandbook[],5,FALSE)=0,"",VLOOKUP(A15,TableHandbook[],5,FALSE)),"")</f>
        <v/>
      </c>
      <c r="H15" s="204" t="str">
        <f>IFERROR(VLOOKUP($A15,TableHandbook[],7,FALSE),"")</f>
        <v/>
      </c>
      <c r="I15" s="203" t="str">
        <f>IFERROR(VLOOKUP($A15,TableHandbook[],8,FALSE),"")</f>
        <v/>
      </c>
      <c r="J15" s="203" t="str">
        <f>IFERROR(VLOOKUP($A15,TableHandbook[],9,FALSE),"")</f>
        <v/>
      </c>
      <c r="K15" s="205" t="str">
        <f>IFERROR(VLOOKUP($A15,TableHandbook[],10,FALSE),"")</f>
        <v/>
      </c>
      <c r="L15" s="109"/>
      <c r="M15" s="183">
        <v>7</v>
      </c>
      <c r="N15" s="206"/>
      <c r="O15" s="206"/>
    </row>
    <row r="16" spans="1:16" s="185" customFormat="1" ht="4.5" customHeight="1" x14ac:dyDescent="0.3">
      <c r="A16" s="192"/>
      <c r="B16" s="193"/>
      <c r="C16" s="193" t="str">
        <f>IFERROR(IF(VLOOKUP(A16,TableHandbook[],3,FALSE)=0,"",VLOOKUP(A16,TableHandbook[],3,FALSE)),"")</f>
        <v/>
      </c>
      <c r="D16" s="194"/>
      <c r="E16" s="193"/>
      <c r="F16" s="195"/>
      <c r="G16" s="193"/>
      <c r="H16" s="196"/>
      <c r="I16" s="197"/>
      <c r="J16" s="197"/>
      <c r="K16" s="198"/>
      <c r="L16" s="103"/>
      <c r="M16" s="199"/>
      <c r="N16" s="184"/>
      <c r="O16" s="184"/>
      <c r="P16" s="184"/>
    </row>
    <row r="17" spans="1:16" s="207" customFormat="1" ht="20.149999999999999" customHeight="1" x14ac:dyDescent="0.3">
      <c r="A17" s="177" t="str">
        <f>IFERROR(IF(HLOOKUP($L$3,RangeUnitsets,M17,FALSE)=0,"",HLOOKUP($L$3,RangeUnitsets,M17,FALSE)),"")</f>
        <v/>
      </c>
      <c r="B17" s="200" t="str">
        <f>IFERROR(IF(VLOOKUP(A17,TableHandbook[],2,FALSE)=0,"",VLOOKUP(A17,TableHandbook[],2,FALSE)),"")</f>
        <v/>
      </c>
      <c r="C17" s="200" t="str">
        <f>IFERROR(IF(VLOOKUP(A17,TableHandbook[],3,FALSE)=0,"",VLOOKUP(A17,TableHandbook[],3,FALSE)),"")</f>
        <v/>
      </c>
      <c r="D17" s="179" t="str">
        <f>IFERROR(VLOOKUP(A17,TableHandbook[],4,FALSE),"")</f>
        <v/>
      </c>
      <c r="E17" s="178" t="str">
        <f>IF(A17="","",VLOOKUP($D$5,TableStudyPeriods[],5,FALSE))</f>
        <v/>
      </c>
      <c r="F17" s="180" t="str">
        <f>IFERROR(IF(VLOOKUP(A17,TableHandbook[],6,FALSE)=0,"",VLOOKUP(A17,TableHandbook[],6,FALSE)),"")</f>
        <v/>
      </c>
      <c r="G17" s="200" t="str">
        <f>IFERROR(IF(VLOOKUP(A17,TableHandbook[],5,FALSE)=0,"",VLOOKUP(A17,TableHandbook[],5,FALSE)),"")</f>
        <v/>
      </c>
      <c r="H17" s="201" t="str">
        <f>IFERROR(VLOOKUP($A17,TableHandbook[],7,FALSE),"")</f>
        <v/>
      </c>
      <c r="I17" s="200" t="str">
        <f>IFERROR(VLOOKUP($A17,TableHandbook[],8,FALSE),"")</f>
        <v/>
      </c>
      <c r="J17" s="200" t="str">
        <f>IFERROR(VLOOKUP($A17,TableHandbook[],9,FALSE),"")</f>
        <v/>
      </c>
      <c r="K17" s="202" t="str">
        <f>IFERROR(VLOOKUP($A17,TableHandbook[],10,FALSE),"")</f>
        <v/>
      </c>
      <c r="L17" s="108"/>
      <c r="M17" s="183">
        <v>8</v>
      </c>
      <c r="N17" s="206"/>
      <c r="O17" s="206"/>
    </row>
    <row r="18" spans="1:16" s="207" customFormat="1" ht="20.149999999999999" customHeight="1" x14ac:dyDescent="0.3">
      <c r="A18" s="186" t="str">
        <f>IFERROR(IF(HLOOKUP($L$3,RangeUnitsets,M18,FALSE)=0,"",HLOOKUP($L$3,RangeUnitsets,M18,FALSE)),"")</f>
        <v/>
      </c>
      <c r="B18" s="203" t="str">
        <f>IFERROR(IF(VLOOKUP(A18,TableHandbook[],2,FALSE)=0,"",VLOOKUP(A18,TableHandbook[],2,FALSE)),"")</f>
        <v/>
      </c>
      <c r="C18" s="203" t="str">
        <f>IFERROR(IF(VLOOKUP(A18,TableHandbook[],3,FALSE)=0,"",VLOOKUP(A18,TableHandbook[],3,FALSE)),"")</f>
        <v/>
      </c>
      <c r="D18" s="208" t="str">
        <f>IFERROR(VLOOKUP(A18,TableHandbook[],4,FALSE),"")</f>
        <v/>
      </c>
      <c r="E18" s="203" t="str">
        <f>IF(A18="","",E17)</f>
        <v/>
      </c>
      <c r="F18" s="189" t="str">
        <f>IFERROR(IF(VLOOKUP(A18,TableHandbook[],6,FALSE)=0,"",VLOOKUP(A18,TableHandbook[],6,FALSE)),"")</f>
        <v/>
      </c>
      <c r="G18" s="203" t="str">
        <f>IFERROR(IF(VLOOKUP(A18,TableHandbook[],5,FALSE)=0,"",VLOOKUP(A18,TableHandbook[],5,FALSE)),"")</f>
        <v/>
      </c>
      <c r="H18" s="204" t="str">
        <f>IFERROR(VLOOKUP($A18,TableHandbook[],7,FALSE),"")</f>
        <v/>
      </c>
      <c r="I18" s="203" t="str">
        <f>IFERROR(VLOOKUP($A18,TableHandbook[],8,FALSE),"")</f>
        <v/>
      </c>
      <c r="J18" s="203" t="str">
        <f>IFERROR(VLOOKUP($A18,TableHandbook[],9,FALSE),"")</f>
        <v/>
      </c>
      <c r="K18" s="203" t="str">
        <f>IFERROR(VLOOKUP($A18,TableHandbook[],10,FALSE),"")</f>
        <v/>
      </c>
      <c r="L18" s="109"/>
      <c r="M18" s="183">
        <v>9</v>
      </c>
      <c r="N18" s="206"/>
      <c r="O18" s="206"/>
    </row>
    <row r="19" spans="1:16" s="173" customFormat="1" ht="23" x14ac:dyDescent="0.35">
      <c r="A19" s="166" t="s">
        <v>26</v>
      </c>
      <c r="B19" s="166"/>
      <c r="C19" s="166" t="s">
        <v>17</v>
      </c>
      <c r="D19" s="167" t="s">
        <v>3</v>
      </c>
      <c r="E19" s="174" t="s">
        <v>18</v>
      </c>
      <c r="F19" s="166" t="s">
        <v>19</v>
      </c>
      <c r="G19" s="166" t="s">
        <v>20</v>
      </c>
      <c r="H19" s="209"/>
      <c r="I19" s="166"/>
      <c r="J19" s="166"/>
      <c r="K19" s="210"/>
      <c r="L19" s="166" t="s">
        <v>25</v>
      </c>
      <c r="M19" s="172"/>
      <c r="N19" s="172"/>
      <c r="O19" s="172"/>
    </row>
    <row r="20" spans="1:16" s="185" customFormat="1" ht="20.149999999999999" customHeight="1" x14ac:dyDescent="0.3">
      <c r="A20" s="177" t="str">
        <f>IFERROR(IF(HLOOKUP($L$3,RangeUnitsets,M20,FALSE)=0,"",HLOOKUP($L$3,RangeUnitsets,M20,FALSE)),"")</f>
        <v/>
      </c>
      <c r="B20" s="200" t="str">
        <f>IFERROR(IF(VLOOKUP(A20,TableHandbook[],2,FALSE)=0,"",VLOOKUP(A20,TableHandbook[],2,FALSE)),"")</f>
        <v/>
      </c>
      <c r="C20" s="200" t="str">
        <f>IFERROR(IF(VLOOKUP(A20,TableHandbook[],3,FALSE)=0,"",VLOOKUP(A20,TableHandbook[],3,FALSE)),"")</f>
        <v/>
      </c>
      <c r="D20" s="211" t="str">
        <f>IFERROR(VLOOKUP(A20,TableHandbook[],4,FALSE),"")</f>
        <v/>
      </c>
      <c r="E20" s="200" t="str">
        <f>IF(A20="","",VLOOKUP($D$5,TableStudyPeriods[],2,FALSE))</f>
        <v/>
      </c>
      <c r="F20" s="180" t="str">
        <f>IFERROR(IF(VLOOKUP(A20,TableHandbook[],6,FALSE)=0,"",VLOOKUP(A20,TableHandbook[],6,FALSE)),"")</f>
        <v/>
      </c>
      <c r="G20" s="178" t="str">
        <f>IFERROR(IF(VLOOKUP(A20,TableHandbook[],5,FALSE)=0,"",VLOOKUP(A20,TableHandbook[],5,FALSE)),"")</f>
        <v/>
      </c>
      <c r="H20" s="181" t="str">
        <f>IFERROR(VLOOKUP($A20,TableHandbook[],7,FALSE),"")</f>
        <v/>
      </c>
      <c r="I20" s="178" t="str">
        <f>IFERROR(VLOOKUP($A20,TableHandbook[],8,FALSE),"")</f>
        <v/>
      </c>
      <c r="J20" s="178" t="str">
        <f>IFERROR(VLOOKUP($A20,TableHandbook[],9,FALSE),"")</f>
        <v/>
      </c>
      <c r="K20" s="182" t="str">
        <f>IFERROR(VLOOKUP($A20,TableHandbook[],10,FALSE),"")</f>
        <v/>
      </c>
      <c r="L20" s="110"/>
      <c r="M20" s="183">
        <v>10</v>
      </c>
      <c r="N20" s="184"/>
      <c r="O20" s="184"/>
    </row>
    <row r="21" spans="1:16" s="185" customFormat="1" ht="20.149999999999999" customHeight="1" x14ac:dyDescent="0.3">
      <c r="A21" s="186" t="str">
        <f>IFERROR(IF(HLOOKUP($L$3,RangeUnitsets,M21,FALSE)=0,"",HLOOKUP($L$3,RangeUnitsets,M21,FALSE)),"")</f>
        <v/>
      </c>
      <c r="B21" s="203" t="str">
        <f>IFERROR(IF(VLOOKUP(A21,TableHandbook[],2,FALSE)=0,"",VLOOKUP(A21,TableHandbook[],2,FALSE)),"")</f>
        <v/>
      </c>
      <c r="C21" s="203" t="str">
        <f>IFERROR(IF(VLOOKUP(A21,TableHandbook[],3,FALSE)=0,"",VLOOKUP(A21,TableHandbook[],3,FALSE)),"")</f>
        <v/>
      </c>
      <c r="D21" s="208" t="str">
        <f>IFERROR(VLOOKUP(A21,TableHandbook[],4,FALSE),"")</f>
        <v/>
      </c>
      <c r="E21" s="203" t="str">
        <f>IF(A21="","",E20)</f>
        <v/>
      </c>
      <c r="F21" s="189" t="str">
        <f>IFERROR(IF(VLOOKUP(A21,TableHandbook[],6,FALSE)=0,"",VLOOKUP(A21,TableHandbook[],6,FALSE)),"")</f>
        <v/>
      </c>
      <c r="G21" s="187" t="str">
        <f>IFERROR(IF(VLOOKUP(A21,TableHandbook[],5,FALSE)=0,"",VLOOKUP(A21,TableHandbook[],5,FALSE)),"")</f>
        <v/>
      </c>
      <c r="H21" s="190" t="str">
        <f>IFERROR(VLOOKUP($A21,TableHandbook[],7,FALSE),"")</f>
        <v/>
      </c>
      <c r="I21" s="187" t="str">
        <f>IFERROR(VLOOKUP($A21,TableHandbook[],8,FALSE),"")</f>
        <v/>
      </c>
      <c r="J21" s="187" t="str">
        <f>IFERROR(VLOOKUP($A21,TableHandbook[],9,FALSE),"")</f>
        <v/>
      </c>
      <c r="K21" s="191" t="str">
        <f>IFERROR(VLOOKUP($A21,TableHandbook[],10,FALSE),"")</f>
        <v/>
      </c>
      <c r="L21" s="111"/>
      <c r="M21" s="183">
        <v>11</v>
      </c>
      <c r="N21" s="184"/>
      <c r="O21" s="184"/>
    </row>
    <row r="22" spans="1:16" s="185" customFormat="1" ht="4.5" customHeight="1" x14ac:dyDescent="0.3">
      <c r="A22" s="192"/>
      <c r="B22" s="193"/>
      <c r="C22" s="193" t="str">
        <f>IFERROR(IF(VLOOKUP(A22,TableHandbook[],3,FALSE)=0,"",VLOOKUP(A22,TableHandbook[],3,FALSE)),"")</f>
        <v/>
      </c>
      <c r="D22" s="194"/>
      <c r="E22" s="193"/>
      <c r="F22" s="195"/>
      <c r="G22" s="193"/>
      <c r="H22" s="196"/>
      <c r="I22" s="197"/>
      <c r="J22" s="197"/>
      <c r="K22" s="198"/>
      <c r="L22" s="103"/>
      <c r="M22" s="199"/>
      <c r="N22" s="184"/>
      <c r="O22" s="184"/>
      <c r="P22" s="184"/>
    </row>
    <row r="23" spans="1:16" s="185" customFormat="1" ht="20.149999999999999" customHeight="1" x14ac:dyDescent="0.3">
      <c r="A23" s="177" t="str">
        <f>IFERROR(IF(HLOOKUP($L$3,RangeUnitsets,M23,FALSE)=0,"",HLOOKUP($L$3,RangeUnitsets,M23,FALSE)),"")</f>
        <v/>
      </c>
      <c r="B23" s="200" t="str">
        <f>IFERROR(IF(VLOOKUP(A23,TableHandbook[],2,FALSE)=0,"",VLOOKUP(A23,TableHandbook[],2,FALSE)),"")</f>
        <v/>
      </c>
      <c r="C23" s="200" t="str">
        <f>IFERROR(IF(VLOOKUP(A23,TableHandbook[],3,FALSE)=0,"",VLOOKUP(A23,TableHandbook[],3,FALSE)),"")</f>
        <v/>
      </c>
      <c r="D23" s="212" t="str">
        <f>IFERROR(VLOOKUP(A23,TableHandbook[],4,FALSE),"")</f>
        <v/>
      </c>
      <c r="E23" s="200" t="str">
        <f>IF(A23="","",VLOOKUP($D$5,TableStudyPeriods[],3,FALSE))</f>
        <v/>
      </c>
      <c r="F23" s="180" t="str">
        <f>IFERROR(IF(VLOOKUP(A23,TableHandbook[],6,FALSE)=0,"",VLOOKUP(A23,TableHandbook[],6,FALSE)),"")</f>
        <v/>
      </c>
      <c r="G23" s="178" t="str">
        <f>IFERROR(IF(VLOOKUP(A23,TableHandbook[],5,FALSE)=0,"",VLOOKUP(A23,TableHandbook[],5,FALSE)),"")</f>
        <v/>
      </c>
      <c r="H23" s="181" t="str">
        <f>IFERROR(VLOOKUP($A23,TableHandbook[],7,FALSE),"")</f>
        <v/>
      </c>
      <c r="I23" s="178" t="str">
        <f>IFERROR(VLOOKUP($A23,TableHandbook[],8,FALSE),"")</f>
        <v/>
      </c>
      <c r="J23" s="178" t="str">
        <f>IFERROR(VLOOKUP($A23,TableHandbook[],9,FALSE),"")</f>
        <v/>
      </c>
      <c r="K23" s="182" t="str">
        <f>IFERROR(VLOOKUP($A23,TableHandbook[],10,FALSE),"")</f>
        <v/>
      </c>
      <c r="L23" s="110"/>
      <c r="M23" s="183">
        <v>12</v>
      </c>
      <c r="N23" s="184"/>
      <c r="O23" s="184"/>
    </row>
    <row r="24" spans="1:16" s="185" customFormat="1" ht="20.149999999999999" customHeight="1" x14ac:dyDescent="0.3">
      <c r="A24" s="186" t="str">
        <f>IFERROR(IF(HLOOKUP($L$3,RangeUnitsets,M24,FALSE)=0,"",HLOOKUP($L$3,RangeUnitsets,M24,FALSE)),"")</f>
        <v/>
      </c>
      <c r="B24" s="203" t="str">
        <f>IFERROR(IF(VLOOKUP(A24,TableHandbook[],2,FALSE)=0,"",VLOOKUP(A24,TableHandbook[],2,FALSE)),"")</f>
        <v/>
      </c>
      <c r="C24" s="203" t="str">
        <f>IFERROR(IF(VLOOKUP(A24,TableHandbook[],3,FALSE)=0,"",VLOOKUP(A24,TableHandbook[],3,FALSE)),"")</f>
        <v/>
      </c>
      <c r="D24" s="208" t="str">
        <f>IFERROR(VLOOKUP(A24,TableHandbook[],4,FALSE),"")</f>
        <v/>
      </c>
      <c r="E24" s="203" t="str">
        <f>IF(A24="","",E23)</f>
        <v/>
      </c>
      <c r="F24" s="189" t="str">
        <f>IFERROR(IF(VLOOKUP(A24,TableHandbook[],6,FALSE)=0,"",VLOOKUP(A24,TableHandbook[],6,FALSE)),"")</f>
        <v/>
      </c>
      <c r="G24" s="187" t="str">
        <f>IFERROR(IF(VLOOKUP(A24,TableHandbook[],5,FALSE)=0,"",VLOOKUP(A24,TableHandbook[],5,FALSE)),"")</f>
        <v/>
      </c>
      <c r="H24" s="190" t="str">
        <f>IFERROR(VLOOKUP($A24,TableHandbook[],7,FALSE),"")</f>
        <v/>
      </c>
      <c r="I24" s="187" t="str">
        <f>IFERROR(VLOOKUP($A24,TableHandbook[],8,FALSE),"")</f>
        <v/>
      </c>
      <c r="J24" s="187" t="str">
        <f>IFERROR(VLOOKUP($A24,TableHandbook[],9,FALSE),"")</f>
        <v/>
      </c>
      <c r="K24" s="191" t="str">
        <f>IFERROR(VLOOKUP($A24,TableHandbook[],10,FALSE),"")</f>
        <v/>
      </c>
      <c r="L24" s="111"/>
      <c r="M24" s="183">
        <v>13</v>
      </c>
      <c r="N24" s="184"/>
      <c r="O24" s="184"/>
    </row>
    <row r="25" spans="1:16" s="217" customFormat="1" ht="13.9" customHeight="1" x14ac:dyDescent="0.3">
      <c r="A25" s="213"/>
      <c r="B25" s="213"/>
      <c r="C25" s="213"/>
      <c r="D25" s="214"/>
      <c r="E25" s="214"/>
      <c r="F25" s="215"/>
      <c r="G25" s="215"/>
      <c r="H25" s="215"/>
      <c r="I25" s="215"/>
      <c r="J25" s="215"/>
      <c r="K25" s="215"/>
      <c r="L25" s="215"/>
      <c r="M25" s="216"/>
      <c r="N25" s="216"/>
      <c r="O25" s="216"/>
    </row>
    <row r="26" spans="1:16" ht="15" customHeight="1" x14ac:dyDescent="0.35">
      <c r="A26" s="218" t="s">
        <v>27</v>
      </c>
      <c r="B26" s="218"/>
      <c r="C26" s="218"/>
      <c r="D26" s="219"/>
      <c r="E26" s="220"/>
      <c r="F26" s="220"/>
      <c r="G26" s="220"/>
      <c r="H26" s="221" t="s">
        <v>200</v>
      </c>
      <c r="I26" s="222"/>
      <c r="J26" s="223"/>
      <c r="K26" s="224"/>
      <c r="L26" s="225" t="str">
        <f>VLOOKUP($D$4,TableCourses[],2,FALSE)</f>
        <v>OM-URPLAN2</v>
      </c>
    </row>
    <row r="27" spans="1:16" s="231" customFormat="1" x14ac:dyDescent="0.35">
      <c r="A27" s="226"/>
      <c r="B27" s="226"/>
      <c r="C27" s="226" t="s">
        <v>17</v>
      </c>
      <c r="D27" s="218" t="s">
        <v>3</v>
      </c>
      <c r="E27" s="226"/>
      <c r="F27" s="226" t="s">
        <v>28</v>
      </c>
      <c r="G27" s="226" t="s">
        <v>20</v>
      </c>
      <c r="H27" s="227" t="s">
        <v>21</v>
      </c>
      <c r="I27" s="228" t="s">
        <v>22</v>
      </c>
      <c r="J27" s="228" t="s">
        <v>23</v>
      </c>
      <c r="K27" s="229" t="s">
        <v>24</v>
      </c>
      <c r="L27" s="230" t="s">
        <v>25</v>
      </c>
    </row>
    <row r="28" spans="1:16" ht="18" customHeight="1" x14ac:dyDescent="0.35">
      <c r="A28" s="232" t="str">
        <f t="shared" ref="A28:A36" si="0">IFERROR(IF(HLOOKUP($L$26,RangeOptions,$M28,FALSE)=0,"",HLOOKUP($L$26,RangeOptions,$M28,FALSE)),"")</f>
        <v>PRJM6013</v>
      </c>
      <c r="B28" s="233">
        <f>IFERROR(IF(VLOOKUP(A28,TableHandbook[],2,FALSE)=0,"",VLOOKUP(A28,TableHandbook[],2,FALSE)),"")</f>
        <v>2</v>
      </c>
      <c r="C28" s="233" t="str">
        <f>IFERROR(IF(VLOOKUP(A28,TableHandbook[],3,FALSE)=0,"",VLOOKUP(A28,TableHandbook[],3,FALSE)),"")</f>
        <v>PRM500</v>
      </c>
      <c r="D28" s="234" t="str">
        <f>IFERROR(VLOOKUP(A28,TableHandbook[],4,FALSE),"")</f>
        <v>Project Management Overview</v>
      </c>
      <c r="E28" s="235"/>
      <c r="F28" s="235" t="str">
        <f>IFERROR(IF(VLOOKUP(A28,TableHandbook[],6,FALSE)=0,"",VLOOKUP(A28,TableHandbook[],6,FALSE)),"")</f>
        <v>None</v>
      </c>
      <c r="G28" s="235">
        <f>IFERROR(IF(VLOOKUP(A28,TableHandbook[],5,FALSE)=0,"",VLOOKUP(A28,TableHandbook[],5,FALSE)),"")</f>
        <v>25</v>
      </c>
      <c r="H28" s="236" t="str">
        <f>IFERROR(VLOOKUP($A28,TableHandbook[],7,FALSE),"")</f>
        <v>Y</v>
      </c>
      <c r="I28" s="235" t="str">
        <f>IFERROR(VLOOKUP($A28,TableHandbook[],8,FALSE),"")</f>
        <v/>
      </c>
      <c r="J28" s="235" t="str">
        <f>IFERROR(VLOOKUP($A28,TableHandbook[],9,FALSE),"")</f>
        <v>Y</v>
      </c>
      <c r="K28" s="237" t="str">
        <f>IFERROR(VLOOKUP($A28,TableHandbook[],10,FALSE),"")</f>
        <v/>
      </c>
      <c r="L28" s="114"/>
      <c r="M28" s="183">
        <v>2</v>
      </c>
    </row>
    <row r="29" spans="1:16" ht="18" customHeight="1" x14ac:dyDescent="0.35">
      <c r="A29" s="232" t="str">
        <f t="shared" si="0"/>
        <v>PRJM6018</v>
      </c>
      <c r="B29" s="233">
        <f>IFERROR(IF(VLOOKUP(A29,TableHandbook[],2,FALSE)=0,"",VLOOKUP(A29,TableHandbook[],2,FALSE)),"")</f>
        <v>1</v>
      </c>
      <c r="C29" s="233" t="str">
        <f>IFERROR(IF(VLOOKUP(A29,TableHandbook[],3,FALSE)=0,"",VLOOKUP(A29,TableHandbook[],3,FALSE)),"")</f>
        <v>PRM540</v>
      </c>
      <c r="D29" s="234" t="str">
        <f>IFERROR(VLOOKUP(A29,TableHandbook[],4,FALSE),"")</f>
        <v>Project Procurement Management</v>
      </c>
      <c r="E29" s="235"/>
      <c r="F29" s="235" t="str">
        <f>IFERROR(IF(VLOOKUP(A29,TableHandbook[],6,FALSE)=0,"",VLOOKUP(A29,TableHandbook[],6,FALSE)),"")</f>
        <v>None</v>
      </c>
      <c r="G29" s="235">
        <f>IFERROR(IF(VLOOKUP(A29,TableHandbook[],5,FALSE)=0,"",VLOOKUP(A29,TableHandbook[],5,FALSE)),"")</f>
        <v>25</v>
      </c>
      <c r="H29" s="236" t="str">
        <f>IFERROR(VLOOKUP($A29,TableHandbook[],7,FALSE),"")</f>
        <v>Y</v>
      </c>
      <c r="I29" s="235" t="str">
        <f>IFERROR(VLOOKUP($A29,TableHandbook[],8,FALSE),"")</f>
        <v/>
      </c>
      <c r="J29" s="235" t="str">
        <f>IFERROR(VLOOKUP($A29,TableHandbook[],9,FALSE),"")</f>
        <v>Y</v>
      </c>
      <c r="K29" s="237" t="str">
        <f>IFERROR(VLOOKUP($A29,TableHandbook[],10,FALSE),"")</f>
        <v/>
      </c>
      <c r="L29" s="114"/>
      <c r="M29" s="183">
        <v>3</v>
      </c>
    </row>
    <row r="30" spans="1:16" ht="18" customHeight="1" x14ac:dyDescent="0.35">
      <c r="A30" s="232" t="str">
        <f t="shared" si="0"/>
        <v>PRJM6020</v>
      </c>
      <c r="B30" s="233">
        <f>IFERROR(IF(VLOOKUP(A30,TableHandbook[],2,FALSE)=0,"",VLOOKUP(A30,TableHandbook[],2,FALSE)),"")</f>
        <v>1</v>
      </c>
      <c r="C30" s="233" t="str">
        <f>IFERROR(IF(VLOOKUP(A30,TableHandbook[],3,FALSE)=0,"",VLOOKUP(A30,TableHandbook[],3,FALSE)),"")</f>
        <v>PRM550</v>
      </c>
      <c r="D30" s="234" t="str">
        <f>IFERROR(VLOOKUP(A30,TableHandbook[],4,FALSE),"")</f>
        <v>Project Risk Management</v>
      </c>
      <c r="E30" s="235"/>
      <c r="F30" s="235" t="str">
        <f>IFERROR(IF(VLOOKUP(A30,TableHandbook[],6,FALSE)=0,"",VLOOKUP(A30,TableHandbook[],6,FALSE)),"")</f>
        <v>None</v>
      </c>
      <c r="G30" s="235">
        <f>IFERROR(IF(VLOOKUP(A30,TableHandbook[],5,FALSE)=0,"",VLOOKUP(A30,TableHandbook[],5,FALSE)),"")</f>
        <v>25</v>
      </c>
      <c r="H30" s="236" t="str">
        <f>IFERROR(VLOOKUP($A30,TableHandbook[],7,FALSE),"")</f>
        <v/>
      </c>
      <c r="I30" s="235" t="str">
        <f>IFERROR(VLOOKUP($A30,TableHandbook[],8,FALSE),"")</f>
        <v>Y</v>
      </c>
      <c r="J30" s="235" t="str">
        <f>IFERROR(VLOOKUP($A30,TableHandbook[],9,FALSE),"")</f>
        <v/>
      </c>
      <c r="K30" s="237" t="str">
        <f>IFERROR(VLOOKUP($A30,TableHandbook[],10,FALSE),"")</f>
        <v>Y</v>
      </c>
      <c r="L30" s="114"/>
      <c r="M30" s="183">
        <v>4</v>
      </c>
    </row>
    <row r="31" spans="1:16" ht="18" customHeight="1" x14ac:dyDescent="0.35">
      <c r="A31" s="232" t="str">
        <f t="shared" si="0"/>
        <v>PRJM6021</v>
      </c>
      <c r="B31" s="233">
        <f>IFERROR(IF(VLOOKUP(A31,TableHandbook[],2,FALSE)=0,"",VLOOKUP(A31,TableHandbook[],2,FALSE)),"")</f>
        <v>2</v>
      </c>
      <c r="C31" s="233" t="str">
        <f>IFERROR(IF(VLOOKUP(A31,TableHandbook[],3,FALSE)=0,"",VLOOKUP(A31,TableHandbook[],3,FALSE)),"")</f>
        <v>PRM530</v>
      </c>
      <c r="D31" s="234" t="str">
        <f>IFERROR(VLOOKUP(A31,TableHandbook[],4,FALSE),"")</f>
        <v>Project Planning and Schedule Management</v>
      </c>
      <c r="E31" s="235"/>
      <c r="F31" s="235" t="str">
        <f>IFERROR(IF(VLOOKUP(A31,TableHandbook[],6,FALSE)=0,"",VLOOKUP(A31,TableHandbook[],6,FALSE)),"")</f>
        <v>None</v>
      </c>
      <c r="G31" s="235">
        <f>IFERROR(IF(VLOOKUP(A31,TableHandbook[],5,FALSE)=0,"",VLOOKUP(A31,TableHandbook[],5,FALSE)),"")</f>
        <v>25</v>
      </c>
      <c r="H31" s="236" t="str">
        <f>IFERROR(VLOOKUP($A31,TableHandbook[],7,FALSE),"")</f>
        <v/>
      </c>
      <c r="I31" s="235" t="str">
        <f>IFERROR(VLOOKUP($A31,TableHandbook[],8,FALSE),"")</f>
        <v>Y</v>
      </c>
      <c r="J31" s="235" t="str">
        <f>IFERROR(VLOOKUP($A31,TableHandbook[],9,FALSE),"")</f>
        <v/>
      </c>
      <c r="K31" s="237" t="str">
        <f>IFERROR(VLOOKUP($A31,TableHandbook[],10,FALSE),"")</f>
        <v>Y</v>
      </c>
      <c r="L31" s="114"/>
      <c r="M31" s="183">
        <v>5</v>
      </c>
    </row>
    <row r="32" spans="1:16" ht="18" customHeight="1" x14ac:dyDescent="0.35">
      <c r="A32" s="232" t="str">
        <f t="shared" si="0"/>
        <v>SUST5013</v>
      </c>
      <c r="B32" s="233">
        <f>IFERROR(IF(VLOOKUP(A32,TableHandbook[],2,FALSE)=0,"",VLOOKUP(A32,TableHandbook[],2,FALSE)),"")</f>
        <v>2</v>
      </c>
      <c r="C32" s="233" t="str">
        <f>IFERROR(IF(VLOOKUP(A32,TableHandbook[],3,FALSE)=0,"",VLOOKUP(A32,TableHandbook[],3,FALSE)),"")</f>
        <v>SCP543</v>
      </c>
      <c r="D32" s="234" t="str">
        <f>IFERROR(VLOOKUP(A32,TableHandbook[],4,FALSE),"")</f>
        <v>Future Cities</v>
      </c>
      <c r="E32" s="235"/>
      <c r="F32" s="235" t="str">
        <f>IFERROR(IF(VLOOKUP(A32,TableHandbook[],6,FALSE)=0,"",VLOOKUP(A32,TableHandbook[],6,FALSE)),"")</f>
        <v>None</v>
      </c>
      <c r="G32" s="235">
        <f>IFERROR(IF(VLOOKUP(A32,TableHandbook[],5,FALSE)=0,"",VLOOKUP(A32,TableHandbook[],5,FALSE)),"")</f>
        <v>25</v>
      </c>
      <c r="H32" s="236" t="str">
        <f>IFERROR(VLOOKUP($A32,TableHandbook[],7,FALSE),"")</f>
        <v/>
      </c>
      <c r="I32" s="235" t="str">
        <f>IFERROR(VLOOKUP($A32,TableHandbook[],8,FALSE),"")</f>
        <v>Y</v>
      </c>
      <c r="J32" s="235" t="str">
        <f>IFERROR(VLOOKUP($A32,TableHandbook[],9,FALSE),"")</f>
        <v/>
      </c>
      <c r="K32" s="237" t="str">
        <f>IFERROR(VLOOKUP($A32,TableHandbook[],10,FALSE),"")</f>
        <v>Y</v>
      </c>
      <c r="L32" s="114"/>
      <c r="M32" s="183">
        <v>6</v>
      </c>
    </row>
    <row r="33" spans="1:15" ht="18" customHeight="1" x14ac:dyDescent="0.35">
      <c r="A33" s="232" t="str">
        <f t="shared" si="0"/>
        <v>SUST5016</v>
      </c>
      <c r="B33" s="233">
        <f>IFERROR(IF(VLOOKUP(A33,TableHandbook[],2,FALSE)=0,"",VLOOKUP(A33,TableHandbook[],2,FALSE)),"")</f>
        <v>1</v>
      </c>
      <c r="C33" s="233" t="str">
        <f>IFERROR(IF(VLOOKUP(A33,TableHandbook[],3,FALSE)=0,"",VLOOKUP(A33,TableHandbook[],3,FALSE)),"")</f>
        <v>SCP547</v>
      </c>
      <c r="D33" s="234" t="str">
        <f>IFERROR(VLOOKUP(A33,TableHandbook[],4,FALSE),"")</f>
        <v>Climate Policy</v>
      </c>
      <c r="E33" s="235"/>
      <c r="F33" s="235" t="str">
        <f>IFERROR(IF(VLOOKUP(A33,TableHandbook[],6,FALSE)=0,"",VLOOKUP(A33,TableHandbook[],6,FALSE)),"")</f>
        <v>None</v>
      </c>
      <c r="G33" s="235">
        <f>IFERROR(IF(VLOOKUP(A33,TableHandbook[],5,FALSE)=0,"",VLOOKUP(A33,TableHandbook[],5,FALSE)),"")</f>
        <v>25</v>
      </c>
      <c r="H33" s="236" t="str">
        <f>IFERROR(VLOOKUP($A33,TableHandbook[],7,FALSE),"")</f>
        <v>Y</v>
      </c>
      <c r="I33" s="235" t="str">
        <f>IFERROR(VLOOKUP($A33,TableHandbook[],8,FALSE),"")</f>
        <v/>
      </c>
      <c r="J33" s="235" t="str">
        <f>IFERROR(VLOOKUP($A33,TableHandbook[],9,FALSE),"")</f>
        <v>Y</v>
      </c>
      <c r="K33" s="237" t="str">
        <f>IFERROR(VLOOKUP($A33,TableHandbook[],10,FALSE),"")</f>
        <v/>
      </c>
      <c r="L33" s="114"/>
      <c r="M33" s="183">
        <v>7</v>
      </c>
    </row>
    <row r="34" spans="1:15" ht="18" customHeight="1" x14ac:dyDescent="0.35">
      <c r="A34" s="232" t="str">
        <f t="shared" si="0"/>
        <v>SUST5019</v>
      </c>
      <c r="B34" s="233">
        <f>IFERROR(IF(VLOOKUP(A34,TableHandbook[],2,FALSE)=0,"",VLOOKUP(A34,TableHandbook[],2,FALSE)),"")</f>
        <v>2</v>
      </c>
      <c r="C34" s="233" t="str">
        <f>IFERROR(IF(VLOOKUP(A34,TableHandbook[],3,FALSE)=0,"",VLOOKUP(A34,TableHandbook[],3,FALSE)),"")</f>
        <v>SCP548</v>
      </c>
      <c r="D34" s="234" t="str">
        <f>IFERROR(VLOOKUP(A34,TableHandbook[],4,FALSE),"")</f>
        <v>People and Planet</v>
      </c>
      <c r="E34" s="235"/>
      <c r="F34" s="235" t="str">
        <f>IFERROR(IF(VLOOKUP(A34,TableHandbook[],6,FALSE)=0,"",VLOOKUP(A34,TableHandbook[],6,FALSE)),"")</f>
        <v>None</v>
      </c>
      <c r="G34" s="235">
        <f>IFERROR(IF(VLOOKUP(A34,TableHandbook[],5,FALSE)=0,"",VLOOKUP(A34,TableHandbook[],5,FALSE)),"")</f>
        <v>25</v>
      </c>
      <c r="H34" s="236" t="str">
        <f>IFERROR(VLOOKUP($A34,TableHandbook[],7,FALSE),"")</f>
        <v/>
      </c>
      <c r="I34" s="235" t="str">
        <f>IFERROR(VLOOKUP($A34,TableHandbook[],8,FALSE),"")</f>
        <v>Y</v>
      </c>
      <c r="J34" s="235" t="str">
        <f>IFERROR(VLOOKUP($A34,TableHandbook[],9,FALSE),"")</f>
        <v/>
      </c>
      <c r="K34" s="237" t="str">
        <f>IFERROR(VLOOKUP($A34,TableHandbook[],10,FALSE),"")</f>
        <v>Y</v>
      </c>
      <c r="L34" s="114"/>
      <c r="M34" s="183">
        <v>8</v>
      </c>
    </row>
    <row r="35" spans="1:15" ht="18" customHeight="1" x14ac:dyDescent="0.35">
      <c r="A35" s="232" t="str">
        <f t="shared" si="0"/>
        <v>SUST5021</v>
      </c>
      <c r="B35" s="233">
        <f>IFERROR(IF(VLOOKUP(A35,TableHandbook[],2,FALSE)=0,"",VLOOKUP(A35,TableHandbook[],2,FALSE)),"")</f>
        <v>1</v>
      </c>
      <c r="C35" s="233" t="str">
        <f>IFERROR(IF(VLOOKUP(A35,TableHandbook[],3,FALSE)=0,"",VLOOKUP(A35,TableHandbook[],3,FALSE)),"")</f>
        <v>SCP549</v>
      </c>
      <c r="D35" s="234" t="str">
        <f>IFERROR(VLOOKUP(A35,TableHandbook[],4,FALSE),"")</f>
        <v>Sustainability, Climate Change and Economics</v>
      </c>
      <c r="E35" s="235"/>
      <c r="F35" s="235" t="str">
        <f>IFERROR(IF(VLOOKUP(A35,TableHandbook[],6,FALSE)=0,"",VLOOKUP(A35,TableHandbook[],6,FALSE)),"")</f>
        <v>None</v>
      </c>
      <c r="G35" s="235">
        <f>IFERROR(IF(VLOOKUP(A35,TableHandbook[],5,FALSE)=0,"",VLOOKUP(A35,TableHandbook[],5,FALSE)),"")</f>
        <v>25</v>
      </c>
      <c r="H35" s="236" t="str">
        <f>IFERROR(VLOOKUP($A35,TableHandbook[],7,FALSE),"")</f>
        <v/>
      </c>
      <c r="I35" s="235" t="str">
        <f>IFERROR(VLOOKUP($A35,TableHandbook[],8,FALSE),"")</f>
        <v/>
      </c>
      <c r="J35" s="235" t="str">
        <f>IFERROR(VLOOKUP($A35,TableHandbook[],9,FALSE),"")</f>
        <v/>
      </c>
      <c r="K35" s="237" t="str">
        <f>IFERROR(VLOOKUP($A35,TableHandbook[],10,FALSE),"")</f>
        <v>Y</v>
      </c>
      <c r="L35" s="114"/>
      <c r="M35" s="183">
        <v>9</v>
      </c>
    </row>
    <row r="36" spans="1:15" ht="18" customHeight="1" x14ac:dyDescent="0.35">
      <c r="A36" s="232" t="str">
        <f t="shared" si="0"/>
        <v>SUST5025</v>
      </c>
      <c r="B36" s="233">
        <f>IFERROR(IF(VLOOKUP(A36,TableHandbook[],2,FALSE)=0,"",VLOOKUP(A36,TableHandbook[],2,FALSE)),"")</f>
        <v>1</v>
      </c>
      <c r="C36" s="233" t="str">
        <f>IFERROR(IF(VLOOKUP(A36,TableHandbook[],3,FALSE)=0,"",VLOOKUP(A36,TableHandbook[],3,FALSE)),"")</f>
        <v>SCP530</v>
      </c>
      <c r="D36" s="234" t="str">
        <f>IFERROR(VLOOKUP(A36,TableHandbook[],4,FALSE),"")</f>
        <v>Sustainable Waste Management</v>
      </c>
      <c r="E36" s="235"/>
      <c r="F36" s="235" t="str">
        <f>IFERROR(IF(VLOOKUP(A36,TableHandbook[],6,FALSE)=0,"",VLOOKUP(A36,TableHandbook[],6,FALSE)),"")</f>
        <v>None</v>
      </c>
      <c r="G36" s="235">
        <f>IFERROR(IF(VLOOKUP(A36,TableHandbook[],5,FALSE)=0,"",VLOOKUP(A36,TableHandbook[],5,FALSE)),"")</f>
        <v>25</v>
      </c>
      <c r="H36" s="236" t="str">
        <f>IFERROR(VLOOKUP($A36,TableHandbook[],7,FALSE),"")</f>
        <v>Y</v>
      </c>
      <c r="I36" s="235" t="str">
        <f>IFERROR(VLOOKUP($A36,TableHandbook[],8,FALSE),"")</f>
        <v/>
      </c>
      <c r="J36" s="235" t="str">
        <f>IFERROR(VLOOKUP($A36,TableHandbook[],9,FALSE),"")</f>
        <v>Y</v>
      </c>
      <c r="K36" s="237" t="str">
        <f>IFERROR(VLOOKUP($A36,TableHandbook[],10,FALSE),"")</f>
        <v/>
      </c>
      <c r="L36" s="114"/>
      <c r="M36" s="183">
        <v>10</v>
      </c>
    </row>
    <row r="37" spans="1:15" ht="18" customHeight="1" x14ac:dyDescent="0.35">
      <c r="A37" s="238"/>
      <c r="B37" s="238"/>
      <c r="C37" s="238"/>
      <c r="D37" s="238"/>
      <c r="E37" s="238"/>
      <c r="F37" s="238"/>
      <c r="G37" s="238"/>
      <c r="H37" s="238"/>
      <c r="I37" s="238"/>
      <c r="J37" s="238"/>
      <c r="K37" s="238"/>
      <c r="L37" s="238"/>
      <c r="M37" s="183">
        <v>12</v>
      </c>
    </row>
    <row r="38" spans="1:15" ht="32.25" customHeight="1" x14ac:dyDescent="0.35">
      <c r="A38" s="247" t="s">
        <v>29</v>
      </c>
      <c r="B38" s="247"/>
      <c r="C38" s="247"/>
      <c r="D38" s="247"/>
      <c r="E38" s="247"/>
      <c r="F38" s="247"/>
      <c r="G38" s="247"/>
      <c r="H38" s="247"/>
      <c r="I38" s="247"/>
      <c r="J38" s="247"/>
      <c r="K38" s="247"/>
      <c r="L38" s="247"/>
    </row>
    <row r="39" spans="1:15" s="240" customFormat="1" ht="25" customHeight="1" x14ac:dyDescent="0.45">
      <c r="A39" s="104" t="s">
        <v>30</v>
      </c>
      <c r="B39" s="104"/>
      <c r="C39" s="104"/>
      <c r="D39" s="105"/>
      <c r="E39" s="105"/>
      <c r="F39" s="105"/>
      <c r="G39" s="105"/>
      <c r="H39" s="105"/>
      <c r="I39" s="105"/>
      <c r="J39" s="105"/>
      <c r="K39" s="105"/>
      <c r="L39" s="105"/>
      <c r="M39" s="239"/>
      <c r="N39" s="239"/>
      <c r="O39" s="239"/>
    </row>
    <row r="40" spans="1:15" ht="15" customHeight="1" x14ac:dyDescent="0.35">
      <c r="A40" s="241" t="s">
        <v>31</v>
      </c>
      <c r="B40" s="241"/>
      <c r="C40" s="241"/>
      <c r="D40" s="241"/>
      <c r="E40" s="242"/>
      <c r="F40" s="215"/>
      <c r="G40" s="243"/>
      <c r="H40" s="243"/>
      <c r="I40" s="243"/>
      <c r="J40" s="243"/>
      <c r="K40" s="243"/>
      <c r="L40" s="243" t="s">
        <v>32</v>
      </c>
    </row>
  </sheetData>
  <sheetProtection algorithmName="SHA-512" hashValue="JbZ52dK16HY4/qPYLOq/r2hDKRbqLsSs+CYdD/9FQahW0dcurtKN2A8E7pjHCqMAYjj4PkBuy1B07JbXF4iL8g==" saltValue="XWqLx0aeBGIK+mOdHH5pdg==" spinCount="100000" sheet="1" objects="1" scenarios="1" formatCells="0"/>
  <mergeCells count="2">
    <mergeCell ref="A2:D2"/>
    <mergeCell ref="A38:L38"/>
  </mergeCells>
  <conditionalFormatting sqref="D4:D5">
    <cfRule type="containsText" dxfId="120" priority="6" operator="containsText" text="Choose">
      <formula>NOT(ISERROR(SEARCH("Choose",D4)))</formula>
    </cfRule>
  </conditionalFormatting>
  <conditionalFormatting sqref="A8:L24 A28:L36">
    <cfRule type="expression" dxfId="119" priority="1">
      <formula>$A8=""</formula>
    </cfRule>
  </conditionalFormatting>
  <dataValidations count="1">
    <dataValidation type="list" allowBlank="1" showInputMessage="1" showErrorMessage="1" sqref="L13 L10 L16 L22" xr:uid="{00000000-0002-0000-0000-000000000000}"/>
  </dataValidations>
  <hyperlinks>
    <hyperlink ref="A39:L39"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76" orientation="landscape" r:id="rId2"/>
  <rowBreaks count="1" manualBreakCount="1">
    <brk id="24"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Unitsets!$A$13:$A$17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6"/>
  <sheetViews>
    <sheetView showGridLines="0" topLeftCell="A2" zoomScaleNormal="100" workbookViewId="0">
      <selection activeCell="D5" sqref="D5"/>
    </sheetView>
  </sheetViews>
  <sheetFormatPr defaultColWidth="9" defaultRowHeight="14.5" x14ac:dyDescent="0.35"/>
  <cols>
    <col min="1" max="1" width="8.5" style="156" customWidth="1"/>
    <col min="2" max="2" width="3.25" style="156" customWidth="1"/>
    <col min="3" max="3" width="9.25" style="156" customWidth="1"/>
    <col min="4" max="4" width="47.83203125" style="148" bestFit="1" customWidth="1"/>
    <col min="5" max="5" width="8" style="148" customWidth="1"/>
    <col min="6" max="6" width="22.33203125" style="148" customWidth="1"/>
    <col min="7" max="7" width="5.58203125" style="148" customWidth="1"/>
    <col min="8" max="11" width="4.58203125" style="148" customWidth="1"/>
    <col min="12" max="12" width="15.58203125" style="148" customWidth="1"/>
    <col min="13" max="13" width="2.5" style="148" hidden="1" customWidth="1"/>
    <col min="14" max="16384" width="9" style="148"/>
  </cols>
  <sheetData>
    <row r="1" spans="1:16" hidden="1" x14ac:dyDescent="0.35">
      <c r="A1" s="144" t="s">
        <v>0</v>
      </c>
      <c r="B1" s="145" t="s">
        <v>1</v>
      </c>
      <c r="C1" s="145" t="s">
        <v>2</v>
      </c>
      <c r="D1" s="146" t="s">
        <v>3</v>
      </c>
      <c r="E1" s="146"/>
      <c r="F1" s="146" t="s">
        <v>4</v>
      </c>
      <c r="G1" s="146" t="s">
        <v>5</v>
      </c>
      <c r="H1" s="147" t="s">
        <v>6</v>
      </c>
      <c r="I1" s="146"/>
      <c r="J1" s="146"/>
      <c r="K1" s="146"/>
      <c r="L1" s="146" t="s">
        <v>7</v>
      </c>
    </row>
    <row r="2" spans="1:16" ht="40" customHeight="1" x14ac:dyDescent="0.35">
      <c r="A2" s="246" t="s">
        <v>8</v>
      </c>
      <c r="B2" s="246"/>
      <c r="C2" s="246"/>
      <c r="D2" s="246"/>
      <c r="E2" s="149"/>
      <c r="F2" s="149"/>
      <c r="G2" s="149"/>
      <c r="H2" s="149"/>
      <c r="I2" s="149"/>
      <c r="J2" s="149"/>
      <c r="K2" s="149"/>
      <c r="L2" s="149"/>
    </row>
    <row r="3" spans="1:16" ht="26" x14ac:dyDescent="0.35">
      <c r="A3" s="150"/>
      <c r="B3" s="151"/>
      <c r="C3" s="151"/>
      <c r="D3" s="152"/>
      <c r="E3" s="153" t="s">
        <v>199</v>
      </c>
      <c r="F3" s="151"/>
      <c r="G3" s="154"/>
      <c r="H3" s="154"/>
      <c r="I3" s="154"/>
      <c r="J3" s="154"/>
      <c r="K3" s="154"/>
      <c r="L3" s="155" t="e">
        <f>CONCATENATE(VLOOKUP(D4,TableCourses[],2,FALSE),VLOOKUP(D5,TableStudyPeriods[],2,FALSE))</f>
        <v>#N/A</v>
      </c>
    </row>
    <row r="4" spans="1:16" ht="20.149999999999999" customHeight="1" x14ac:dyDescent="0.35">
      <c r="B4" s="157"/>
      <c r="C4" s="158" t="s">
        <v>9</v>
      </c>
      <c r="D4" s="159" t="s">
        <v>10</v>
      </c>
      <c r="E4" s="160"/>
      <c r="F4" s="158" t="s">
        <v>11</v>
      </c>
      <c r="G4" s="160" t="str">
        <f>IFERROR(CONCATENATE(VLOOKUP(D4,TableCourses[],2,FALSE)," ",VLOOKUP(D4,TableCourses[],3,FALSE)),"")</f>
        <v>OC-DEVPLN v.2</v>
      </c>
      <c r="H4" s="160"/>
      <c r="I4" s="160"/>
      <c r="J4" s="160"/>
      <c r="K4" s="160"/>
      <c r="L4" s="161"/>
    </row>
    <row r="5" spans="1:16" ht="20.149999999999999" customHeight="1" x14ac:dyDescent="0.35">
      <c r="A5" s="162"/>
      <c r="B5" s="163"/>
      <c r="C5" s="158" t="s">
        <v>12</v>
      </c>
      <c r="D5" s="113" t="s">
        <v>201</v>
      </c>
      <c r="E5" s="164"/>
      <c r="F5" s="158" t="s">
        <v>14</v>
      </c>
      <c r="G5" s="160" t="str">
        <f>IFERROR(VLOOKUP($D$4,TableCourses[],4,FALSE),"")</f>
        <v>100 credit points required</v>
      </c>
      <c r="H5" s="165"/>
      <c r="I5" s="165"/>
      <c r="J5" s="165"/>
      <c r="K5" s="165"/>
      <c r="L5" s="165"/>
    </row>
    <row r="6" spans="1:16" s="173" customFormat="1" ht="14.15" customHeight="1" x14ac:dyDescent="0.35">
      <c r="A6" s="166"/>
      <c r="B6" s="166"/>
      <c r="C6" s="166"/>
      <c r="D6" s="167"/>
      <c r="E6" s="168"/>
      <c r="F6" s="166"/>
      <c r="G6" s="166"/>
      <c r="H6" s="169" t="s">
        <v>200</v>
      </c>
      <c r="I6" s="170"/>
      <c r="J6" s="170"/>
      <c r="K6" s="171"/>
      <c r="L6" s="168"/>
      <c r="M6" s="172"/>
      <c r="N6" s="172"/>
      <c r="O6" s="172"/>
    </row>
    <row r="7" spans="1:16" s="173" customFormat="1" ht="23" x14ac:dyDescent="0.35">
      <c r="A7" s="166" t="s">
        <v>15</v>
      </c>
      <c r="B7" s="166" t="s">
        <v>16</v>
      </c>
      <c r="C7" s="166" t="s">
        <v>17</v>
      </c>
      <c r="D7" s="168" t="s">
        <v>3</v>
      </c>
      <c r="E7" s="174" t="s">
        <v>18</v>
      </c>
      <c r="F7" s="166" t="s">
        <v>19</v>
      </c>
      <c r="G7" s="166" t="s">
        <v>20</v>
      </c>
      <c r="H7" s="175" t="s">
        <v>21</v>
      </c>
      <c r="I7" s="174" t="s">
        <v>22</v>
      </c>
      <c r="J7" s="174" t="s">
        <v>23</v>
      </c>
      <c r="K7" s="176" t="s">
        <v>24</v>
      </c>
      <c r="L7" s="166" t="s">
        <v>25</v>
      </c>
      <c r="M7" s="172"/>
      <c r="N7" s="172"/>
      <c r="O7" s="172"/>
    </row>
    <row r="8" spans="1:16" s="185" customFormat="1" ht="20.149999999999999" customHeight="1" x14ac:dyDescent="0.3">
      <c r="A8" s="177" t="str">
        <f>IFERROR(IF(HLOOKUP($L$3,RangeUnitsets,M8,FALSE)=0,"",HLOOKUP($L$3,RangeUnitsets,M8,FALSE)),"")</f>
        <v/>
      </c>
      <c r="B8" s="178" t="str">
        <f>IFERROR(IF(VLOOKUP(A8,TableHandbook[],2,FALSE)=0,"",VLOOKUP(A8,TableHandbook[],2,FALSE)),"")</f>
        <v/>
      </c>
      <c r="C8" s="178" t="str">
        <f>IFERROR(IF(VLOOKUP(A8,TableHandbook[],3,FALSE)=0,"",VLOOKUP(A8,TableHandbook[],3,FALSE)),"")</f>
        <v/>
      </c>
      <c r="D8" s="179" t="str">
        <f>IFERROR(VLOOKUP(A8,TableHandbook[],4,FALSE),"")</f>
        <v/>
      </c>
      <c r="E8" s="178" t="str">
        <f>IF(A8="","",VLOOKUP($D$5,TableStudyPeriods[],2,FALSE))</f>
        <v/>
      </c>
      <c r="F8" s="180" t="str">
        <f>IFERROR(IF(VLOOKUP(A8,TableHandbook[],6,FALSE)=0,"",VLOOKUP(A8,TableHandbook[],6,FALSE)),"")</f>
        <v/>
      </c>
      <c r="G8" s="178" t="str">
        <f>IFERROR(IF(VLOOKUP(A8,TableHandbook[],5,FALSE)=0,"",VLOOKUP(A8,TableHandbook[],5,FALSE)),"")</f>
        <v/>
      </c>
      <c r="H8" s="181" t="str">
        <f>IFERROR(VLOOKUP($A8,TableHandbook[],7,FALSE),"")</f>
        <v/>
      </c>
      <c r="I8" s="178" t="str">
        <f>IFERROR(VLOOKUP($A8,TableHandbook[],8,FALSE),"")</f>
        <v/>
      </c>
      <c r="J8" s="178" t="str">
        <f>IFERROR(VLOOKUP($A8,TableHandbook[],9,FALSE),"")</f>
        <v/>
      </c>
      <c r="K8" s="182" t="str">
        <f>IFERROR(VLOOKUP($A8,TableHandbook[],10,FALSE),"")</f>
        <v/>
      </c>
      <c r="L8" s="106"/>
      <c r="M8" s="183">
        <v>2</v>
      </c>
      <c r="N8" s="184"/>
      <c r="O8" s="184"/>
    </row>
    <row r="9" spans="1:16" s="185" customFormat="1" ht="20.149999999999999" customHeight="1" x14ac:dyDescent="0.3">
      <c r="A9" s="186" t="str">
        <f>IFERROR(IF(HLOOKUP($L$3,RangeUnitsets,M9,FALSE)=0,"",HLOOKUP($L$3,RangeUnitsets,M9,FALSE)),"")</f>
        <v/>
      </c>
      <c r="B9" s="187" t="str">
        <f>IFERROR(IF(VLOOKUP(A9,TableHandbook[],2,FALSE)=0,"",VLOOKUP(A9,TableHandbook[],2,FALSE)),"")</f>
        <v/>
      </c>
      <c r="C9" s="187" t="str">
        <f>IFERROR(IF(VLOOKUP(A9,TableHandbook[],3,FALSE)=0,"",VLOOKUP(A9,TableHandbook[],3,FALSE)),"")</f>
        <v/>
      </c>
      <c r="D9" s="188" t="str">
        <f>IFERROR(VLOOKUP(A9,TableHandbook[],4,FALSE),"")</f>
        <v/>
      </c>
      <c r="E9" s="187" t="str">
        <f>IF(A9="","",E8)</f>
        <v/>
      </c>
      <c r="F9" s="189" t="str">
        <f>IFERROR(IF(VLOOKUP(A9,TableHandbook[],6,FALSE)=0,"",VLOOKUP(A9,TableHandbook[],6,FALSE)),"")</f>
        <v/>
      </c>
      <c r="G9" s="187" t="str">
        <f>IFERROR(IF(VLOOKUP(A9,TableHandbook[],5,FALSE)=0,"",VLOOKUP(A9,TableHandbook[],5,FALSE)),"")</f>
        <v/>
      </c>
      <c r="H9" s="190" t="str">
        <f>IFERROR(VLOOKUP($A9,TableHandbook[],7,FALSE),"")</f>
        <v/>
      </c>
      <c r="I9" s="187" t="str">
        <f>IFERROR(VLOOKUP($A9,TableHandbook[],8,FALSE),"")</f>
        <v/>
      </c>
      <c r="J9" s="187" t="str">
        <f>IFERROR(VLOOKUP($A9,TableHandbook[],9,FALSE),"")</f>
        <v/>
      </c>
      <c r="K9" s="191" t="str">
        <f>IFERROR(VLOOKUP($A9,TableHandbook[],10,FALSE),"")</f>
        <v/>
      </c>
      <c r="L9" s="107"/>
      <c r="M9" s="183">
        <v>3</v>
      </c>
      <c r="N9" s="184"/>
      <c r="O9" s="184"/>
    </row>
    <row r="10" spans="1:16" s="185" customFormat="1" ht="4.5" customHeight="1" x14ac:dyDescent="0.3">
      <c r="A10" s="192"/>
      <c r="B10" s="193"/>
      <c r="C10" s="193" t="str">
        <f>IFERROR(IF(VLOOKUP(A10,TableHandbook[],3,FALSE)=0,"",VLOOKUP(A10,TableHandbook[],3,FALSE)),"")</f>
        <v/>
      </c>
      <c r="D10" s="194"/>
      <c r="E10" s="193"/>
      <c r="F10" s="195"/>
      <c r="G10" s="193"/>
      <c r="H10" s="196"/>
      <c r="I10" s="197"/>
      <c r="J10" s="197"/>
      <c r="K10" s="198"/>
      <c r="L10" s="103"/>
      <c r="M10" s="199"/>
      <c r="N10" s="184"/>
      <c r="O10" s="184"/>
      <c r="P10" s="184"/>
    </row>
    <row r="11" spans="1:16" s="185" customFormat="1" ht="20.149999999999999" customHeight="1" x14ac:dyDescent="0.3">
      <c r="A11" s="177" t="str">
        <f>IFERROR(IF(HLOOKUP($L$3,RangeUnitsets,M11,FALSE)=0,"",HLOOKUP($L$3,RangeUnitsets,M11,FALSE)),"")</f>
        <v/>
      </c>
      <c r="B11" s="178" t="str">
        <f>IFERROR(IF(VLOOKUP(A11,TableHandbook[],2,FALSE)=0,"",VLOOKUP(A11,TableHandbook[],2,FALSE)),"")</f>
        <v/>
      </c>
      <c r="C11" s="178" t="str">
        <f>IFERROR(IF(VLOOKUP(A11,TableHandbook[],3,FALSE)=0,"",VLOOKUP(A11,TableHandbook[],3,FALSE)),"")</f>
        <v/>
      </c>
      <c r="D11" s="179" t="str">
        <f>IFERROR(VLOOKUP(A11,TableHandbook[],4,FALSE),"")</f>
        <v/>
      </c>
      <c r="E11" s="178" t="str">
        <f>IF(A11="","",VLOOKUP($D$5,TableStudyPeriods[],3,FALSE))</f>
        <v/>
      </c>
      <c r="F11" s="180" t="str">
        <f>IFERROR(IF(VLOOKUP(A11,TableHandbook[],6,FALSE)=0,"",VLOOKUP(A11,TableHandbook[],6,FALSE)),"")</f>
        <v/>
      </c>
      <c r="G11" s="178" t="str">
        <f>IFERROR(IF(VLOOKUP(A11,TableHandbook[],5,FALSE)=0,"",VLOOKUP(A11,TableHandbook[],5,FALSE)),"")</f>
        <v/>
      </c>
      <c r="H11" s="181" t="str">
        <f>IFERROR(VLOOKUP($A11,TableHandbook[],7,FALSE),"")</f>
        <v/>
      </c>
      <c r="I11" s="178" t="str">
        <f>IFERROR(VLOOKUP($A11,TableHandbook[],8,FALSE),"")</f>
        <v/>
      </c>
      <c r="J11" s="178" t="str">
        <f>IFERROR(VLOOKUP($A11,TableHandbook[],9,FALSE),"")</f>
        <v/>
      </c>
      <c r="K11" s="182" t="str">
        <f>IFERROR(VLOOKUP($A11,TableHandbook[],10,FALSE),"")</f>
        <v/>
      </c>
      <c r="L11" s="108"/>
      <c r="M11" s="183">
        <v>4</v>
      </c>
      <c r="N11" s="184"/>
      <c r="O11" s="184"/>
    </row>
    <row r="12" spans="1:16" s="185" customFormat="1" ht="20.149999999999999" customHeight="1" x14ac:dyDescent="0.3">
      <c r="A12" s="186" t="str">
        <f>IFERROR(IF(HLOOKUP($L$3,RangeUnitsets,M12,FALSE)=0,"",HLOOKUP($L$3,RangeUnitsets,M12,FALSE)),"")</f>
        <v/>
      </c>
      <c r="B12" s="187" t="str">
        <f>IFERROR(IF(VLOOKUP(A12,TableHandbook[],2,FALSE)=0,"",VLOOKUP(A12,TableHandbook[],2,FALSE)),"")</f>
        <v/>
      </c>
      <c r="C12" s="187" t="str">
        <f>IFERROR(IF(VLOOKUP(A12,TableHandbook[],3,FALSE)=0,"",VLOOKUP(A12,TableHandbook[],3,FALSE)),"")</f>
        <v/>
      </c>
      <c r="D12" s="188" t="str">
        <f>IFERROR(VLOOKUP(A12,TableHandbook[],4,FALSE),"")</f>
        <v/>
      </c>
      <c r="E12" s="187" t="str">
        <f>IF(A12="","",E11)</f>
        <v/>
      </c>
      <c r="F12" s="189" t="str">
        <f>IFERROR(IF(VLOOKUP(A12,TableHandbook[],6,FALSE)=0,"",VLOOKUP(A12,TableHandbook[],6,FALSE)),"")</f>
        <v/>
      </c>
      <c r="G12" s="187" t="str">
        <f>IFERROR(IF(VLOOKUP(A12,TableHandbook[],5,FALSE)=0,"",VLOOKUP(A12,TableHandbook[],5,FALSE)),"")</f>
        <v/>
      </c>
      <c r="H12" s="190" t="str">
        <f>IFERROR(VLOOKUP($A12,TableHandbook[],7,FALSE),"")</f>
        <v/>
      </c>
      <c r="I12" s="187" t="str">
        <f>IFERROR(VLOOKUP($A12,TableHandbook[],8,FALSE),"")</f>
        <v/>
      </c>
      <c r="J12" s="187" t="str">
        <f>IFERROR(VLOOKUP($A12,TableHandbook[],9,FALSE),"")</f>
        <v/>
      </c>
      <c r="K12" s="191" t="str">
        <f>IFERROR(VLOOKUP($A12,TableHandbook[],10,FALSE),"")</f>
        <v/>
      </c>
      <c r="L12" s="107"/>
      <c r="M12" s="183">
        <v>5</v>
      </c>
      <c r="N12" s="184"/>
      <c r="O12" s="184"/>
    </row>
    <row r="13" spans="1:16" ht="18" customHeight="1" x14ac:dyDescent="0.35">
      <c r="A13" s="238"/>
      <c r="B13" s="238"/>
      <c r="C13" s="238"/>
      <c r="D13" s="238"/>
      <c r="E13" s="238"/>
      <c r="F13" s="238"/>
      <c r="G13" s="238"/>
      <c r="H13" s="238"/>
      <c r="I13" s="238"/>
      <c r="J13" s="238"/>
      <c r="K13" s="238"/>
      <c r="L13" s="238"/>
      <c r="M13" s="183">
        <v>12</v>
      </c>
    </row>
    <row r="14" spans="1:16" ht="32.25" customHeight="1" x14ac:dyDescent="0.35">
      <c r="A14" s="247" t="s">
        <v>29</v>
      </c>
      <c r="B14" s="247"/>
      <c r="C14" s="247"/>
      <c r="D14" s="247"/>
      <c r="E14" s="247"/>
      <c r="F14" s="247"/>
      <c r="G14" s="247"/>
      <c r="H14" s="247"/>
      <c r="I14" s="247"/>
      <c r="J14" s="247"/>
      <c r="K14" s="247"/>
      <c r="L14" s="247"/>
    </row>
    <row r="15" spans="1:16" s="240" customFormat="1" ht="25" customHeight="1" x14ac:dyDescent="0.45">
      <c r="A15" s="104" t="s">
        <v>30</v>
      </c>
      <c r="B15" s="104"/>
      <c r="C15" s="104"/>
      <c r="D15" s="105"/>
      <c r="E15" s="105"/>
      <c r="F15" s="105"/>
      <c r="G15" s="105"/>
      <c r="H15" s="105"/>
      <c r="I15" s="105"/>
      <c r="J15" s="105"/>
      <c r="K15" s="105"/>
      <c r="L15" s="105"/>
      <c r="M15" s="239"/>
      <c r="N15" s="239"/>
      <c r="O15" s="239"/>
    </row>
    <row r="16" spans="1:16" ht="15" customHeight="1" x14ac:dyDescent="0.35">
      <c r="A16" s="241" t="s">
        <v>31</v>
      </c>
      <c r="B16" s="241"/>
      <c r="C16" s="241"/>
      <c r="D16" s="241"/>
      <c r="E16" s="242"/>
      <c r="F16" s="215"/>
      <c r="G16" s="243"/>
      <c r="H16" s="243"/>
      <c r="I16" s="243"/>
      <c r="J16" s="243"/>
      <c r="K16" s="243"/>
      <c r="L16" s="243" t="s">
        <v>32</v>
      </c>
    </row>
  </sheetData>
  <sheetProtection formatCells="0"/>
  <mergeCells count="2">
    <mergeCell ref="A2:D2"/>
    <mergeCell ref="A14:L14"/>
  </mergeCells>
  <conditionalFormatting sqref="D4:D5">
    <cfRule type="containsText" dxfId="118" priority="2" operator="containsText" text="Choose">
      <formula>NOT(ISERROR(SEARCH("Choose",D4)))</formula>
    </cfRule>
  </conditionalFormatting>
  <conditionalFormatting sqref="A8:L12">
    <cfRule type="expression" dxfId="117" priority="1">
      <formula>$A8=""</formula>
    </cfRule>
  </conditionalFormatting>
  <dataValidations count="1">
    <dataValidation type="list" allowBlank="1" showInputMessage="1" showErrorMessage="1" sqref="L10" xr:uid="{00000000-0002-0000-0100-000000000000}"/>
  </dataValidations>
  <hyperlinks>
    <hyperlink ref="A15:L1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6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Unitsets!$A$13:$A$17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showGridLines="0" topLeftCell="A2" zoomScaleNormal="100" workbookViewId="0">
      <selection activeCell="D5" sqref="D5"/>
    </sheetView>
  </sheetViews>
  <sheetFormatPr defaultColWidth="9" defaultRowHeight="14.5" x14ac:dyDescent="0.35"/>
  <cols>
    <col min="1" max="1" width="8.5" style="156" customWidth="1"/>
    <col min="2" max="2" width="3.25" style="156" customWidth="1"/>
    <col min="3" max="3" width="9.25" style="156" customWidth="1"/>
    <col min="4" max="4" width="47.83203125" style="148" bestFit="1" customWidth="1"/>
    <col min="5" max="5" width="8" style="148" customWidth="1"/>
    <col min="6" max="6" width="22.33203125" style="148" customWidth="1"/>
    <col min="7" max="7" width="5.58203125" style="148" customWidth="1"/>
    <col min="8" max="11" width="4.58203125" style="148" customWidth="1"/>
    <col min="12" max="12" width="15.58203125" style="148" customWidth="1"/>
    <col min="13" max="13" width="2.5" style="148" hidden="1" customWidth="1"/>
    <col min="14" max="16384" width="9" style="148"/>
  </cols>
  <sheetData>
    <row r="1" spans="1:16" hidden="1" x14ac:dyDescent="0.35">
      <c r="A1" s="144" t="s">
        <v>0</v>
      </c>
      <c r="B1" s="145" t="s">
        <v>1</v>
      </c>
      <c r="C1" s="145" t="s">
        <v>2</v>
      </c>
      <c r="D1" s="146" t="s">
        <v>3</v>
      </c>
      <c r="E1" s="146"/>
      <c r="F1" s="146" t="s">
        <v>4</v>
      </c>
      <c r="G1" s="146" t="s">
        <v>5</v>
      </c>
      <c r="H1" s="147" t="s">
        <v>6</v>
      </c>
      <c r="I1" s="146"/>
      <c r="J1" s="146"/>
      <c r="K1" s="146"/>
      <c r="L1" s="146" t="s">
        <v>7</v>
      </c>
    </row>
    <row r="2" spans="1:16" ht="40" customHeight="1" x14ac:dyDescent="0.35">
      <c r="A2" s="246" t="s">
        <v>8</v>
      </c>
      <c r="B2" s="246"/>
      <c r="C2" s="246"/>
      <c r="D2" s="246"/>
      <c r="E2" s="149"/>
      <c r="F2" s="149"/>
      <c r="G2" s="149"/>
      <c r="H2" s="149"/>
      <c r="I2" s="149"/>
      <c r="J2" s="149"/>
      <c r="K2" s="149"/>
      <c r="L2" s="149"/>
    </row>
    <row r="3" spans="1:16" ht="26" x14ac:dyDescent="0.35">
      <c r="A3" s="150"/>
      <c r="B3" s="151"/>
      <c r="C3" s="151"/>
      <c r="D3" s="152"/>
      <c r="E3" s="153" t="s">
        <v>199</v>
      </c>
      <c r="F3" s="151"/>
      <c r="G3" s="154"/>
      <c r="H3" s="154"/>
      <c r="I3" s="154"/>
      <c r="J3" s="154"/>
      <c r="K3" s="154"/>
      <c r="L3" s="155" t="e">
        <f>CONCATENATE(VLOOKUP(D4,TableCourses[],2,FALSE),VLOOKUP(D5,TableStudyPeriods[],2,FALSE))</f>
        <v>#N/A</v>
      </c>
    </row>
    <row r="4" spans="1:16" ht="20.149999999999999" customHeight="1" x14ac:dyDescent="0.35">
      <c r="B4" s="157"/>
      <c r="C4" s="158" t="s">
        <v>9</v>
      </c>
      <c r="D4" s="159" t="s">
        <v>85</v>
      </c>
      <c r="E4" s="160"/>
      <c r="F4" s="158" t="s">
        <v>11</v>
      </c>
      <c r="G4" s="160" t="str">
        <f>IFERROR(CONCATENATE(VLOOKUP(D4,TableCourses[],2,FALSE)," ",VLOOKUP(D4,TableCourses[],3,FALSE)),"")</f>
        <v>OC-GEOG1 v.1</v>
      </c>
      <c r="H4" s="160"/>
      <c r="I4" s="160"/>
      <c r="J4" s="160"/>
      <c r="K4" s="160"/>
      <c r="L4" s="161"/>
    </row>
    <row r="5" spans="1:16" ht="20.149999999999999" customHeight="1" x14ac:dyDescent="0.35">
      <c r="A5" s="162"/>
      <c r="B5" s="163"/>
      <c r="C5" s="158" t="s">
        <v>12</v>
      </c>
      <c r="D5" s="113" t="s">
        <v>201</v>
      </c>
      <c r="E5" s="164"/>
      <c r="F5" s="158" t="s">
        <v>14</v>
      </c>
      <c r="G5" s="160" t="str">
        <f>IFERROR(VLOOKUP($D$4,TableCourses[],4,FALSE),"")</f>
        <v>100 credit points required</v>
      </c>
      <c r="H5" s="165"/>
      <c r="I5" s="165"/>
      <c r="J5" s="165"/>
      <c r="K5" s="165"/>
      <c r="L5" s="165"/>
    </row>
    <row r="6" spans="1:16" s="173" customFormat="1" ht="14.15" customHeight="1" x14ac:dyDescent="0.35">
      <c r="A6" s="166"/>
      <c r="B6" s="166"/>
      <c r="C6" s="166"/>
      <c r="D6" s="167"/>
      <c r="E6" s="168"/>
      <c r="F6" s="166"/>
      <c r="G6" s="166"/>
      <c r="H6" s="169" t="s">
        <v>200</v>
      </c>
      <c r="I6" s="170"/>
      <c r="J6" s="170"/>
      <c r="K6" s="171"/>
      <c r="L6" s="168"/>
      <c r="M6" s="172"/>
      <c r="N6" s="172"/>
      <c r="O6" s="172"/>
    </row>
    <row r="7" spans="1:16" s="173" customFormat="1" ht="23" x14ac:dyDescent="0.35">
      <c r="A7" s="166" t="s">
        <v>15</v>
      </c>
      <c r="B7" s="166" t="s">
        <v>16</v>
      </c>
      <c r="C7" s="166" t="s">
        <v>17</v>
      </c>
      <c r="D7" s="168" t="s">
        <v>3</v>
      </c>
      <c r="E7" s="174" t="s">
        <v>18</v>
      </c>
      <c r="F7" s="166" t="s">
        <v>19</v>
      </c>
      <c r="G7" s="166" t="s">
        <v>20</v>
      </c>
      <c r="H7" s="175" t="s">
        <v>21</v>
      </c>
      <c r="I7" s="174" t="s">
        <v>22</v>
      </c>
      <c r="J7" s="174" t="s">
        <v>23</v>
      </c>
      <c r="K7" s="176" t="s">
        <v>24</v>
      </c>
      <c r="L7" s="166" t="s">
        <v>25</v>
      </c>
      <c r="M7" s="172"/>
      <c r="N7" s="172"/>
      <c r="O7" s="172"/>
    </row>
    <row r="8" spans="1:16" s="185" customFormat="1" ht="20.149999999999999" customHeight="1" x14ac:dyDescent="0.3">
      <c r="A8" s="177" t="str">
        <f>IFERROR(IF(HLOOKUP($L$3,RangeUnitsets,M8,FALSE)=0,"",HLOOKUP($L$3,RangeUnitsets,M8,FALSE)),"")</f>
        <v/>
      </c>
      <c r="B8" s="178" t="str">
        <f>IFERROR(IF(VLOOKUP(A8,TableHandbook[],2,FALSE)=0,"",VLOOKUP(A8,TableHandbook[],2,FALSE)),"")</f>
        <v/>
      </c>
      <c r="C8" s="178" t="str">
        <f>IFERROR(IF(VLOOKUP(A8,TableHandbook[],3,FALSE)=0,"",VLOOKUP(A8,TableHandbook[],3,FALSE)),"")</f>
        <v/>
      </c>
      <c r="D8" s="179" t="str">
        <f>IFERROR(VLOOKUP(A8,TableHandbook[],4,FALSE),"")</f>
        <v/>
      </c>
      <c r="E8" s="178" t="str">
        <f>IF(A8="","",VLOOKUP($D$5,TableStudyPeriods[],2,FALSE))</f>
        <v/>
      </c>
      <c r="F8" s="180" t="str">
        <f>IFERROR(IF(VLOOKUP(A8,TableHandbook[],6,FALSE)=0,"",VLOOKUP(A8,TableHandbook[],6,FALSE)),"")</f>
        <v/>
      </c>
      <c r="G8" s="178" t="str">
        <f>IFERROR(IF(VLOOKUP(A8,TableHandbook[],5,FALSE)=0,"",VLOOKUP(A8,TableHandbook[],5,FALSE)),"")</f>
        <v/>
      </c>
      <c r="H8" s="181" t="str">
        <f>IFERROR(VLOOKUP($A8,TableHandbook[],7,FALSE),"")</f>
        <v/>
      </c>
      <c r="I8" s="178" t="str">
        <f>IFERROR(VLOOKUP($A8,TableHandbook[],8,FALSE),"")</f>
        <v/>
      </c>
      <c r="J8" s="178" t="str">
        <f>IFERROR(VLOOKUP($A8,TableHandbook[],9,FALSE),"")</f>
        <v/>
      </c>
      <c r="K8" s="182" t="str">
        <f>IFERROR(VLOOKUP($A8,TableHandbook[],10,FALSE),"")</f>
        <v/>
      </c>
      <c r="L8" s="106"/>
      <c r="M8" s="183">
        <v>2</v>
      </c>
      <c r="N8" s="184"/>
      <c r="O8" s="184"/>
    </row>
    <row r="9" spans="1:16" s="185" customFormat="1" ht="20.149999999999999" customHeight="1" x14ac:dyDescent="0.3">
      <c r="A9" s="186" t="str">
        <f>IFERROR(IF(HLOOKUP($L$3,RangeUnitsets,M9,FALSE)=0,"",HLOOKUP($L$3,RangeUnitsets,M9,FALSE)),"")</f>
        <v/>
      </c>
      <c r="B9" s="187" t="str">
        <f>IFERROR(IF(VLOOKUP(A9,TableHandbook[],2,FALSE)=0,"",VLOOKUP(A9,TableHandbook[],2,FALSE)),"")</f>
        <v/>
      </c>
      <c r="C9" s="187" t="str">
        <f>IFERROR(IF(VLOOKUP(A9,TableHandbook[],3,FALSE)=0,"",VLOOKUP(A9,TableHandbook[],3,FALSE)),"")</f>
        <v/>
      </c>
      <c r="D9" s="188" t="str">
        <f>IFERROR(VLOOKUP(A9,TableHandbook[],4,FALSE),"")</f>
        <v/>
      </c>
      <c r="E9" s="187" t="str">
        <f>IF(A9="","",E8)</f>
        <v/>
      </c>
      <c r="F9" s="189" t="str">
        <f>IFERROR(IF(VLOOKUP(A9,TableHandbook[],6,FALSE)=0,"",VLOOKUP(A9,TableHandbook[],6,FALSE)),"")</f>
        <v/>
      </c>
      <c r="G9" s="187" t="str">
        <f>IFERROR(IF(VLOOKUP(A9,TableHandbook[],5,FALSE)=0,"",VLOOKUP(A9,TableHandbook[],5,FALSE)),"")</f>
        <v/>
      </c>
      <c r="H9" s="190" t="str">
        <f>IFERROR(VLOOKUP($A9,TableHandbook[],7,FALSE),"")</f>
        <v/>
      </c>
      <c r="I9" s="187" t="str">
        <f>IFERROR(VLOOKUP($A9,TableHandbook[],8,FALSE),"")</f>
        <v/>
      </c>
      <c r="J9" s="187" t="str">
        <f>IFERROR(VLOOKUP($A9,TableHandbook[],9,FALSE),"")</f>
        <v/>
      </c>
      <c r="K9" s="191" t="str">
        <f>IFERROR(VLOOKUP($A9,TableHandbook[],10,FALSE),"")</f>
        <v/>
      </c>
      <c r="L9" s="107"/>
      <c r="M9" s="183">
        <v>3</v>
      </c>
      <c r="N9" s="184"/>
      <c r="O9" s="184"/>
    </row>
    <row r="10" spans="1:16" s="185" customFormat="1" ht="4.5" customHeight="1" x14ac:dyDescent="0.3">
      <c r="A10" s="192"/>
      <c r="B10" s="193"/>
      <c r="C10" s="193" t="str">
        <f>IFERROR(IF(VLOOKUP(A10,TableHandbook[],3,FALSE)=0,"",VLOOKUP(A10,TableHandbook[],3,FALSE)),"")</f>
        <v/>
      </c>
      <c r="D10" s="194"/>
      <c r="E10" s="193"/>
      <c r="F10" s="195"/>
      <c r="G10" s="193"/>
      <c r="H10" s="196"/>
      <c r="I10" s="197"/>
      <c r="J10" s="197"/>
      <c r="K10" s="198"/>
      <c r="L10" s="103"/>
      <c r="M10" s="199"/>
      <c r="N10" s="184"/>
      <c r="O10" s="184"/>
      <c r="P10" s="184"/>
    </row>
    <row r="11" spans="1:16" s="185" customFormat="1" ht="20.149999999999999" customHeight="1" x14ac:dyDescent="0.3">
      <c r="A11" s="177" t="str">
        <f>IFERROR(IF(HLOOKUP($L$3,RangeUnitsets,M11,FALSE)=0,"",HLOOKUP($L$3,RangeUnitsets,M11,FALSE)),"")</f>
        <v/>
      </c>
      <c r="B11" s="178" t="str">
        <f>IFERROR(IF(VLOOKUP(A11,TableHandbook[],2,FALSE)=0,"",VLOOKUP(A11,TableHandbook[],2,FALSE)),"")</f>
        <v/>
      </c>
      <c r="C11" s="178" t="str">
        <f>IFERROR(IF(VLOOKUP(A11,TableHandbook[],3,FALSE)=0,"",VLOOKUP(A11,TableHandbook[],3,FALSE)),"")</f>
        <v/>
      </c>
      <c r="D11" s="179" t="str">
        <f>IFERROR(VLOOKUP(A11,TableHandbook[],4,FALSE),"")</f>
        <v/>
      </c>
      <c r="E11" s="178" t="str">
        <f>IF(A11="","",VLOOKUP($D$5,TableStudyPeriods[],3,FALSE))</f>
        <v/>
      </c>
      <c r="F11" s="180" t="str">
        <f>IFERROR(IF(VLOOKUP(A11,TableHandbook[],6,FALSE)=0,"",VLOOKUP(A11,TableHandbook[],6,FALSE)),"")</f>
        <v/>
      </c>
      <c r="G11" s="178" t="str">
        <f>IFERROR(IF(VLOOKUP(A11,TableHandbook[],5,FALSE)=0,"",VLOOKUP(A11,TableHandbook[],5,FALSE)),"")</f>
        <v/>
      </c>
      <c r="H11" s="181" t="str">
        <f>IFERROR(VLOOKUP($A11,TableHandbook[],7,FALSE),"")</f>
        <v/>
      </c>
      <c r="I11" s="178" t="str">
        <f>IFERROR(VLOOKUP($A11,TableHandbook[],8,FALSE),"")</f>
        <v/>
      </c>
      <c r="J11" s="178" t="str">
        <f>IFERROR(VLOOKUP($A11,TableHandbook[],9,FALSE),"")</f>
        <v/>
      </c>
      <c r="K11" s="182" t="str">
        <f>IFERROR(VLOOKUP($A11,TableHandbook[],10,FALSE),"")</f>
        <v/>
      </c>
      <c r="L11" s="108"/>
      <c r="M11" s="183">
        <v>4</v>
      </c>
      <c r="N11" s="184"/>
      <c r="O11" s="184"/>
    </row>
    <row r="12" spans="1:16" s="185" customFormat="1" ht="20.149999999999999" customHeight="1" x14ac:dyDescent="0.3">
      <c r="A12" s="186" t="str">
        <f>IFERROR(IF(HLOOKUP($L$3,RangeUnitsets,M12,FALSE)=0,"",HLOOKUP($L$3,RangeUnitsets,M12,FALSE)),"")</f>
        <v/>
      </c>
      <c r="B12" s="187" t="str">
        <f>IFERROR(IF(VLOOKUP(A12,TableHandbook[],2,FALSE)=0,"",VLOOKUP(A12,TableHandbook[],2,FALSE)),"")</f>
        <v/>
      </c>
      <c r="C12" s="187" t="str">
        <f>IFERROR(IF(VLOOKUP(A12,TableHandbook[],3,FALSE)=0,"",VLOOKUP(A12,TableHandbook[],3,FALSE)),"")</f>
        <v/>
      </c>
      <c r="D12" s="188" t="str">
        <f>IFERROR(VLOOKUP(A12,TableHandbook[],4,FALSE),"")</f>
        <v/>
      </c>
      <c r="E12" s="187" t="str">
        <f>IF(A12="","",E11)</f>
        <v/>
      </c>
      <c r="F12" s="189" t="str">
        <f>IFERROR(IF(VLOOKUP(A12,TableHandbook[],6,FALSE)=0,"",VLOOKUP(A12,TableHandbook[],6,FALSE)),"")</f>
        <v/>
      </c>
      <c r="G12" s="187" t="str">
        <f>IFERROR(IF(VLOOKUP(A12,TableHandbook[],5,FALSE)=0,"",VLOOKUP(A12,TableHandbook[],5,FALSE)),"")</f>
        <v/>
      </c>
      <c r="H12" s="190" t="str">
        <f>IFERROR(VLOOKUP($A12,TableHandbook[],7,FALSE),"")</f>
        <v/>
      </c>
      <c r="I12" s="187" t="str">
        <f>IFERROR(VLOOKUP($A12,TableHandbook[],8,FALSE),"")</f>
        <v/>
      </c>
      <c r="J12" s="187" t="str">
        <f>IFERROR(VLOOKUP($A12,TableHandbook[],9,FALSE),"")</f>
        <v/>
      </c>
      <c r="K12" s="191" t="str">
        <f>IFERROR(VLOOKUP($A12,TableHandbook[],10,FALSE),"")</f>
        <v/>
      </c>
      <c r="L12" s="107"/>
      <c r="M12" s="183">
        <v>5</v>
      </c>
      <c r="N12" s="184"/>
      <c r="O12" s="184"/>
    </row>
    <row r="13" spans="1:16" ht="18" customHeight="1" x14ac:dyDescent="0.35">
      <c r="A13" s="238"/>
      <c r="B13" s="238"/>
      <c r="C13" s="238"/>
      <c r="D13" s="238"/>
      <c r="E13" s="238"/>
      <c r="F13" s="238"/>
      <c r="G13" s="238"/>
      <c r="H13" s="238"/>
      <c r="I13" s="238"/>
      <c r="J13" s="238"/>
      <c r="K13" s="238"/>
      <c r="L13" s="238"/>
      <c r="M13" s="183">
        <v>12</v>
      </c>
    </row>
    <row r="14" spans="1:16" ht="32.25" customHeight="1" x14ac:dyDescent="0.35">
      <c r="A14" s="247" t="s">
        <v>29</v>
      </c>
      <c r="B14" s="247"/>
      <c r="C14" s="247"/>
      <c r="D14" s="247"/>
      <c r="E14" s="247"/>
      <c r="F14" s="247"/>
      <c r="G14" s="247"/>
      <c r="H14" s="247"/>
      <c r="I14" s="247"/>
      <c r="J14" s="247"/>
      <c r="K14" s="247"/>
      <c r="L14" s="247"/>
    </row>
    <row r="15" spans="1:16" s="240" customFormat="1" ht="25" customHeight="1" x14ac:dyDescent="0.45">
      <c r="A15" s="104" t="s">
        <v>30</v>
      </c>
      <c r="B15" s="104"/>
      <c r="C15" s="104"/>
      <c r="D15" s="105"/>
      <c r="E15" s="105"/>
      <c r="F15" s="105"/>
      <c r="G15" s="105"/>
      <c r="H15" s="105"/>
      <c r="I15" s="105"/>
      <c r="J15" s="105"/>
      <c r="K15" s="105"/>
      <c r="L15" s="105"/>
      <c r="M15" s="239"/>
      <c r="N15" s="239"/>
      <c r="O15" s="239"/>
    </row>
    <row r="16" spans="1:16" ht="15" customHeight="1" x14ac:dyDescent="0.35">
      <c r="A16" s="241" t="s">
        <v>31</v>
      </c>
      <c r="B16" s="241"/>
      <c r="C16" s="241"/>
      <c r="D16" s="241"/>
      <c r="E16" s="242"/>
      <c r="F16" s="215"/>
      <c r="G16" s="243"/>
      <c r="H16" s="243"/>
      <c r="I16" s="243"/>
      <c r="J16" s="243"/>
      <c r="K16" s="243"/>
      <c r="L16" s="243" t="s">
        <v>32</v>
      </c>
    </row>
  </sheetData>
  <sheetProtection formatCells="0"/>
  <mergeCells count="2">
    <mergeCell ref="A2:D2"/>
    <mergeCell ref="A14:L14"/>
  </mergeCells>
  <conditionalFormatting sqref="D4:D5">
    <cfRule type="containsText" dxfId="116" priority="2" operator="containsText" text="Choose">
      <formula>NOT(ISERROR(SEARCH("Choose",D4)))</formula>
    </cfRule>
  </conditionalFormatting>
  <conditionalFormatting sqref="A8:L12">
    <cfRule type="expression" dxfId="115" priority="1">
      <formula>$A8=""</formula>
    </cfRule>
  </conditionalFormatting>
  <dataValidations count="1">
    <dataValidation type="list" allowBlank="1" showInputMessage="1" showErrorMessage="1" sqref="L10" xr:uid="{00000000-0002-0000-0200-000000000000}"/>
  </dataValidations>
  <hyperlinks>
    <hyperlink ref="A15:L1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6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Unitsets!$A$13:$A$17</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37"/>
  <sheetViews>
    <sheetView topLeftCell="J1" zoomScale="85" zoomScaleNormal="85" workbookViewId="0">
      <selection activeCell="D5" sqref="D5"/>
    </sheetView>
  </sheetViews>
  <sheetFormatPr defaultRowHeight="15.5" x14ac:dyDescent="0.35"/>
  <cols>
    <col min="1" max="1" width="57.58203125" style="15" bestFit="1" customWidth="1"/>
    <col min="2" max="2" width="11.33203125" style="10" bestFit="1" customWidth="1"/>
    <col min="3" max="3" width="9.83203125" style="10" bestFit="1" customWidth="1"/>
    <col min="4" max="4" width="19.33203125" style="10" bestFit="1" customWidth="1"/>
    <col min="5" max="5" width="14.25" style="10" bestFit="1" customWidth="1"/>
    <col min="6" max="6" width="14.58203125" style="10" bestFit="1" customWidth="1"/>
    <col min="7" max="7" width="16.5" style="10" bestFit="1" customWidth="1"/>
    <col min="8" max="8" width="9.25" style="10" customWidth="1"/>
    <col min="9" max="9" width="9.58203125" style="10" customWidth="1"/>
    <col min="10" max="10" width="3.58203125" customWidth="1"/>
    <col min="11" max="11" width="10.58203125" customWidth="1"/>
    <col min="12" max="12" width="13.58203125" bestFit="1" customWidth="1"/>
    <col min="13" max="13" width="12.58203125" bestFit="1" customWidth="1"/>
    <col min="14" max="14" width="9" customWidth="1"/>
    <col min="15" max="15" width="5" bestFit="1" customWidth="1"/>
    <col min="16" max="16" width="14" bestFit="1" customWidth="1"/>
    <col min="17" max="17" width="5" bestFit="1" customWidth="1"/>
    <col min="18" max="18" width="14" bestFit="1" customWidth="1"/>
    <col min="19" max="19" width="5" bestFit="1" customWidth="1"/>
    <col min="20" max="20" width="12.08203125" bestFit="1" customWidth="1"/>
    <col min="21" max="21" width="5" bestFit="1" customWidth="1"/>
    <col min="22" max="22" width="12.5" bestFit="1" customWidth="1"/>
    <col min="23" max="23" width="5" bestFit="1" customWidth="1"/>
    <col min="24" max="24" width="12.5" bestFit="1" customWidth="1"/>
    <col min="25" max="25" width="5" bestFit="1" customWidth="1"/>
    <col min="26" max="26" width="12.5" bestFit="1" customWidth="1"/>
    <col min="27" max="27" width="5.25" bestFit="1" customWidth="1"/>
    <col min="28" max="28" width="15" bestFit="1" customWidth="1"/>
    <col min="29" max="29" width="5.25" bestFit="1" customWidth="1"/>
    <col min="30" max="30" width="15.25" bestFit="1" customWidth="1"/>
    <col min="31" max="31" width="5.25" bestFit="1" customWidth="1"/>
    <col min="32" max="32" width="15.25" bestFit="1" customWidth="1"/>
    <col min="33" max="33" width="5.25" bestFit="1" customWidth="1"/>
    <col min="34" max="34" width="15.25" bestFit="1" customWidth="1"/>
    <col min="35" max="35" width="6.58203125" customWidth="1"/>
    <col min="36" max="36" width="4.33203125" customWidth="1"/>
    <col min="37" max="37" width="34.5" bestFit="1" customWidth="1"/>
    <col min="39" max="39" width="20.83203125" bestFit="1" customWidth="1"/>
  </cols>
  <sheetData>
    <row r="1" spans="1:42" x14ac:dyDescent="0.35">
      <c r="A1" s="17" t="s">
        <v>33</v>
      </c>
      <c r="B1" s="18"/>
      <c r="C1" s="18"/>
      <c r="D1" s="18"/>
    </row>
    <row r="2" spans="1:42" x14ac:dyDescent="0.35">
      <c r="K2" s="30" t="s">
        <v>198</v>
      </c>
      <c r="L2" s="12"/>
      <c r="M2" s="12"/>
      <c r="N2" s="12"/>
      <c r="O2" s="12"/>
      <c r="P2" s="12"/>
      <c r="Q2" s="12"/>
      <c r="R2" s="12"/>
      <c r="S2" s="12"/>
      <c r="T2" s="12"/>
      <c r="U2" s="12"/>
      <c r="V2" s="12"/>
      <c r="W2" s="12"/>
      <c r="X2" s="12"/>
      <c r="Y2" s="12"/>
      <c r="Z2" s="12"/>
      <c r="AA2" s="12"/>
      <c r="AB2" s="12"/>
      <c r="AC2" s="12"/>
      <c r="AD2" s="12"/>
      <c r="AE2" s="12"/>
      <c r="AF2" s="12"/>
      <c r="AG2" s="13"/>
      <c r="AH2" s="12"/>
      <c r="AI2" s="13"/>
      <c r="AJ2" s="25"/>
      <c r="AK2" s="25"/>
      <c r="AL2" s="25"/>
      <c r="AM2" s="25"/>
      <c r="AN2" s="25"/>
      <c r="AO2" s="25"/>
      <c r="AP2" s="25"/>
    </row>
    <row r="3" spans="1:42" x14ac:dyDescent="0.35">
      <c r="J3" s="2">
        <v>1</v>
      </c>
      <c r="K3" s="1"/>
      <c r="L3" s="65" t="s">
        <v>35</v>
      </c>
      <c r="M3" s="1"/>
      <c r="N3" s="65" t="s">
        <v>36</v>
      </c>
      <c r="O3" s="1"/>
      <c r="P3" s="65" t="s">
        <v>37</v>
      </c>
      <c r="Q3" s="1"/>
      <c r="R3" s="65" t="s">
        <v>38</v>
      </c>
      <c r="S3" s="1"/>
      <c r="T3" s="65" t="s">
        <v>228</v>
      </c>
      <c r="U3" s="1"/>
      <c r="V3" s="65" t="s">
        <v>229</v>
      </c>
      <c r="W3" s="1"/>
      <c r="X3" s="65" t="s">
        <v>230</v>
      </c>
      <c r="Y3" s="1"/>
      <c r="Z3" s="65" t="s">
        <v>231</v>
      </c>
      <c r="AA3" s="1"/>
      <c r="AB3" s="14" t="s">
        <v>34</v>
      </c>
      <c r="AC3" s="1"/>
      <c r="AD3" s="14" t="s">
        <v>39</v>
      </c>
      <c r="AE3" s="1"/>
      <c r="AF3" s="14" t="s">
        <v>40</v>
      </c>
      <c r="AG3" s="40"/>
      <c r="AH3" s="41" t="s">
        <v>41</v>
      </c>
      <c r="AI3" s="31"/>
      <c r="AJ3" s="25"/>
      <c r="AK3" s="25"/>
      <c r="AL3" s="25"/>
      <c r="AM3" s="25"/>
      <c r="AN3" s="25"/>
      <c r="AO3" s="25"/>
      <c r="AP3" s="25"/>
    </row>
    <row r="4" spans="1:42" x14ac:dyDescent="0.35">
      <c r="J4" s="21">
        <v>2</v>
      </c>
      <c r="K4" s="44" t="s">
        <v>43</v>
      </c>
      <c r="L4" s="74" t="s">
        <v>44</v>
      </c>
      <c r="M4" s="44" t="s">
        <v>45</v>
      </c>
      <c r="N4" s="74" t="s">
        <v>46</v>
      </c>
      <c r="O4" s="44" t="s">
        <v>47</v>
      </c>
      <c r="P4" s="133" t="str">
        <f>L4</f>
        <v>URDE5030</v>
      </c>
      <c r="Q4" s="44" t="s">
        <v>48</v>
      </c>
      <c r="R4" s="133" t="str">
        <f>N4</f>
        <v>URDE5014</v>
      </c>
      <c r="S4" s="44" t="s">
        <v>43</v>
      </c>
      <c r="T4" s="74" t="s">
        <v>52</v>
      </c>
      <c r="U4" s="44" t="s">
        <v>45</v>
      </c>
      <c r="V4" s="74" t="s">
        <v>216</v>
      </c>
      <c r="W4" s="44" t="s">
        <v>47</v>
      </c>
      <c r="X4" s="133" t="str">
        <f>T4</f>
        <v>GEOG5000</v>
      </c>
      <c r="Y4" s="44" t="s">
        <v>48</v>
      </c>
      <c r="Z4" s="133" t="str">
        <f>V4</f>
        <v>GEOG5002</v>
      </c>
      <c r="AA4" s="44" t="s">
        <v>43</v>
      </c>
      <c r="AB4" s="57" t="s">
        <v>49</v>
      </c>
      <c r="AC4" s="44" t="s">
        <v>45</v>
      </c>
      <c r="AD4" s="57" t="s">
        <v>50</v>
      </c>
      <c r="AE4" s="44" t="s">
        <v>47</v>
      </c>
      <c r="AF4" s="57" t="s">
        <v>51</v>
      </c>
      <c r="AG4" s="37" t="s">
        <v>48</v>
      </c>
      <c r="AH4" s="58" t="s">
        <v>50</v>
      </c>
      <c r="AI4" s="2"/>
      <c r="AJ4" s="25"/>
      <c r="AK4" s="25"/>
      <c r="AL4" s="25"/>
      <c r="AM4" s="25"/>
      <c r="AN4" s="25"/>
      <c r="AO4" s="25"/>
      <c r="AP4" s="25"/>
    </row>
    <row r="5" spans="1:42" x14ac:dyDescent="0.35">
      <c r="J5" s="21">
        <v>3</v>
      </c>
      <c r="K5" s="36" t="s">
        <v>43</v>
      </c>
      <c r="L5" s="75" t="s">
        <v>52</v>
      </c>
      <c r="M5" s="36" t="s">
        <v>45</v>
      </c>
      <c r="N5" s="75" t="s">
        <v>53</v>
      </c>
      <c r="O5" s="36" t="s">
        <v>47</v>
      </c>
      <c r="P5" s="134" t="str">
        <f t="shared" ref="P5:R7" si="0">L5</f>
        <v>GEOG5000</v>
      </c>
      <c r="Q5" s="36" t="s">
        <v>48</v>
      </c>
      <c r="R5" s="134" t="str">
        <f t="shared" si="0"/>
        <v>URDE5031</v>
      </c>
      <c r="S5" s="36" t="s">
        <v>43</v>
      </c>
      <c r="T5" s="75" t="s">
        <v>219</v>
      </c>
      <c r="U5" s="36" t="s">
        <v>45</v>
      </c>
      <c r="V5" s="75" t="s">
        <v>217</v>
      </c>
      <c r="W5" s="36" t="s">
        <v>47</v>
      </c>
      <c r="X5" s="134" t="str">
        <f t="shared" ref="X5:Z7" si="1">T5</f>
        <v>GEOG5004</v>
      </c>
      <c r="Y5" s="36" t="s">
        <v>48</v>
      </c>
      <c r="Z5" s="134" t="str">
        <f t="shared" si="1"/>
        <v>GEOG5003</v>
      </c>
      <c r="AA5" s="36" t="s">
        <v>43</v>
      </c>
      <c r="AB5" s="3" t="s">
        <v>54</v>
      </c>
      <c r="AC5" s="36" t="s">
        <v>45</v>
      </c>
      <c r="AD5" s="3" t="s">
        <v>55</v>
      </c>
      <c r="AE5" s="36" t="s">
        <v>47</v>
      </c>
      <c r="AF5" s="3" t="s">
        <v>54</v>
      </c>
      <c r="AG5" s="38" t="s">
        <v>48</v>
      </c>
      <c r="AH5" s="59" t="s">
        <v>55</v>
      </c>
      <c r="AI5" s="2"/>
      <c r="AJ5" s="25"/>
      <c r="AK5" s="25"/>
      <c r="AL5" s="25"/>
      <c r="AM5" s="25"/>
      <c r="AN5" s="25"/>
      <c r="AO5" s="25"/>
      <c r="AP5" s="25"/>
    </row>
    <row r="6" spans="1:42" x14ac:dyDescent="0.35">
      <c r="A6" s="10" t="s">
        <v>232</v>
      </c>
      <c r="B6" s="15" t="s">
        <v>0</v>
      </c>
      <c r="C6" s="10" t="s">
        <v>56</v>
      </c>
      <c r="D6" s="10" t="s">
        <v>57</v>
      </c>
      <c r="E6" s="10" t="s">
        <v>58</v>
      </c>
      <c r="F6" s="10" t="s">
        <v>202</v>
      </c>
      <c r="G6" s="10" t="s">
        <v>6</v>
      </c>
      <c r="J6" s="21">
        <v>4</v>
      </c>
      <c r="K6" s="36" t="s">
        <v>45</v>
      </c>
      <c r="L6" s="75" t="s">
        <v>46</v>
      </c>
      <c r="M6" s="36" t="s">
        <v>47</v>
      </c>
      <c r="N6" s="75" t="s">
        <v>44</v>
      </c>
      <c r="O6" s="36" t="s">
        <v>48</v>
      </c>
      <c r="P6" s="134" t="str">
        <f t="shared" si="0"/>
        <v>URDE5014</v>
      </c>
      <c r="Q6" s="36" t="s">
        <v>43</v>
      </c>
      <c r="R6" s="134" t="str">
        <f t="shared" si="0"/>
        <v>URDE5030</v>
      </c>
      <c r="S6" s="36" t="s">
        <v>45</v>
      </c>
      <c r="T6" s="75" t="s">
        <v>216</v>
      </c>
      <c r="U6" s="36" t="s">
        <v>47</v>
      </c>
      <c r="V6" s="75" t="s">
        <v>52</v>
      </c>
      <c r="W6" s="36" t="s">
        <v>48</v>
      </c>
      <c r="X6" s="134" t="str">
        <f t="shared" si="1"/>
        <v>GEOG5002</v>
      </c>
      <c r="Y6" s="36" t="s">
        <v>43</v>
      </c>
      <c r="Z6" s="134" t="str">
        <f t="shared" si="1"/>
        <v>GEOG5000</v>
      </c>
      <c r="AA6" s="36" t="s">
        <v>45</v>
      </c>
      <c r="AB6" s="3" t="s">
        <v>50</v>
      </c>
      <c r="AC6" s="36" t="s">
        <v>47</v>
      </c>
      <c r="AD6" s="3" t="s">
        <v>51</v>
      </c>
      <c r="AE6" s="36" t="s">
        <v>48</v>
      </c>
      <c r="AF6" s="3" t="s">
        <v>50</v>
      </c>
      <c r="AG6" s="38" t="s">
        <v>43</v>
      </c>
      <c r="AH6" s="59" t="s">
        <v>49</v>
      </c>
      <c r="AI6" s="2"/>
      <c r="AJ6" s="7"/>
      <c r="AK6" s="25"/>
      <c r="AL6" s="25"/>
      <c r="AM6" s="25"/>
      <c r="AN6" s="25"/>
      <c r="AO6" s="25"/>
      <c r="AP6" s="25"/>
    </row>
    <row r="7" spans="1:42" x14ac:dyDescent="0.35">
      <c r="A7" s="10" t="s">
        <v>10</v>
      </c>
      <c r="B7" s="122" t="s">
        <v>59</v>
      </c>
      <c r="C7" s="11" t="s">
        <v>60</v>
      </c>
      <c r="D7" s="11" t="s">
        <v>61</v>
      </c>
      <c r="E7" s="121">
        <v>42736</v>
      </c>
      <c r="F7" s="121">
        <v>42736</v>
      </c>
      <c r="G7" s="11" t="s">
        <v>203</v>
      </c>
      <c r="J7" s="21">
        <v>5</v>
      </c>
      <c r="K7" s="36" t="s">
        <v>45</v>
      </c>
      <c r="L7" s="75" t="s">
        <v>53</v>
      </c>
      <c r="M7" s="36" t="s">
        <v>47</v>
      </c>
      <c r="N7" s="75" t="s">
        <v>52</v>
      </c>
      <c r="O7" s="36" t="s">
        <v>48</v>
      </c>
      <c r="P7" s="134" t="str">
        <f t="shared" si="0"/>
        <v>URDE5031</v>
      </c>
      <c r="Q7" s="36" t="s">
        <v>43</v>
      </c>
      <c r="R7" s="134" t="str">
        <f t="shared" si="0"/>
        <v>GEOG5000</v>
      </c>
      <c r="S7" s="36" t="s">
        <v>45</v>
      </c>
      <c r="T7" s="75" t="s">
        <v>217</v>
      </c>
      <c r="U7" s="36" t="s">
        <v>47</v>
      </c>
      <c r="V7" s="75" t="s">
        <v>219</v>
      </c>
      <c r="W7" s="36" t="s">
        <v>48</v>
      </c>
      <c r="X7" s="134" t="str">
        <f t="shared" si="1"/>
        <v>GEOG5003</v>
      </c>
      <c r="Y7" s="36" t="s">
        <v>43</v>
      </c>
      <c r="Z7" s="134" t="str">
        <f t="shared" si="1"/>
        <v>GEOG5004</v>
      </c>
      <c r="AA7" s="36" t="s">
        <v>45</v>
      </c>
      <c r="AB7" s="3" t="s">
        <v>55</v>
      </c>
      <c r="AC7" s="36" t="s">
        <v>47</v>
      </c>
      <c r="AD7" s="3" t="s">
        <v>54</v>
      </c>
      <c r="AE7" s="36" t="s">
        <v>48</v>
      </c>
      <c r="AF7" s="3" t="s">
        <v>55</v>
      </c>
      <c r="AG7" s="38" t="s">
        <v>43</v>
      </c>
      <c r="AH7" s="59" t="s">
        <v>54</v>
      </c>
      <c r="AI7" s="2"/>
      <c r="AJ7" s="7"/>
      <c r="AK7" s="6"/>
      <c r="AL7" s="7"/>
      <c r="AM7" s="6"/>
      <c r="AN7" s="7"/>
      <c r="AO7" s="7"/>
    </row>
    <row r="8" spans="1:42" x14ac:dyDescent="0.35">
      <c r="A8" s="10" t="s">
        <v>85</v>
      </c>
      <c r="B8" s="122" t="s">
        <v>86</v>
      </c>
      <c r="C8" s="11" t="s">
        <v>64</v>
      </c>
      <c r="D8" s="11" t="s">
        <v>61</v>
      </c>
      <c r="E8" s="121">
        <v>42552</v>
      </c>
      <c r="F8" s="121">
        <v>45292</v>
      </c>
      <c r="G8" s="11"/>
      <c r="J8" s="21">
        <v>6</v>
      </c>
      <c r="K8" s="67"/>
      <c r="L8" s="68"/>
      <c r="M8" s="67"/>
      <c r="N8" s="68"/>
      <c r="O8" s="67"/>
      <c r="P8" s="68"/>
      <c r="Q8" s="67"/>
      <c r="R8" s="68"/>
      <c r="S8" s="67"/>
      <c r="T8" s="68"/>
      <c r="U8" s="67"/>
      <c r="V8" s="68"/>
      <c r="W8" s="67"/>
      <c r="X8" s="68"/>
      <c r="Y8" s="67"/>
      <c r="Z8" s="68"/>
      <c r="AA8" s="37" t="s">
        <v>47</v>
      </c>
      <c r="AB8" s="42" t="s">
        <v>66</v>
      </c>
      <c r="AC8" s="37" t="s">
        <v>48</v>
      </c>
      <c r="AD8" s="42" t="s">
        <v>67</v>
      </c>
      <c r="AE8" s="37" t="s">
        <v>43</v>
      </c>
      <c r="AF8" s="42" t="s">
        <v>49</v>
      </c>
      <c r="AG8" s="37" t="s">
        <v>45</v>
      </c>
      <c r="AH8" s="58" t="s">
        <v>68</v>
      </c>
      <c r="AI8" s="2"/>
      <c r="AJ8" s="32"/>
      <c r="AK8" s="6"/>
      <c r="AL8" s="7"/>
      <c r="AM8" s="6"/>
      <c r="AN8" s="24"/>
      <c r="AO8" s="7"/>
    </row>
    <row r="9" spans="1:42" x14ac:dyDescent="0.35">
      <c r="A9" s="10" t="s">
        <v>62</v>
      </c>
      <c r="B9" s="122" t="s">
        <v>63</v>
      </c>
      <c r="C9" s="11" t="s">
        <v>64</v>
      </c>
      <c r="D9" s="11" t="s">
        <v>65</v>
      </c>
      <c r="E9" s="121">
        <v>44562</v>
      </c>
      <c r="F9" s="121">
        <v>44927</v>
      </c>
      <c r="G9" s="11" t="s">
        <v>203</v>
      </c>
      <c r="J9" s="21">
        <v>7</v>
      </c>
      <c r="K9" s="36"/>
      <c r="L9" s="66"/>
      <c r="M9" s="36"/>
      <c r="N9" s="66"/>
      <c r="O9" s="36"/>
      <c r="P9" s="66"/>
      <c r="Q9" s="36"/>
      <c r="R9" s="66"/>
      <c r="S9" s="36"/>
      <c r="T9" s="66"/>
      <c r="U9" s="36"/>
      <c r="V9" s="66"/>
      <c r="W9" s="36"/>
      <c r="X9" s="66"/>
      <c r="Y9" s="36"/>
      <c r="Z9" s="66"/>
      <c r="AA9" s="38" t="s">
        <v>47</v>
      </c>
      <c r="AB9" s="3" t="s">
        <v>51</v>
      </c>
      <c r="AC9" s="38" t="s">
        <v>48</v>
      </c>
      <c r="AD9" s="3" t="s">
        <v>69</v>
      </c>
      <c r="AE9" s="38" t="s">
        <v>43</v>
      </c>
      <c r="AF9" s="3" t="s">
        <v>66</v>
      </c>
      <c r="AG9" s="38" t="s">
        <v>45</v>
      </c>
      <c r="AH9" s="59" t="s">
        <v>69</v>
      </c>
      <c r="AI9" s="2"/>
      <c r="AN9" s="7"/>
      <c r="AO9" s="7"/>
    </row>
    <row r="10" spans="1:42" x14ac:dyDescent="0.35">
      <c r="A10" s="10" t="s">
        <v>170</v>
      </c>
      <c r="B10" s="122" t="s">
        <v>169</v>
      </c>
      <c r="C10" s="11" t="s">
        <v>64</v>
      </c>
      <c r="D10" s="11" t="s">
        <v>61</v>
      </c>
      <c r="E10" s="121">
        <v>44197</v>
      </c>
      <c r="F10" s="121">
        <v>44197</v>
      </c>
      <c r="G10" s="11" t="s">
        <v>22</v>
      </c>
      <c r="J10" s="21">
        <v>8</v>
      </c>
      <c r="K10" s="36"/>
      <c r="L10" s="66"/>
      <c r="M10" s="36"/>
      <c r="N10" s="66"/>
      <c r="O10" s="36"/>
      <c r="P10" s="66"/>
      <c r="Q10" s="36"/>
      <c r="R10" s="66"/>
      <c r="S10" s="36"/>
      <c r="T10" s="66"/>
      <c r="U10" s="36"/>
      <c r="V10" s="66"/>
      <c r="W10" s="36"/>
      <c r="X10" s="66"/>
      <c r="Y10" s="36"/>
      <c r="Z10" s="66"/>
      <c r="AA10" s="38" t="s">
        <v>48</v>
      </c>
      <c r="AB10" s="3" t="s">
        <v>67</v>
      </c>
      <c r="AC10" s="38" t="s">
        <v>43</v>
      </c>
      <c r="AD10" s="3" t="s">
        <v>49</v>
      </c>
      <c r="AE10" s="38" t="s">
        <v>45</v>
      </c>
      <c r="AF10" s="3" t="s">
        <v>68</v>
      </c>
      <c r="AG10" s="38" t="s">
        <v>47</v>
      </c>
      <c r="AH10" s="59" t="s">
        <v>66</v>
      </c>
      <c r="AI10" s="2"/>
      <c r="AJ10" s="32"/>
      <c r="AN10" s="7"/>
      <c r="AO10" s="7"/>
    </row>
    <row r="11" spans="1:42" x14ac:dyDescent="0.35">
      <c r="J11" s="21">
        <v>9</v>
      </c>
      <c r="K11" s="69"/>
      <c r="L11" s="70"/>
      <c r="M11" s="69"/>
      <c r="N11" s="70"/>
      <c r="O11" s="69"/>
      <c r="P11" s="70"/>
      <c r="Q11" s="69"/>
      <c r="R11" s="70"/>
      <c r="S11" s="69"/>
      <c r="T11" s="70"/>
      <c r="U11" s="69"/>
      <c r="V11" s="70"/>
      <c r="W11" s="69"/>
      <c r="X11" s="70"/>
      <c r="Y11" s="69"/>
      <c r="Z11" s="70"/>
      <c r="AA11" s="39" t="s">
        <v>48</v>
      </c>
      <c r="AB11" s="45" t="s">
        <v>69</v>
      </c>
      <c r="AC11" s="39" t="s">
        <v>43</v>
      </c>
      <c r="AD11" s="45" t="s">
        <v>66</v>
      </c>
      <c r="AE11" s="39" t="s">
        <v>45</v>
      </c>
      <c r="AF11" s="45" t="s">
        <v>69</v>
      </c>
      <c r="AG11" s="38" t="s">
        <v>47</v>
      </c>
      <c r="AH11" s="59" t="s">
        <v>51</v>
      </c>
      <c r="AI11" s="2"/>
      <c r="AJ11" s="33"/>
      <c r="AN11" s="7"/>
      <c r="AO11" s="7"/>
    </row>
    <row r="12" spans="1:42" x14ac:dyDescent="0.35">
      <c r="J12" s="21">
        <v>10</v>
      </c>
      <c r="K12" s="36"/>
      <c r="L12" s="66"/>
      <c r="M12" s="36"/>
      <c r="N12" s="66"/>
      <c r="O12" s="36"/>
      <c r="P12" s="66"/>
      <c r="Q12" s="36"/>
      <c r="R12" s="66"/>
      <c r="S12" s="36"/>
      <c r="T12" s="66"/>
      <c r="U12" s="36"/>
      <c r="V12" s="66"/>
      <c r="W12" s="36"/>
      <c r="X12" s="66"/>
      <c r="Y12" s="36"/>
      <c r="Z12" s="66"/>
      <c r="AA12" s="36" t="s">
        <v>75</v>
      </c>
      <c r="AB12" s="79" t="s">
        <v>76</v>
      </c>
      <c r="AC12" s="36" t="s">
        <v>77</v>
      </c>
      <c r="AD12" s="3" t="s">
        <v>68</v>
      </c>
      <c r="AE12" s="36" t="s">
        <v>78</v>
      </c>
      <c r="AF12" s="79" t="s">
        <v>76</v>
      </c>
      <c r="AG12" s="37" t="s">
        <v>79</v>
      </c>
      <c r="AH12" s="58" t="s">
        <v>67</v>
      </c>
      <c r="AI12" s="3"/>
      <c r="AN12" s="7"/>
      <c r="AO12" s="7"/>
    </row>
    <row r="13" spans="1:42" x14ac:dyDescent="0.35">
      <c r="A13" s="16" t="s">
        <v>201</v>
      </c>
      <c r="B13" s="19" t="s">
        <v>70</v>
      </c>
      <c r="C13" s="10" t="s">
        <v>71</v>
      </c>
      <c r="D13" s="10" t="s">
        <v>72</v>
      </c>
      <c r="E13" s="10" t="s">
        <v>73</v>
      </c>
      <c r="J13" s="21">
        <v>11</v>
      </c>
      <c r="K13" s="36"/>
      <c r="L13" s="66"/>
      <c r="M13" s="36"/>
      <c r="N13" s="66"/>
      <c r="O13" s="36"/>
      <c r="P13" s="66"/>
      <c r="Q13" s="36"/>
      <c r="R13" s="66"/>
      <c r="S13" s="36"/>
      <c r="T13" s="66"/>
      <c r="U13" s="36"/>
      <c r="V13" s="66"/>
      <c r="W13" s="36"/>
      <c r="X13" s="66"/>
      <c r="Y13" s="36"/>
      <c r="Z13" s="66"/>
      <c r="AA13" s="36" t="s">
        <v>75</v>
      </c>
      <c r="AB13" s="79" t="s">
        <v>80</v>
      </c>
      <c r="AC13" s="36" t="s">
        <v>77</v>
      </c>
      <c r="AD13" s="80" t="s">
        <v>81</v>
      </c>
      <c r="AE13" s="36" t="s">
        <v>78</v>
      </c>
      <c r="AF13" s="79" t="s">
        <v>80</v>
      </c>
      <c r="AG13" s="38" t="s">
        <v>79</v>
      </c>
      <c r="AH13" s="81" t="s">
        <v>81</v>
      </c>
      <c r="AI13" s="3"/>
      <c r="AN13" s="7"/>
      <c r="AO13" s="7"/>
    </row>
    <row r="14" spans="1:42" x14ac:dyDescent="0.35">
      <c r="A14" s="10" t="s">
        <v>74</v>
      </c>
      <c r="B14" s="11" t="s">
        <v>21</v>
      </c>
      <c r="C14" s="11" t="s">
        <v>22</v>
      </c>
      <c r="D14" s="11" t="s">
        <v>23</v>
      </c>
      <c r="E14" s="11" t="s">
        <v>24</v>
      </c>
      <c r="J14" s="21">
        <v>12</v>
      </c>
      <c r="K14" s="36"/>
      <c r="L14" s="66"/>
      <c r="M14" s="36"/>
      <c r="N14" s="66"/>
      <c r="O14" s="36"/>
      <c r="P14" s="66"/>
      <c r="Q14" s="36"/>
      <c r="R14" s="66"/>
      <c r="S14" s="36"/>
      <c r="T14" s="66"/>
      <c r="U14" s="36"/>
      <c r="V14" s="66"/>
      <c r="W14" s="36"/>
      <c r="X14" s="66"/>
      <c r="Y14" s="36"/>
      <c r="Z14" s="66"/>
      <c r="AA14" s="36" t="s">
        <v>77</v>
      </c>
      <c r="AB14" s="3" t="s">
        <v>68</v>
      </c>
      <c r="AC14" s="36" t="s">
        <v>78</v>
      </c>
      <c r="AD14" s="62" t="s">
        <v>76</v>
      </c>
      <c r="AE14" s="36" t="s">
        <v>79</v>
      </c>
      <c r="AF14" s="3" t="s">
        <v>67</v>
      </c>
      <c r="AG14" s="38" t="s">
        <v>75</v>
      </c>
      <c r="AH14" s="63" t="s">
        <v>76</v>
      </c>
      <c r="AI14" s="3"/>
      <c r="AN14" s="7"/>
      <c r="AO14" s="7"/>
    </row>
    <row r="15" spans="1:42" x14ac:dyDescent="0.35">
      <c r="A15" s="10" t="s">
        <v>13</v>
      </c>
      <c r="B15" s="11" t="s">
        <v>22</v>
      </c>
      <c r="C15" s="11" t="s">
        <v>23</v>
      </c>
      <c r="D15" s="11" t="s">
        <v>24</v>
      </c>
      <c r="E15" s="11" t="s">
        <v>21</v>
      </c>
      <c r="J15" s="21">
        <v>13</v>
      </c>
      <c r="K15" s="36"/>
      <c r="L15" s="66"/>
      <c r="M15" s="36"/>
      <c r="N15" s="66"/>
      <c r="O15" s="36"/>
      <c r="P15" s="66"/>
      <c r="Q15" s="36"/>
      <c r="R15" s="66"/>
      <c r="S15" s="36"/>
      <c r="T15" s="66"/>
      <c r="U15" s="36"/>
      <c r="V15" s="66"/>
      <c r="W15" s="36"/>
      <c r="X15" s="66"/>
      <c r="Y15" s="36"/>
      <c r="Z15" s="66"/>
      <c r="AA15" s="36" t="s">
        <v>77</v>
      </c>
      <c r="AB15" s="80" t="s">
        <v>81</v>
      </c>
      <c r="AC15" s="36" t="s">
        <v>78</v>
      </c>
      <c r="AD15" s="62" t="s">
        <v>80</v>
      </c>
      <c r="AE15" s="36" t="s">
        <v>79</v>
      </c>
      <c r="AF15" s="80" t="s">
        <v>81</v>
      </c>
      <c r="AG15" s="38" t="s">
        <v>75</v>
      </c>
      <c r="AH15" s="63" t="s">
        <v>80</v>
      </c>
      <c r="AI15" s="3"/>
      <c r="AJ15" s="7"/>
      <c r="AN15" s="7"/>
      <c r="AO15" s="7"/>
    </row>
    <row r="16" spans="1:42" x14ac:dyDescent="0.35">
      <c r="A16" s="10" t="s">
        <v>82</v>
      </c>
      <c r="B16" s="11" t="s">
        <v>23</v>
      </c>
      <c r="C16" s="11" t="s">
        <v>24</v>
      </c>
      <c r="D16" s="11" t="s">
        <v>21</v>
      </c>
      <c r="E16" s="11" t="s">
        <v>22</v>
      </c>
      <c r="H16" s="20"/>
      <c r="J16" s="21">
        <v>14</v>
      </c>
      <c r="K16" s="67"/>
      <c r="L16" s="68"/>
      <c r="M16" s="67"/>
      <c r="N16" s="68"/>
      <c r="O16" s="67"/>
      <c r="P16" s="68"/>
      <c r="Q16" s="67"/>
      <c r="R16" s="68"/>
      <c r="S16" s="67"/>
      <c r="T16" s="68"/>
      <c r="U16" s="67"/>
      <c r="V16" s="68"/>
      <c r="W16" s="67"/>
      <c r="X16" s="68"/>
      <c r="Y16" s="67"/>
      <c r="Z16" s="68"/>
      <c r="AA16" s="37"/>
      <c r="AB16" s="58"/>
      <c r="AC16" s="37"/>
      <c r="AD16" s="58"/>
      <c r="AE16" s="37"/>
      <c r="AF16" s="58"/>
      <c r="AG16" s="42"/>
      <c r="AH16" s="58"/>
      <c r="AI16" s="3"/>
      <c r="AJ16" s="7"/>
      <c r="AK16" s="6"/>
      <c r="AL16" s="7"/>
      <c r="AM16" s="9"/>
      <c r="AN16" s="7"/>
      <c r="AO16" s="7"/>
    </row>
    <row r="17" spans="1:41" x14ac:dyDescent="0.35">
      <c r="A17" s="10" t="s">
        <v>83</v>
      </c>
      <c r="B17" s="11" t="s">
        <v>24</v>
      </c>
      <c r="C17" s="11" t="s">
        <v>21</v>
      </c>
      <c r="D17" s="11" t="s">
        <v>22</v>
      </c>
      <c r="E17" s="11" t="s">
        <v>23</v>
      </c>
      <c r="J17" s="21">
        <v>15</v>
      </c>
      <c r="K17" s="36"/>
      <c r="L17" s="66"/>
      <c r="M17" s="36"/>
      <c r="N17" s="66"/>
      <c r="O17" s="36"/>
      <c r="P17" s="66"/>
      <c r="Q17" s="36"/>
      <c r="R17" s="66"/>
      <c r="S17" s="36"/>
      <c r="T17" s="66"/>
      <c r="U17" s="36"/>
      <c r="V17" s="66"/>
      <c r="W17" s="36"/>
      <c r="X17" s="66"/>
      <c r="Y17" s="36"/>
      <c r="Z17" s="66"/>
      <c r="AA17" s="38"/>
      <c r="AB17" s="59"/>
      <c r="AC17" s="38"/>
      <c r="AD17" s="59"/>
      <c r="AE17" s="38"/>
      <c r="AF17" s="59"/>
      <c r="AG17" s="3"/>
      <c r="AH17" s="59"/>
      <c r="AI17" s="3"/>
      <c r="AJ17" s="7"/>
      <c r="AK17" s="6"/>
      <c r="AL17" s="7"/>
      <c r="AM17" s="9"/>
      <c r="AN17" s="7"/>
      <c r="AO17" s="7"/>
    </row>
    <row r="18" spans="1:41" x14ac:dyDescent="0.35">
      <c r="C18"/>
      <c r="F18" s="20"/>
      <c r="G18" s="20"/>
      <c r="J18" s="21">
        <v>16</v>
      </c>
      <c r="K18" s="36"/>
      <c r="L18" s="66"/>
      <c r="M18" s="36"/>
      <c r="N18" s="66"/>
      <c r="O18" s="36"/>
      <c r="P18" s="66"/>
      <c r="Q18" s="36"/>
      <c r="R18" s="66"/>
      <c r="S18" s="36"/>
      <c r="T18" s="66"/>
      <c r="U18" s="36"/>
      <c r="V18" s="66"/>
      <c r="W18" s="36"/>
      <c r="X18" s="66"/>
      <c r="Y18" s="36"/>
      <c r="Z18" s="66"/>
      <c r="AA18" s="38"/>
      <c r="AB18" s="59"/>
      <c r="AC18" s="38"/>
      <c r="AD18" s="59"/>
      <c r="AE18" s="38"/>
      <c r="AF18" s="59"/>
      <c r="AG18" s="3"/>
      <c r="AH18" s="59"/>
      <c r="AI18" s="3"/>
      <c r="AJ18" s="7"/>
      <c r="AK18" s="6"/>
      <c r="AL18" s="7"/>
      <c r="AM18" s="9"/>
      <c r="AN18" s="7"/>
      <c r="AO18" s="7"/>
    </row>
    <row r="19" spans="1:41" x14ac:dyDescent="0.35">
      <c r="A19"/>
      <c r="B19"/>
      <c r="C19"/>
      <c r="E19" s="6"/>
      <c r="J19" s="21">
        <v>17</v>
      </c>
      <c r="K19" s="71"/>
      <c r="L19" s="72"/>
      <c r="M19" s="71"/>
      <c r="N19" s="72"/>
      <c r="O19" s="71"/>
      <c r="P19" s="72"/>
      <c r="Q19" s="71"/>
      <c r="R19" s="72"/>
      <c r="S19" s="71"/>
      <c r="T19" s="72"/>
      <c r="U19" s="71"/>
      <c r="V19" s="72"/>
      <c r="W19" s="71"/>
      <c r="X19" s="72"/>
      <c r="Y19" s="71"/>
      <c r="Z19" s="72"/>
      <c r="AA19" s="39"/>
      <c r="AB19" s="60"/>
      <c r="AC19" s="39"/>
      <c r="AD19" s="60"/>
      <c r="AE19" s="39"/>
      <c r="AF19" s="60"/>
      <c r="AG19" s="45"/>
      <c r="AH19" s="60"/>
      <c r="AI19" s="3"/>
      <c r="AK19" s="6"/>
      <c r="AL19" s="7"/>
      <c r="AM19" s="8"/>
      <c r="AN19" s="7"/>
      <c r="AO19" s="24"/>
    </row>
    <row r="20" spans="1:41" x14ac:dyDescent="0.35">
      <c r="A20" s="101" t="s">
        <v>84</v>
      </c>
      <c r="B20"/>
      <c r="C20"/>
      <c r="L20" s="112" t="s">
        <v>87</v>
      </c>
      <c r="M20" s="73"/>
      <c r="N20" s="112" t="s">
        <v>87</v>
      </c>
      <c r="O20" s="73"/>
      <c r="P20" s="112" t="s">
        <v>87</v>
      </c>
      <c r="R20" s="112" t="s">
        <v>87</v>
      </c>
      <c r="S20" s="112"/>
      <c r="T20" s="112"/>
      <c r="U20" s="112"/>
      <c r="V20" s="112"/>
      <c r="W20" s="112"/>
      <c r="X20" s="112"/>
      <c r="Y20" s="112"/>
      <c r="Z20" s="112"/>
      <c r="AB20" s="43" t="s">
        <v>88</v>
      </c>
      <c r="AD20" s="43" t="s">
        <v>88</v>
      </c>
      <c r="AF20" s="43" t="s">
        <v>88</v>
      </c>
      <c r="AH20" s="43" t="s">
        <v>88</v>
      </c>
      <c r="AI20" s="3"/>
    </row>
    <row r="21" spans="1:41" x14ac:dyDescent="0.35">
      <c r="A21" s="245" t="s">
        <v>234</v>
      </c>
      <c r="B21"/>
      <c r="C21"/>
      <c r="L21" s="21"/>
      <c r="M21" s="21"/>
      <c r="N21" s="21"/>
      <c r="O21" s="21"/>
      <c r="P21" s="21"/>
      <c r="Q21" s="21"/>
      <c r="R21" s="21"/>
      <c r="S21" s="21"/>
      <c r="T21" s="21"/>
      <c r="U21" s="21"/>
      <c r="V21" s="21"/>
      <c r="W21" s="21"/>
      <c r="X21" s="21"/>
      <c r="Y21" s="21"/>
      <c r="Z21" s="21"/>
      <c r="AA21" s="21"/>
      <c r="AB21" s="112" t="s">
        <v>235</v>
      </c>
      <c r="AC21" s="21"/>
      <c r="AD21" s="112" t="s">
        <v>235</v>
      </c>
      <c r="AE21" s="21"/>
      <c r="AF21" s="112" t="s">
        <v>235</v>
      </c>
      <c r="AG21" s="3"/>
      <c r="AH21" s="112" t="s">
        <v>235</v>
      </c>
      <c r="AI21" s="3"/>
    </row>
    <row r="22" spans="1:41" x14ac:dyDescent="0.35">
      <c r="A22"/>
      <c r="B22"/>
      <c r="C22"/>
      <c r="L22" s="21"/>
      <c r="M22" s="21"/>
      <c r="N22" s="21"/>
      <c r="O22" s="21"/>
      <c r="P22" s="21"/>
      <c r="Q22" s="21"/>
      <c r="R22" s="21"/>
      <c r="S22" s="21"/>
      <c r="T22" s="21"/>
      <c r="U22" s="21"/>
      <c r="V22" s="21"/>
      <c r="W22" s="21"/>
      <c r="X22" s="21"/>
      <c r="Y22" s="21"/>
      <c r="Z22" s="21"/>
      <c r="AA22" s="21"/>
      <c r="AB22" s="21"/>
      <c r="AC22" s="21"/>
      <c r="AD22" s="21"/>
      <c r="AE22" s="21"/>
      <c r="AF22" s="21"/>
      <c r="AG22" s="3"/>
      <c r="AH22" s="2"/>
      <c r="AI22" s="3"/>
    </row>
    <row r="23" spans="1:41" x14ac:dyDescent="0.35">
      <c r="C23"/>
      <c r="L23" s="21"/>
      <c r="M23" s="21"/>
      <c r="N23" s="21"/>
      <c r="O23" s="21"/>
      <c r="P23" s="21"/>
      <c r="Q23" s="21"/>
      <c r="R23" s="21"/>
      <c r="S23" s="21"/>
      <c r="T23" s="21"/>
      <c r="U23" s="21"/>
      <c r="V23" s="21"/>
      <c r="W23" s="21"/>
      <c r="X23" s="21"/>
      <c r="Y23" s="21"/>
      <c r="Z23" s="21"/>
      <c r="AA23" s="21"/>
      <c r="AB23" s="102"/>
      <c r="AC23" s="21"/>
      <c r="AD23" s="21"/>
      <c r="AE23" s="21"/>
      <c r="AF23" s="21"/>
      <c r="AG23" s="3"/>
      <c r="AH23" s="2"/>
      <c r="AI23" s="3"/>
    </row>
    <row r="24" spans="1:41" ht="16" thickBot="1" x14ac:dyDescent="0.4">
      <c r="A24"/>
      <c r="B24"/>
      <c r="C24"/>
      <c r="L24" s="21"/>
      <c r="M24" s="21"/>
      <c r="N24" s="21"/>
      <c r="O24" s="21"/>
      <c r="P24" s="21"/>
      <c r="Q24" s="21"/>
      <c r="R24" s="21"/>
      <c r="S24" s="21"/>
      <c r="T24" s="21"/>
      <c r="U24" s="21"/>
      <c r="V24" s="21"/>
      <c r="W24" s="21"/>
      <c r="X24" s="21"/>
      <c r="Y24" s="21"/>
      <c r="Z24" s="21"/>
      <c r="AA24" s="21"/>
      <c r="AB24" s="21"/>
      <c r="AC24" s="21"/>
      <c r="AD24" s="21"/>
      <c r="AE24" s="21"/>
      <c r="AF24" s="21"/>
      <c r="AG24" s="3"/>
      <c r="AH24" s="2"/>
      <c r="AI24" s="3"/>
    </row>
    <row r="25" spans="1:41" x14ac:dyDescent="0.35">
      <c r="A25"/>
      <c r="B25"/>
      <c r="I25" s="96" t="s">
        <v>89</v>
      </c>
      <c r="J25" s="2">
        <v>1</v>
      </c>
      <c r="K25" s="139" t="s">
        <v>59</v>
      </c>
      <c r="L25" s="140" t="s">
        <v>86</v>
      </c>
      <c r="M25" s="141" t="s">
        <v>63</v>
      </c>
      <c r="N25" s="21"/>
      <c r="O25" s="21"/>
      <c r="P25" s="21"/>
      <c r="Q25" s="21"/>
      <c r="R25" s="21"/>
      <c r="S25" s="21"/>
      <c r="T25" s="21"/>
      <c r="U25" s="21"/>
      <c r="V25" s="21"/>
      <c r="W25" s="21"/>
      <c r="X25" s="21"/>
      <c r="Y25" s="21"/>
      <c r="Z25" s="21"/>
      <c r="AA25" s="21"/>
      <c r="AB25" s="21"/>
      <c r="AC25" s="21"/>
      <c r="AD25" s="21"/>
      <c r="AE25" s="21"/>
      <c r="AF25" s="21"/>
      <c r="AG25" s="21"/>
      <c r="AH25" s="3"/>
      <c r="AI25" s="2"/>
      <c r="AJ25" s="3"/>
    </row>
    <row r="26" spans="1:41" x14ac:dyDescent="0.35">
      <c r="A26"/>
      <c r="B26"/>
      <c r="J26" s="2">
        <v>2</v>
      </c>
      <c r="K26" s="117" t="s">
        <v>90</v>
      </c>
      <c r="L26" s="137" t="s">
        <v>90</v>
      </c>
      <c r="M26" s="118" t="s">
        <v>91</v>
      </c>
      <c r="N26" s="21"/>
      <c r="O26" s="21"/>
      <c r="P26" s="21"/>
      <c r="Q26" s="21"/>
      <c r="R26" s="21"/>
      <c r="S26" s="21"/>
      <c r="T26" s="21"/>
      <c r="U26" s="21"/>
      <c r="V26" s="21"/>
      <c r="W26" s="21"/>
      <c r="X26" s="21"/>
      <c r="Y26" s="21"/>
      <c r="Z26" s="21"/>
      <c r="AA26" s="21"/>
      <c r="AB26" s="21"/>
      <c r="AC26" s="21"/>
      <c r="AD26" s="21"/>
      <c r="AE26" s="21"/>
      <c r="AF26" s="21"/>
      <c r="AG26" s="21"/>
      <c r="AH26" s="3"/>
      <c r="AI26" s="2"/>
      <c r="AJ26" s="3"/>
    </row>
    <row r="27" spans="1:41" x14ac:dyDescent="0.35">
      <c r="A27" s="6"/>
      <c r="B27" s="6"/>
      <c r="J27" s="2">
        <v>3</v>
      </c>
      <c r="K27" s="119"/>
      <c r="L27" s="138"/>
      <c r="M27" s="118" t="s">
        <v>92</v>
      </c>
      <c r="AJ27" s="10"/>
    </row>
    <row r="28" spans="1:41" x14ac:dyDescent="0.35">
      <c r="A28" s="6"/>
      <c r="B28" s="6"/>
      <c r="J28" s="2">
        <v>4</v>
      </c>
      <c r="K28" s="119"/>
      <c r="L28" s="138"/>
      <c r="M28" s="118" t="s">
        <v>93</v>
      </c>
      <c r="AJ28" s="10"/>
    </row>
    <row r="29" spans="1:41" x14ac:dyDescent="0.35">
      <c r="J29" s="2">
        <v>5</v>
      </c>
      <c r="K29" s="119"/>
      <c r="L29" s="138"/>
      <c r="M29" s="118" t="s">
        <v>94</v>
      </c>
      <c r="AJ29" s="10"/>
    </row>
    <row r="30" spans="1:41" x14ac:dyDescent="0.35">
      <c r="J30" s="2">
        <v>6</v>
      </c>
      <c r="K30" s="119"/>
      <c r="L30" s="138"/>
      <c r="M30" s="118" t="s">
        <v>96</v>
      </c>
    </row>
    <row r="31" spans="1:41" x14ac:dyDescent="0.35">
      <c r="J31" s="2">
        <v>7</v>
      </c>
      <c r="K31" s="119"/>
      <c r="L31" s="138"/>
      <c r="M31" s="118" t="s">
        <v>97</v>
      </c>
    </row>
    <row r="32" spans="1:41" x14ac:dyDescent="0.35">
      <c r="J32" s="2">
        <v>8</v>
      </c>
      <c r="K32" s="119"/>
      <c r="L32" s="138"/>
      <c r="M32" s="118" t="s">
        <v>98</v>
      </c>
      <c r="AJ32" s="10"/>
    </row>
    <row r="33" spans="10:13" x14ac:dyDescent="0.35">
      <c r="J33" s="2">
        <v>9</v>
      </c>
      <c r="K33" s="119"/>
      <c r="L33" s="138"/>
      <c r="M33" s="118" t="s">
        <v>99</v>
      </c>
    </row>
    <row r="34" spans="10:13" ht="15.75" customHeight="1" x14ac:dyDescent="0.35">
      <c r="J34" s="2">
        <v>10</v>
      </c>
      <c r="K34" s="119"/>
      <c r="L34" s="138"/>
      <c r="M34" s="118" t="s">
        <v>100</v>
      </c>
    </row>
    <row r="35" spans="10:13" ht="16" thickBot="1" x14ac:dyDescent="0.4">
      <c r="J35" s="2">
        <v>11</v>
      </c>
      <c r="K35" s="142"/>
      <c r="L35" s="143"/>
      <c r="M35" s="120"/>
    </row>
    <row r="36" spans="10:13" ht="15.75" customHeight="1" x14ac:dyDescent="0.35">
      <c r="M36" t="s">
        <v>95</v>
      </c>
    </row>
    <row r="37" spans="10:13" ht="15.75" customHeight="1" x14ac:dyDescent="0.35"/>
  </sheetData>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1"/>
  <sheetViews>
    <sheetView zoomScale="85" zoomScaleNormal="85" workbookViewId="0">
      <selection activeCell="D5" sqref="D5"/>
    </sheetView>
  </sheetViews>
  <sheetFormatPr defaultRowHeight="15.5" x14ac:dyDescent="0.35"/>
  <cols>
    <col min="1" max="1" width="12.5" bestFit="1" customWidth="1"/>
    <col min="2" max="2" width="8.08203125" style="4" bestFit="1" customWidth="1"/>
    <col min="3" max="3" width="11.33203125" bestFit="1" customWidth="1"/>
    <col min="4" max="4" width="44.58203125" bestFit="1" customWidth="1"/>
    <col min="5" max="5" width="8.58203125" style="4" bestFit="1" customWidth="1"/>
    <col min="6" max="6" width="48.75" bestFit="1" customWidth="1"/>
    <col min="7" max="8" width="6.33203125" bestFit="1" customWidth="1"/>
    <col min="9" max="10" width="6.33203125" style="4" bestFit="1" customWidth="1"/>
    <col min="11" max="11" width="43.83203125" style="4" bestFit="1" customWidth="1"/>
    <col min="12" max="13" width="5.33203125" style="4" bestFit="1" customWidth="1"/>
    <col min="14" max="14" width="6" bestFit="1" customWidth="1"/>
    <col min="15" max="15" width="10.08203125" customWidth="1"/>
    <col min="16" max="16" width="13.75" bestFit="1" customWidth="1"/>
  </cols>
  <sheetData>
    <row r="1" spans="1:15" x14ac:dyDescent="0.35">
      <c r="A1" s="29">
        <v>1</v>
      </c>
      <c r="B1" s="29">
        <f>A1+1</f>
        <v>2</v>
      </c>
      <c r="C1" s="29">
        <f t="shared" ref="C1:F1" si="0">B1+1</f>
        <v>3</v>
      </c>
      <c r="D1" s="29">
        <f t="shared" si="0"/>
        <v>4</v>
      </c>
      <c r="E1" s="29">
        <f t="shared" si="0"/>
        <v>5</v>
      </c>
      <c r="F1" s="29">
        <f t="shared" si="0"/>
        <v>6</v>
      </c>
      <c r="G1" s="29">
        <f t="shared" ref="G1" si="1">F1+1</f>
        <v>7</v>
      </c>
      <c r="H1" s="29">
        <f t="shared" ref="H1" si="2">G1+1</f>
        <v>8</v>
      </c>
      <c r="I1" s="29">
        <f t="shared" ref="I1" si="3">H1+1</f>
        <v>9</v>
      </c>
      <c r="J1" s="29">
        <f t="shared" ref="J1" si="4">I1+1</f>
        <v>10</v>
      </c>
      <c r="K1" s="29">
        <f t="shared" ref="K1" si="5">J1+1</f>
        <v>11</v>
      </c>
      <c r="L1" s="29">
        <f t="shared" ref="L1" si="6">K1+1</f>
        <v>12</v>
      </c>
      <c r="M1" s="29"/>
      <c r="N1" s="29">
        <f t="shared" ref="N1" si="7">L1+1</f>
        <v>13</v>
      </c>
    </row>
    <row r="2" spans="1:15" x14ac:dyDescent="0.35">
      <c r="A2" s="22"/>
      <c r="B2" s="23"/>
      <c r="C2" s="23"/>
      <c r="D2" s="22"/>
      <c r="E2" s="23"/>
      <c r="F2" s="22"/>
      <c r="G2" s="28"/>
      <c r="H2" s="23"/>
      <c r="I2" s="26"/>
      <c r="J2" s="27"/>
      <c r="K2" s="5"/>
      <c r="L2" s="22"/>
      <c r="M2" s="22"/>
      <c r="N2" s="22"/>
      <c r="O2" s="5"/>
    </row>
    <row r="3" spans="1:15" ht="70.5" x14ac:dyDescent="0.35">
      <c r="A3" s="35" t="s">
        <v>0</v>
      </c>
      <c r="B3" s="35" t="s">
        <v>1</v>
      </c>
      <c r="C3" s="35" t="s">
        <v>2</v>
      </c>
      <c r="D3" s="35" t="s">
        <v>101</v>
      </c>
      <c r="E3" s="35" t="s">
        <v>5</v>
      </c>
      <c r="F3" s="35" t="s">
        <v>4</v>
      </c>
      <c r="G3" s="76" t="s">
        <v>21</v>
      </c>
      <c r="H3" s="77" t="s">
        <v>22</v>
      </c>
      <c r="I3" s="77" t="s">
        <v>23</v>
      </c>
      <c r="J3" s="78" t="s">
        <v>24</v>
      </c>
      <c r="K3" s="61" t="s">
        <v>102</v>
      </c>
      <c r="L3" s="135" t="s">
        <v>59</v>
      </c>
      <c r="M3" s="135" t="s">
        <v>86</v>
      </c>
      <c r="N3" s="135" t="s">
        <v>63</v>
      </c>
      <c r="O3" s="5"/>
    </row>
    <row r="4" spans="1:15" x14ac:dyDescent="0.35">
      <c r="A4" s="10" t="s">
        <v>80</v>
      </c>
      <c r="B4" s="11"/>
      <c r="C4" s="10"/>
      <c r="D4" s="10" t="s">
        <v>103</v>
      </c>
      <c r="E4" s="11"/>
      <c r="F4" s="84"/>
      <c r="G4" s="87" t="str">
        <f>IFERROR(IF(VLOOKUP(TableHandbook[[#This Row],[UDC]],TableAvailabilities[],2,FALSE)&gt;0,"Y",""),"")</f>
        <v/>
      </c>
      <c r="H4" s="88" t="str">
        <f>IFERROR(IF(VLOOKUP(TableHandbook[[#This Row],[UDC]],TableAvailabilities[],3,FALSE)&gt;0,"Y",""),"")</f>
        <v/>
      </c>
      <c r="I4" s="89" t="str">
        <f>IFERROR(IF(VLOOKUP(TableHandbook[[#This Row],[UDC]],TableAvailabilities[],4,FALSE)&gt;0,"Y",""),"")</f>
        <v/>
      </c>
      <c r="J4" s="90" t="str">
        <f>IFERROR(IF(VLOOKUP(TableHandbook[[#This Row],[UDC]],TableAvailabilities[],5,FALSE)&gt;0,"Y",""),"")</f>
        <v/>
      </c>
      <c r="K4" s="15"/>
      <c r="L4" s="86" t="str">
        <f>IFERROR(VLOOKUP(TableHandbook[[#This Row],[UDC]],TableOCDEVPLN[],7,FALSE),"")</f>
        <v/>
      </c>
      <c r="M4" s="86" t="str">
        <f>IFERROR(VLOOKUP(TableHandbook[[#This Row],[UDC]],TableOCGEOG1[],7,FALSE),"")</f>
        <v/>
      </c>
      <c r="N4" s="86" t="str">
        <f>IFERROR(VLOOKUP(TableHandbook[[#This Row],[UDC]],TableOMURPLAN2[],7,FALSE),"")</f>
        <v/>
      </c>
      <c r="O4" s="5"/>
    </row>
    <row r="5" spans="1:15" x14ac:dyDescent="0.35">
      <c r="A5" s="10" t="s">
        <v>90</v>
      </c>
      <c r="B5" s="11"/>
      <c r="C5" s="10"/>
      <c r="D5" s="10" t="s">
        <v>104</v>
      </c>
      <c r="E5" s="11"/>
      <c r="F5" s="84"/>
      <c r="G5" s="91" t="str">
        <f>IFERROR(IF(VLOOKUP(TableHandbook[[#This Row],[UDC]],TableAvailabilities[],2,FALSE)&gt;0,"Y",""),"")</f>
        <v/>
      </c>
      <c r="H5" s="86" t="str">
        <f>IFERROR(IF(VLOOKUP(TableHandbook[[#This Row],[UDC]],TableAvailabilities[],3,FALSE)&gt;0,"Y",""),"")</f>
        <v/>
      </c>
      <c r="I5" s="92" t="str">
        <f>IFERROR(IF(VLOOKUP(TableHandbook[[#This Row],[UDC]],TableAvailabilities[],4,FALSE)&gt;0,"Y",""),"")</f>
        <v/>
      </c>
      <c r="J5" s="93" t="str">
        <f>IFERROR(IF(VLOOKUP(TableHandbook[[#This Row],[UDC]],TableAvailabilities[],5,FALSE)&gt;0,"Y",""),"")</f>
        <v/>
      </c>
      <c r="K5" s="15"/>
      <c r="L5" s="86" t="str">
        <f>IFERROR(VLOOKUP(TableHandbook[[#This Row],[UDC]],TableOCDEVPLN[],7,FALSE),"")</f>
        <v/>
      </c>
      <c r="M5" s="86" t="str">
        <f>IFERROR(VLOOKUP(TableHandbook[[#This Row],[UDC]],TableOCGEOG1[],7,FALSE),"")</f>
        <v/>
      </c>
      <c r="N5" s="86" t="str">
        <f>IFERROR(VLOOKUP(TableHandbook[[#This Row],[UDC]],TableOMURPLAN2[],7,FALSE),"")</f>
        <v/>
      </c>
    </row>
    <row r="6" spans="1:15" x14ac:dyDescent="0.35">
      <c r="A6" s="10" t="s">
        <v>52</v>
      </c>
      <c r="B6" s="11">
        <v>1</v>
      </c>
      <c r="C6" s="10" t="s">
        <v>105</v>
      </c>
      <c r="D6" s="10" t="s">
        <v>106</v>
      </c>
      <c r="E6" s="11">
        <v>25</v>
      </c>
      <c r="F6" s="85" t="s">
        <v>107</v>
      </c>
      <c r="G6" s="91" t="str">
        <f>IFERROR(IF(VLOOKUP(TableHandbook[[#This Row],[UDC]],TableAvailabilities[],2,FALSE)&gt;0,"Y",""),"")</f>
        <v>Y</v>
      </c>
      <c r="H6" s="86" t="str">
        <f>IFERROR(IF(VLOOKUP(TableHandbook[[#This Row],[UDC]],TableAvailabilities[],3,FALSE)&gt;0,"Y",""),"")</f>
        <v/>
      </c>
      <c r="I6" s="92" t="str">
        <f>IFERROR(IF(VLOOKUP(TableHandbook[[#This Row],[UDC]],TableAvailabilities[],4,FALSE)&gt;0,"Y",""),"")</f>
        <v>Y</v>
      </c>
      <c r="J6" s="93" t="str">
        <f>IFERROR(IF(VLOOKUP(TableHandbook[[#This Row],[UDC]],TableAvailabilities[],5,FALSE)&gt;0,"Y",""),"")</f>
        <v/>
      </c>
      <c r="K6" s="15"/>
      <c r="L6" s="86" t="str">
        <f>IFERROR(VLOOKUP(TableHandbook[[#This Row],[UDC]],TableOCDEVPLN[],7,FALSE),"")</f>
        <v>Core</v>
      </c>
      <c r="M6" s="86" t="str">
        <f>IFERROR(VLOOKUP(TableHandbook[[#This Row],[UDC]],TableOCGEOG1[],7,FALSE),"")</f>
        <v>Core</v>
      </c>
      <c r="N6" s="86" t="str">
        <f>IFERROR(VLOOKUP(TableHandbook[[#This Row],[UDC]],TableOMURPLAN2[],7,FALSE),"")</f>
        <v/>
      </c>
    </row>
    <row r="7" spans="1:15" x14ac:dyDescent="0.35">
      <c r="A7" s="136" t="s">
        <v>216</v>
      </c>
      <c r="B7" s="11">
        <v>1</v>
      </c>
      <c r="C7" s="10" t="s">
        <v>222</v>
      </c>
      <c r="D7" s="10" t="s">
        <v>223</v>
      </c>
      <c r="E7" s="11">
        <v>25</v>
      </c>
      <c r="F7" s="84" t="s">
        <v>107</v>
      </c>
      <c r="G7" s="91" t="str">
        <f>IFERROR(IF(VLOOKUP(TableHandbook[[#This Row],[UDC]],TableAvailabilities[],2,FALSE)&gt;0,"Y",""),"")</f>
        <v/>
      </c>
      <c r="H7" s="86" t="str">
        <f>IFERROR(IF(VLOOKUP(TableHandbook[[#This Row],[UDC]],TableAvailabilities[],3,FALSE)&gt;0,"Y",""),"")</f>
        <v>Y</v>
      </c>
      <c r="I7" s="92" t="str">
        <f>IFERROR(IF(VLOOKUP(TableHandbook[[#This Row],[UDC]],TableAvailabilities[],4,FALSE)&gt;0,"Y",""),"")</f>
        <v/>
      </c>
      <c r="J7" s="93" t="str">
        <f>IFERROR(IF(VLOOKUP(TableHandbook[[#This Row],[UDC]],TableAvailabilities[],5,FALSE)&gt;0,"Y",""),"")</f>
        <v>Y</v>
      </c>
      <c r="K7" s="15"/>
      <c r="L7" s="128" t="str">
        <f>IFERROR(VLOOKUP(TableHandbook[[#This Row],[UDC]],TableOCDEVPLN[],7,FALSE),"")</f>
        <v/>
      </c>
      <c r="M7" s="128" t="str">
        <f>IFERROR(VLOOKUP(TableHandbook[[#This Row],[UDC]],TableOCGEOG1[],7,FALSE),"")</f>
        <v>Core</v>
      </c>
      <c r="N7" s="128" t="str">
        <f>IFERROR(VLOOKUP(TableHandbook[[#This Row],[UDC]],TableOMURPLAN2[],7,FALSE),"")</f>
        <v/>
      </c>
    </row>
    <row r="8" spans="1:15" x14ac:dyDescent="0.35">
      <c r="A8" s="136" t="s">
        <v>217</v>
      </c>
      <c r="B8" s="11">
        <v>1</v>
      </c>
      <c r="C8" s="10" t="s">
        <v>224</v>
      </c>
      <c r="D8" s="10" t="s">
        <v>225</v>
      </c>
      <c r="E8" s="11">
        <v>25</v>
      </c>
      <c r="F8" s="84" t="s">
        <v>107</v>
      </c>
      <c r="G8" s="91" t="str">
        <f>IFERROR(IF(VLOOKUP(TableHandbook[[#This Row],[UDC]],TableAvailabilities[],2,FALSE)&gt;0,"Y",""),"")</f>
        <v/>
      </c>
      <c r="H8" s="86" t="str">
        <f>IFERROR(IF(VLOOKUP(TableHandbook[[#This Row],[UDC]],TableAvailabilities[],3,FALSE)&gt;0,"Y",""),"")</f>
        <v>Y</v>
      </c>
      <c r="I8" s="92" t="str">
        <f>IFERROR(IF(VLOOKUP(TableHandbook[[#This Row],[UDC]],TableAvailabilities[],4,FALSE)&gt;0,"Y",""),"")</f>
        <v/>
      </c>
      <c r="J8" s="93" t="str">
        <f>IFERROR(IF(VLOOKUP(TableHandbook[[#This Row],[UDC]],TableAvailabilities[],5,FALSE)&gt;0,"Y",""),"")</f>
        <v>Y</v>
      </c>
      <c r="K8" s="15"/>
      <c r="L8" s="128" t="str">
        <f>IFERROR(VLOOKUP(TableHandbook[[#This Row],[UDC]],TableOCDEVPLN[],7,FALSE),"")</f>
        <v/>
      </c>
      <c r="M8" s="128" t="str">
        <f>IFERROR(VLOOKUP(TableHandbook[[#This Row],[UDC]],TableOCGEOG1[],7,FALSE),"")</f>
        <v>Core</v>
      </c>
      <c r="N8" s="128" t="str">
        <f>IFERROR(VLOOKUP(TableHandbook[[#This Row],[UDC]],TableOMURPLAN2[],7,FALSE),"")</f>
        <v/>
      </c>
    </row>
    <row r="9" spans="1:15" x14ac:dyDescent="0.35">
      <c r="A9" s="136" t="s">
        <v>219</v>
      </c>
      <c r="B9" s="11">
        <v>2</v>
      </c>
      <c r="C9" s="10" t="s">
        <v>226</v>
      </c>
      <c r="D9" s="10" t="s">
        <v>227</v>
      </c>
      <c r="E9" s="11">
        <v>25</v>
      </c>
      <c r="F9" s="84" t="s">
        <v>107</v>
      </c>
      <c r="G9" s="91" t="str">
        <f>IFERROR(IF(VLOOKUP(TableHandbook[[#This Row],[UDC]],TableAvailabilities[],2,FALSE)&gt;0,"Y",""),"")</f>
        <v>Y</v>
      </c>
      <c r="H9" s="86" t="str">
        <f>IFERROR(IF(VLOOKUP(TableHandbook[[#This Row],[UDC]],TableAvailabilities[],3,FALSE)&gt;0,"Y",""),"")</f>
        <v/>
      </c>
      <c r="I9" s="92" t="str">
        <f>IFERROR(IF(VLOOKUP(TableHandbook[[#This Row],[UDC]],TableAvailabilities[],4,FALSE)&gt;0,"Y",""),"")</f>
        <v>Y</v>
      </c>
      <c r="J9" s="93" t="str">
        <f>IFERROR(IF(VLOOKUP(TableHandbook[[#This Row],[UDC]],TableAvailabilities[],5,FALSE)&gt;0,"Y",""),"")</f>
        <v/>
      </c>
      <c r="K9" s="15"/>
      <c r="L9" s="128" t="str">
        <f>IFERROR(VLOOKUP(TableHandbook[[#This Row],[UDC]],TableOCDEVPLN[],7,FALSE),"")</f>
        <v/>
      </c>
      <c r="M9" s="128" t="str">
        <f>IFERROR(VLOOKUP(TableHandbook[[#This Row],[UDC]],TableOCGEOG1[],7,FALSE),"")</f>
        <v>Core</v>
      </c>
      <c r="N9" s="128" t="str">
        <f>IFERROR(VLOOKUP(TableHandbook[[#This Row],[UDC]],TableOMURPLAN2[],7,FALSE),"")</f>
        <v/>
      </c>
    </row>
    <row r="10" spans="1:15" x14ac:dyDescent="0.35">
      <c r="A10" s="10" t="s">
        <v>81</v>
      </c>
      <c r="B10" s="11">
        <v>0</v>
      </c>
      <c r="C10" s="10"/>
      <c r="D10" s="10" t="s">
        <v>108</v>
      </c>
      <c r="E10" s="11">
        <v>25</v>
      </c>
      <c r="F10" s="85" t="s">
        <v>109</v>
      </c>
      <c r="G10" s="91" t="str">
        <f>IFERROR(IF(VLOOKUP(TableHandbook[[#This Row],[UDC]],TableAvailabilities[],2,FALSE)&gt;0,"Y",""),"")</f>
        <v/>
      </c>
      <c r="H10" s="86" t="str">
        <f>IFERROR(IF(VLOOKUP(TableHandbook[[#This Row],[UDC]],TableAvailabilities[],3,FALSE)&gt;0,"Y",""),"")</f>
        <v/>
      </c>
      <c r="I10" s="92" t="str">
        <f>IFERROR(IF(VLOOKUP(TableHandbook[[#This Row],[UDC]],TableAvailabilities[],4,FALSE)&gt;0,"Y",""),"")</f>
        <v/>
      </c>
      <c r="J10" s="93" t="str">
        <f>IFERROR(IF(VLOOKUP(TableHandbook[[#This Row],[UDC]],TableAvailabilities[],5,FALSE)&gt;0,"Y",""),"")</f>
        <v/>
      </c>
      <c r="K10" s="15"/>
      <c r="L10" s="86" t="str">
        <f>IFERROR(VLOOKUP(TableHandbook[[#This Row],[UDC]],TableOCDEVPLN[],7,FALSE),"")</f>
        <v/>
      </c>
      <c r="M10" s="86" t="str">
        <f>IFERROR(VLOOKUP(TableHandbook[[#This Row],[UDC]],TableOCGEOG1[],7,FALSE),"")</f>
        <v/>
      </c>
      <c r="N10" s="86" t="str">
        <f>IFERROR(VLOOKUP(TableHandbook[[#This Row],[UDC]],TableOMURPLAN2[],7,FALSE),"")</f>
        <v/>
      </c>
    </row>
    <row r="11" spans="1:15" x14ac:dyDescent="0.35">
      <c r="A11" s="10" t="s">
        <v>91</v>
      </c>
      <c r="B11" s="11">
        <v>2</v>
      </c>
      <c r="C11" s="10" t="s">
        <v>110</v>
      </c>
      <c r="D11" s="10" t="s">
        <v>111</v>
      </c>
      <c r="E11" s="11">
        <v>25</v>
      </c>
      <c r="F11" s="85" t="s">
        <v>107</v>
      </c>
      <c r="G11" s="91" t="str">
        <f>IFERROR(IF(VLOOKUP(TableHandbook[[#This Row],[UDC]],TableAvailabilities[],2,FALSE)&gt;0,"Y",""),"")</f>
        <v>Y</v>
      </c>
      <c r="H11" s="86" t="str">
        <f>IFERROR(IF(VLOOKUP(TableHandbook[[#This Row],[UDC]],TableAvailabilities[],3,FALSE)&gt;0,"Y",""),"")</f>
        <v/>
      </c>
      <c r="I11" s="92" t="str">
        <f>IFERROR(IF(VLOOKUP(TableHandbook[[#This Row],[UDC]],TableAvailabilities[],4,FALSE)&gt;0,"Y",""),"")</f>
        <v>Y</v>
      </c>
      <c r="J11" s="93" t="str">
        <f>IFERROR(IF(VLOOKUP(TableHandbook[[#This Row],[UDC]],TableAvailabilities[],5,FALSE)&gt;0,"Y",""),"")</f>
        <v/>
      </c>
      <c r="K11" s="15"/>
      <c r="L11" s="94" t="str">
        <f>IFERROR(VLOOKUP(TableHandbook[[#This Row],[UDC]],TableOCDEVPLN[],7,FALSE),"")</f>
        <v/>
      </c>
      <c r="M11" s="94" t="str">
        <f>IFERROR(VLOOKUP(TableHandbook[[#This Row],[UDC]],TableOCGEOG1[],7,FALSE),"")</f>
        <v/>
      </c>
      <c r="N11" s="86" t="str">
        <f>IFERROR(VLOOKUP(TableHandbook[[#This Row],[UDC]],TableOMURPLAN2[],7,FALSE),"")</f>
        <v>Option</v>
      </c>
    </row>
    <row r="12" spans="1:15" x14ac:dyDescent="0.35">
      <c r="A12" s="10" t="s">
        <v>92</v>
      </c>
      <c r="B12" s="11">
        <v>1</v>
      </c>
      <c r="C12" s="10" t="s">
        <v>112</v>
      </c>
      <c r="D12" s="10" t="s">
        <v>113</v>
      </c>
      <c r="E12" s="11">
        <v>25</v>
      </c>
      <c r="F12" s="85" t="s">
        <v>107</v>
      </c>
      <c r="G12" s="91" t="str">
        <f>IFERROR(IF(VLOOKUP(TableHandbook[[#This Row],[UDC]],TableAvailabilities[],2,FALSE)&gt;0,"Y",""),"")</f>
        <v>Y</v>
      </c>
      <c r="H12" s="86" t="str">
        <f>IFERROR(IF(VLOOKUP(TableHandbook[[#This Row],[UDC]],TableAvailabilities[],3,FALSE)&gt;0,"Y",""),"")</f>
        <v/>
      </c>
      <c r="I12" s="92" t="str">
        <f>IFERROR(IF(VLOOKUP(TableHandbook[[#This Row],[UDC]],TableAvailabilities[],4,FALSE)&gt;0,"Y",""),"")</f>
        <v>Y</v>
      </c>
      <c r="J12" s="93" t="str">
        <f>IFERROR(IF(VLOOKUP(TableHandbook[[#This Row],[UDC]],TableAvailabilities[],5,FALSE)&gt;0,"Y",""),"")</f>
        <v/>
      </c>
      <c r="K12" s="15"/>
      <c r="L12" s="86" t="str">
        <f>IFERROR(VLOOKUP(TableHandbook[[#This Row],[UDC]],TableOCDEVPLN[],7,FALSE),"")</f>
        <v/>
      </c>
      <c r="M12" s="86" t="str">
        <f>IFERROR(VLOOKUP(TableHandbook[[#This Row],[UDC]],TableOCGEOG1[],7,FALSE),"")</f>
        <v/>
      </c>
      <c r="N12" s="86" t="str">
        <f>IFERROR(VLOOKUP(TableHandbook[[#This Row],[UDC]],TableOMURPLAN2[],7,FALSE),"")</f>
        <v>Option</v>
      </c>
    </row>
    <row r="13" spans="1:15" x14ac:dyDescent="0.35">
      <c r="A13" s="10" t="s">
        <v>93</v>
      </c>
      <c r="B13" s="11">
        <v>1</v>
      </c>
      <c r="C13" s="10" t="s">
        <v>114</v>
      </c>
      <c r="D13" s="10" t="s">
        <v>115</v>
      </c>
      <c r="E13" s="11">
        <v>25</v>
      </c>
      <c r="F13" s="85" t="s">
        <v>107</v>
      </c>
      <c r="G13" s="91" t="str">
        <f>IFERROR(IF(VLOOKUP(TableHandbook[[#This Row],[UDC]],TableAvailabilities[],2,FALSE)&gt;0,"Y",""),"")</f>
        <v/>
      </c>
      <c r="H13" s="86" t="str">
        <f>IFERROR(IF(VLOOKUP(TableHandbook[[#This Row],[UDC]],TableAvailabilities[],3,FALSE)&gt;0,"Y",""),"")</f>
        <v>Y</v>
      </c>
      <c r="I13" s="92" t="str">
        <f>IFERROR(IF(VLOOKUP(TableHandbook[[#This Row],[UDC]],TableAvailabilities[],4,FALSE)&gt;0,"Y",""),"")</f>
        <v/>
      </c>
      <c r="J13" s="93" t="str">
        <f>IFERROR(IF(VLOOKUP(TableHandbook[[#This Row],[UDC]],TableAvailabilities[],5,FALSE)&gt;0,"Y",""),"")</f>
        <v>Y</v>
      </c>
      <c r="K13" s="15"/>
      <c r="L13" s="95" t="str">
        <f>IFERROR(VLOOKUP(TableHandbook[[#This Row],[UDC]],TableOCDEVPLN[],7,FALSE),"")</f>
        <v/>
      </c>
      <c r="M13" s="95" t="str">
        <f>IFERROR(VLOOKUP(TableHandbook[[#This Row],[UDC]],TableOCGEOG1[],7,FALSE),"")</f>
        <v/>
      </c>
      <c r="N13" s="86" t="str">
        <f>IFERROR(VLOOKUP(TableHandbook[[#This Row],[UDC]],TableOMURPLAN2[],7,FALSE),"")</f>
        <v>Option</v>
      </c>
    </row>
    <row r="14" spans="1:15" x14ac:dyDescent="0.35">
      <c r="A14" s="10" t="s">
        <v>94</v>
      </c>
      <c r="B14" s="11">
        <v>2</v>
      </c>
      <c r="C14" s="10" t="s">
        <v>116</v>
      </c>
      <c r="D14" s="10" t="s">
        <v>211</v>
      </c>
      <c r="E14" s="11">
        <v>25</v>
      </c>
      <c r="F14" s="84" t="s">
        <v>107</v>
      </c>
      <c r="G14" s="91" t="str">
        <f>IFERROR(IF(VLOOKUP(TableHandbook[[#This Row],[UDC]],TableAvailabilities[],2,FALSE)&gt;0,"Y",""),"")</f>
        <v/>
      </c>
      <c r="H14" s="86" t="str">
        <f>IFERROR(IF(VLOOKUP(TableHandbook[[#This Row],[UDC]],TableAvailabilities[],3,FALSE)&gt;0,"Y",""),"")</f>
        <v>Y</v>
      </c>
      <c r="I14" s="92" t="str">
        <f>IFERROR(IF(VLOOKUP(TableHandbook[[#This Row],[UDC]],TableAvailabilities[],4,FALSE)&gt;0,"Y",""),"")</f>
        <v/>
      </c>
      <c r="J14" s="93" t="str">
        <f>IFERROR(IF(VLOOKUP(TableHandbook[[#This Row],[UDC]],TableAvailabilities[],5,FALSE)&gt;0,"Y",""),"")</f>
        <v>Y</v>
      </c>
      <c r="K14" s="15" t="s">
        <v>214</v>
      </c>
      <c r="L14" s="128" t="str">
        <f>IFERROR(VLOOKUP(TableHandbook[[#This Row],[UDC]],TableOCDEVPLN[],7,FALSE),"")</f>
        <v/>
      </c>
      <c r="M14" s="128" t="str">
        <f>IFERROR(VLOOKUP(TableHandbook[[#This Row],[UDC]],TableOCGEOG1[],7,FALSE),"")</f>
        <v/>
      </c>
      <c r="N14" s="128" t="str">
        <f>IFERROR(VLOOKUP(TableHandbook[[#This Row],[UDC]],TableOMURPLAN2[],7,FALSE),"")</f>
        <v>Option</v>
      </c>
    </row>
    <row r="15" spans="1:15" x14ac:dyDescent="0.35">
      <c r="A15" s="10" t="s">
        <v>212</v>
      </c>
      <c r="B15" s="11">
        <v>1</v>
      </c>
      <c r="C15" s="10" t="s">
        <v>116</v>
      </c>
      <c r="D15" s="10" t="s">
        <v>117</v>
      </c>
      <c r="E15" s="11">
        <v>25</v>
      </c>
      <c r="F15" s="85" t="s">
        <v>107</v>
      </c>
      <c r="G15" s="91" t="str">
        <f>IFERROR(IF(VLOOKUP(TableHandbook[[#This Row],[UDC]],TableAvailabilities[],2,FALSE)&gt;0,"Y",""),"")</f>
        <v/>
      </c>
      <c r="H15" s="86" t="str">
        <f>IFERROR(IF(VLOOKUP(TableHandbook[[#This Row],[UDC]],TableAvailabilities[],3,FALSE)&gt;0,"Y",""),"")</f>
        <v/>
      </c>
      <c r="I15" s="92" t="str">
        <f>IFERROR(IF(VLOOKUP(TableHandbook[[#This Row],[UDC]],TableAvailabilities[],4,FALSE)&gt;0,"Y",""),"")</f>
        <v/>
      </c>
      <c r="J15" s="93" t="str">
        <f>IFERROR(IF(VLOOKUP(TableHandbook[[#This Row],[UDC]],TableAvailabilities[],5,FALSE)&gt;0,"Y",""),"")</f>
        <v/>
      </c>
      <c r="K15" s="15" t="s">
        <v>213</v>
      </c>
      <c r="L15" s="86" t="str">
        <f>IFERROR(VLOOKUP(TableHandbook[[#This Row],[UDC]],TableOCDEVPLN[],7,FALSE),"")</f>
        <v/>
      </c>
      <c r="M15" s="86" t="str">
        <f>IFERROR(VLOOKUP(TableHandbook[[#This Row],[UDC]],TableOCGEOG1[],7,FALSE),"")</f>
        <v/>
      </c>
      <c r="N15" s="86" t="str">
        <f>IFERROR(VLOOKUP(TableHandbook[[#This Row],[UDC]],TableOMURPLAN2[],7,FALSE),"")</f>
        <v/>
      </c>
    </row>
    <row r="16" spans="1:15" x14ac:dyDescent="0.35">
      <c r="A16" s="10" t="s">
        <v>95</v>
      </c>
      <c r="B16" s="11">
        <v>1</v>
      </c>
      <c r="C16" s="10" t="s">
        <v>118</v>
      </c>
      <c r="D16" s="10" t="s">
        <v>119</v>
      </c>
      <c r="E16" s="11">
        <v>25</v>
      </c>
      <c r="F16" s="85" t="s">
        <v>107</v>
      </c>
      <c r="G16" s="91" t="str">
        <f>IFERROR(IF(VLOOKUP(TableHandbook[[#This Row],[UDC]],TableAvailabilities[],2,FALSE)&gt;0,"Y",""),"")</f>
        <v/>
      </c>
      <c r="H16" s="86" t="str">
        <f>IFERROR(IF(VLOOKUP(TableHandbook[[#This Row],[UDC]],TableAvailabilities[],3,FALSE)&gt;0,"Y",""),"")</f>
        <v/>
      </c>
      <c r="I16" s="86" t="str">
        <f>IFERROR(IF(VLOOKUP(TableHandbook[[#This Row],[UDC]],TableAvailabilities[],4,FALSE)&gt;0,"Y",""),"")</f>
        <v/>
      </c>
      <c r="J16" s="93" t="str">
        <f>IFERROR(IF(VLOOKUP(TableHandbook[[#This Row],[UDC]],TableAvailabilities[],5,FALSE)&gt;0,"Y",""),"")</f>
        <v/>
      </c>
      <c r="K16" s="15" t="s">
        <v>233</v>
      </c>
      <c r="L16" s="86" t="str">
        <f>IFERROR(VLOOKUP(TableHandbook[[#This Row],[UDC]],TableOCDEVPLN[],7,FALSE),"")</f>
        <v/>
      </c>
      <c r="M16" s="86" t="str">
        <f>IFERROR(VLOOKUP(TableHandbook[[#This Row],[UDC]],TableOCGEOG1[],7,FALSE),"")</f>
        <v/>
      </c>
      <c r="N16" s="86" t="str">
        <f>IFERROR(VLOOKUP(TableHandbook[[#This Row],[UDC]],TableOMURPLAN2[],7,FALSE),"")</f>
        <v>Option</v>
      </c>
    </row>
    <row r="17" spans="1:14" x14ac:dyDescent="0.35">
      <c r="A17" s="8" t="s">
        <v>96</v>
      </c>
      <c r="B17" s="34">
        <v>2</v>
      </c>
      <c r="C17" s="10" t="s">
        <v>120</v>
      </c>
      <c r="D17" s="8" t="s">
        <v>121</v>
      </c>
      <c r="E17" s="34">
        <v>25</v>
      </c>
      <c r="F17" s="85" t="s">
        <v>107</v>
      </c>
      <c r="G17" s="91" t="str">
        <f>IFERROR(IF(VLOOKUP(TableHandbook[[#This Row],[UDC]],TableAvailabilities[],2,FALSE)&gt;0,"Y",""),"")</f>
        <v/>
      </c>
      <c r="H17" s="86" t="str">
        <f>IFERROR(IF(VLOOKUP(TableHandbook[[#This Row],[UDC]],TableAvailabilities[],3,FALSE)&gt;0,"Y",""),"")</f>
        <v>Y</v>
      </c>
      <c r="I17" s="92" t="str">
        <f>IFERROR(IF(VLOOKUP(TableHandbook[[#This Row],[UDC]],TableAvailabilities[],4,FALSE)&gt;0,"Y",""),"")</f>
        <v/>
      </c>
      <c r="J17" s="93" t="str">
        <f>IFERROR(IF(VLOOKUP(TableHandbook[[#This Row],[UDC]],TableAvailabilities[],5,FALSE)&gt;0,"Y",""),"")</f>
        <v>Y</v>
      </c>
      <c r="K17" s="15"/>
      <c r="L17" s="95" t="str">
        <f>IFERROR(VLOOKUP(TableHandbook[[#This Row],[UDC]],TableOCDEVPLN[],7,FALSE),"")</f>
        <v/>
      </c>
      <c r="M17" s="95" t="str">
        <f>IFERROR(VLOOKUP(TableHandbook[[#This Row],[UDC]],TableOCGEOG1[],7,FALSE),"")</f>
        <v/>
      </c>
      <c r="N17" s="95" t="str">
        <f>IFERROR(VLOOKUP(TableHandbook[[#This Row],[UDC]],TableOMURPLAN2[],7,FALSE),"")</f>
        <v>Option</v>
      </c>
    </row>
    <row r="18" spans="1:14" x14ac:dyDescent="0.35">
      <c r="A18" s="8" t="s">
        <v>97</v>
      </c>
      <c r="B18" s="34">
        <v>1</v>
      </c>
      <c r="C18" s="10" t="s">
        <v>122</v>
      </c>
      <c r="D18" s="8" t="s">
        <v>123</v>
      </c>
      <c r="E18" s="34">
        <v>25</v>
      </c>
      <c r="F18" s="85" t="s">
        <v>107</v>
      </c>
      <c r="G18" s="91" t="str">
        <f>IFERROR(IF(VLOOKUP(TableHandbook[[#This Row],[UDC]],TableAvailabilities[],2,FALSE)&gt;0,"Y",""),"")</f>
        <v>Y</v>
      </c>
      <c r="H18" s="86" t="str">
        <f>IFERROR(IF(VLOOKUP(TableHandbook[[#This Row],[UDC]],TableAvailabilities[],3,FALSE)&gt;0,"Y",""),"")</f>
        <v/>
      </c>
      <c r="I18" s="92" t="str">
        <f>IFERROR(IF(VLOOKUP(TableHandbook[[#This Row],[UDC]],TableAvailabilities[],4,FALSE)&gt;0,"Y",""),"")</f>
        <v>Y</v>
      </c>
      <c r="J18" s="93" t="str">
        <f>IFERROR(IF(VLOOKUP(TableHandbook[[#This Row],[UDC]],TableAvailabilities[],5,FALSE)&gt;0,"Y",""),"")</f>
        <v/>
      </c>
      <c r="K18" s="15"/>
      <c r="L18" s="95" t="str">
        <f>IFERROR(VLOOKUP(TableHandbook[[#This Row],[UDC]],TableOCDEVPLN[],7,FALSE),"")</f>
        <v/>
      </c>
      <c r="M18" s="95" t="str">
        <f>IFERROR(VLOOKUP(TableHandbook[[#This Row],[UDC]],TableOCGEOG1[],7,FALSE),"")</f>
        <v/>
      </c>
      <c r="N18" s="95" t="str">
        <f>IFERROR(VLOOKUP(TableHandbook[[#This Row],[UDC]],TableOMURPLAN2[],7,FALSE),"")</f>
        <v>Option</v>
      </c>
    </row>
    <row r="19" spans="1:14" x14ac:dyDescent="0.35">
      <c r="A19" s="10" t="s">
        <v>98</v>
      </c>
      <c r="B19" s="11">
        <v>2</v>
      </c>
      <c r="C19" s="10" t="s">
        <v>124</v>
      </c>
      <c r="D19" s="10" t="s">
        <v>125</v>
      </c>
      <c r="E19" s="11">
        <v>25</v>
      </c>
      <c r="F19" s="85" t="s">
        <v>107</v>
      </c>
      <c r="G19" s="91" t="str">
        <f>IFERROR(IF(VLOOKUP(TableHandbook[[#This Row],[UDC]],TableAvailabilities[],2,FALSE)&gt;0,"Y",""),"")</f>
        <v/>
      </c>
      <c r="H19" s="86" t="str">
        <f>IFERROR(IF(VLOOKUP(TableHandbook[[#This Row],[UDC]],TableAvailabilities[],3,FALSE)&gt;0,"Y",""),"")</f>
        <v>Y</v>
      </c>
      <c r="I19" s="92" t="str">
        <f>IFERROR(IF(VLOOKUP(TableHandbook[[#This Row],[UDC]],TableAvailabilities[],4,FALSE)&gt;0,"Y",""),"")</f>
        <v/>
      </c>
      <c r="J19" s="93" t="str">
        <f>IFERROR(IF(VLOOKUP(TableHandbook[[#This Row],[UDC]],TableAvailabilities[],5,FALSE)&gt;0,"Y",""),"")</f>
        <v>Y</v>
      </c>
      <c r="K19" s="15"/>
      <c r="L19" s="86" t="str">
        <f>IFERROR(VLOOKUP(TableHandbook[[#This Row],[UDC]],TableOCDEVPLN[],7,FALSE),"")</f>
        <v/>
      </c>
      <c r="M19" s="86" t="str">
        <f>IFERROR(VLOOKUP(TableHandbook[[#This Row],[UDC]],TableOCGEOG1[],7,FALSE),"")</f>
        <v/>
      </c>
      <c r="N19" s="86" t="str">
        <f>IFERROR(VLOOKUP(TableHandbook[[#This Row],[UDC]],TableOMURPLAN2[],7,FALSE),"")</f>
        <v>Option</v>
      </c>
    </row>
    <row r="20" spans="1:14" x14ac:dyDescent="0.35">
      <c r="A20" s="10" t="s">
        <v>99</v>
      </c>
      <c r="B20" s="11">
        <v>1</v>
      </c>
      <c r="C20" s="10" t="s">
        <v>126</v>
      </c>
      <c r="D20" s="10" t="s">
        <v>127</v>
      </c>
      <c r="E20" s="11">
        <v>25</v>
      </c>
      <c r="F20" s="85" t="s">
        <v>107</v>
      </c>
      <c r="G20" s="91" t="str">
        <f>IFERROR(IF(VLOOKUP(TableHandbook[[#This Row],[UDC]],TableAvailabilities[],2,FALSE)&gt;0,"Y",""),"")</f>
        <v/>
      </c>
      <c r="H20" s="86" t="str">
        <f>IFERROR(IF(VLOOKUP(TableHandbook[[#This Row],[UDC]],TableAvailabilities[],3,FALSE)&gt;0,"Y",""),"")</f>
        <v/>
      </c>
      <c r="I20" s="92" t="str">
        <f>IFERROR(IF(VLOOKUP(TableHandbook[[#This Row],[UDC]],TableAvailabilities[],4,FALSE)&gt;0,"Y",""),"")</f>
        <v/>
      </c>
      <c r="J20" s="93" t="str">
        <f>IFERROR(IF(VLOOKUP(TableHandbook[[#This Row],[UDC]],TableAvailabilities[],5,FALSE)&gt;0,"Y",""),"")</f>
        <v>Y</v>
      </c>
      <c r="K20" s="15"/>
      <c r="L20" s="86" t="str">
        <f>IFERROR(VLOOKUP(TableHandbook[[#This Row],[UDC]],TableOCDEVPLN[],7,FALSE),"")</f>
        <v/>
      </c>
      <c r="M20" s="86" t="str">
        <f>IFERROR(VLOOKUP(TableHandbook[[#This Row],[UDC]],TableOCGEOG1[],7,FALSE),"")</f>
        <v/>
      </c>
      <c r="N20" s="86" t="str">
        <f>IFERROR(VLOOKUP(TableHandbook[[#This Row],[UDC]],TableOMURPLAN2[],7,FALSE),"")</f>
        <v>Option</v>
      </c>
    </row>
    <row r="21" spans="1:14" x14ac:dyDescent="0.35">
      <c r="A21" s="6" t="s">
        <v>100</v>
      </c>
      <c r="B21" s="7">
        <v>1</v>
      </c>
      <c r="C21" s="10" t="s">
        <v>128</v>
      </c>
      <c r="D21" s="6" t="s">
        <v>129</v>
      </c>
      <c r="E21" s="7">
        <v>25</v>
      </c>
      <c r="F21" s="85" t="s">
        <v>107</v>
      </c>
      <c r="G21" s="91" t="str">
        <f>IFERROR(IF(VLOOKUP(TableHandbook[[#This Row],[UDC]],TableAvailabilities[],2,FALSE)&gt;0,"Y",""),"")</f>
        <v>Y</v>
      </c>
      <c r="H21" s="86" t="str">
        <f>IFERROR(IF(VLOOKUP(TableHandbook[[#This Row],[UDC]],TableAvailabilities[],3,FALSE)&gt;0,"Y",""),"")</f>
        <v/>
      </c>
      <c r="I21" s="92" t="str">
        <f>IFERROR(IF(VLOOKUP(TableHandbook[[#This Row],[UDC]],TableAvailabilities[],4,FALSE)&gt;0,"Y",""),"")</f>
        <v>Y</v>
      </c>
      <c r="J21" s="93" t="str">
        <f>IFERROR(IF(VLOOKUP(TableHandbook[[#This Row],[UDC]],TableAvailabilities[],5,FALSE)&gt;0,"Y",""),"")</f>
        <v/>
      </c>
      <c r="K21" s="15"/>
      <c r="L21" s="92" t="str">
        <f>IFERROR(VLOOKUP(TableHandbook[[#This Row],[UDC]],TableOCDEVPLN[],7,FALSE),"")</f>
        <v/>
      </c>
      <c r="M21" s="92" t="str">
        <f>IFERROR(VLOOKUP(TableHandbook[[#This Row],[UDC]],TableOCGEOG1[],7,FALSE),"")</f>
        <v/>
      </c>
      <c r="N21" s="92" t="str">
        <f>IFERROR(VLOOKUP(TableHandbook[[#This Row],[UDC]],TableOMURPLAN2[],7,FALSE),"")</f>
        <v>Option</v>
      </c>
    </row>
    <row r="22" spans="1:14" x14ac:dyDescent="0.35">
      <c r="A22" s="10" t="s">
        <v>51</v>
      </c>
      <c r="B22" s="11">
        <v>1</v>
      </c>
      <c r="C22" s="10" t="s">
        <v>130</v>
      </c>
      <c r="D22" s="10" t="s">
        <v>131</v>
      </c>
      <c r="E22" s="11">
        <v>25</v>
      </c>
      <c r="F22" s="85" t="s">
        <v>107</v>
      </c>
      <c r="G22" s="91" t="str">
        <f>IFERROR(IF(VLOOKUP(TableHandbook[[#This Row],[UDC]],TableAvailabilities[],2,FALSE)&gt;0,"Y",""),"")</f>
        <v/>
      </c>
      <c r="H22" s="86" t="str">
        <f>IFERROR(IF(VLOOKUP(TableHandbook[[#This Row],[UDC]],TableAvailabilities[],3,FALSE)&gt;0,"Y",""),"")</f>
        <v/>
      </c>
      <c r="I22" s="92" t="str">
        <f>IFERROR(IF(VLOOKUP(TableHandbook[[#This Row],[UDC]],TableAvailabilities[],4,FALSE)&gt;0,"Y",""),"")</f>
        <v>Y</v>
      </c>
      <c r="J22" s="93" t="str">
        <f>IFERROR(IF(VLOOKUP(TableHandbook[[#This Row],[UDC]],TableAvailabilities[],5,FALSE)&gt;0,"Y",""),"")</f>
        <v/>
      </c>
      <c r="K22" s="15"/>
      <c r="L22" s="86" t="str">
        <f>IFERROR(VLOOKUP(TableHandbook[[#This Row],[UDC]],TableOCDEVPLN[],7,FALSE),"")</f>
        <v/>
      </c>
      <c r="M22" s="86" t="str">
        <f>IFERROR(VLOOKUP(TableHandbook[[#This Row],[UDC]],TableOCGEOG1[],7,FALSE),"")</f>
        <v/>
      </c>
      <c r="N22" s="86" t="str">
        <f>IFERROR(VLOOKUP(TableHandbook[[#This Row],[UDC]],TableOMURPLAN2[],7,FALSE),"")</f>
        <v>Core</v>
      </c>
    </row>
    <row r="23" spans="1:14" x14ac:dyDescent="0.35">
      <c r="A23" s="10" t="s">
        <v>46</v>
      </c>
      <c r="B23" s="11">
        <v>2</v>
      </c>
      <c r="C23" s="10" t="s">
        <v>132</v>
      </c>
      <c r="D23" s="10" t="s">
        <v>133</v>
      </c>
      <c r="E23" s="11">
        <v>25</v>
      </c>
      <c r="F23" s="85" t="s">
        <v>107</v>
      </c>
      <c r="G23" s="91" t="str">
        <f>IFERROR(IF(VLOOKUP(TableHandbook[[#This Row],[UDC]],TableAvailabilities[],2,FALSE)&gt;0,"Y",""),"")</f>
        <v/>
      </c>
      <c r="H23" s="86" t="str">
        <f>IFERROR(IF(VLOOKUP(TableHandbook[[#This Row],[UDC]],TableAvailabilities[],3,FALSE)&gt;0,"Y",""),"")</f>
        <v>Y</v>
      </c>
      <c r="I23" s="92" t="str">
        <f>IFERROR(IF(VLOOKUP(TableHandbook[[#This Row],[UDC]],TableAvailabilities[],4,FALSE)&gt;0,"Y",""),"")</f>
        <v/>
      </c>
      <c r="J23" s="93" t="str">
        <f>IFERROR(IF(VLOOKUP(TableHandbook[[#This Row],[UDC]],TableAvailabilities[],5,FALSE)&gt;0,"Y",""),"")</f>
        <v>Y</v>
      </c>
      <c r="K23" s="15"/>
      <c r="L23" s="86" t="str">
        <f>IFERROR(VLOOKUP(TableHandbook[[#This Row],[UDC]],TableOCDEVPLN[],7,FALSE),"")</f>
        <v>Core</v>
      </c>
      <c r="M23" s="86" t="str">
        <f>IFERROR(VLOOKUP(TableHandbook[[#This Row],[UDC]],TableOCGEOG1[],7,FALSE),"")</f>
        <v/>
      </c>
      <c r="N23" s="86" t="str">
        <f>IFERROR(VLOOKUP(TableHandbook[[#This Row],[UDC]],TableOMURPLAN2[],7,FALSE),"")</f>
        <v/>
      </c>
    </row>
    <row r="24" spans="1:14" x14ac:dyDescent="0.35">
      <c r="A24" s="10" t="s">
        <v>55</v>
      </c>
      <c r="B24" s="11">
        <v>3</v>
      </c>
      <c r="C24" s="10" t="s">
        <v>134</v>
      </c>
      <c r="D24" s="10" t="s">
        <v>135</v>
      </c>
      <c r="E24" s="11">
        <v>25</v>
      </c>
      <c r="F24" s="85" t="s">
        <v>107</v>
      </c>
      <c r="G24" s="91" t="str">
        <f>IFERROR(IF(VLOOKUP(TableHandbook[[#This Row],[UDC]],TableAvailabilities[],2,FALSE)&gt;0,"Y",""),"")</f>
        <v/>
      </c>
      <c r="H24" s="86" t="str">
        <f>IFERROR(IF(VLOOKUP(TableHandbook[[#This Row],[UDC]],TableAvailabilities[],3,FALSE)&gt;0,"Y",""),"")</f>
        <v>Y</v>
      </c>
      <c r="I24" s="92" t="str">
        <f>IFERROR(IF(VLOOKUP(TableHandbook[[#This Row],[UDC]],TableAvailabilities[],4,FALSE)&gt;0,"Y",""),"")</f>
        <v/>
      </c>
      <c r="J24" s="93" t="str">
        <f>IFERROR(IF(VLOOKUP(TableHandbook[[#This Row],[UDC]],TableAvailabilities[],5,FALSE)&gt;0,"Y",""),"")</f>
        <v>Y</v>
      </c>
      <c r="K24" s="15"/>
      <c r="L24" s="86" t="str">
        <f>IFERROR(VLOOKUP(TableHandbook[[#This Row],[UDC]],TableOCDEVPLN[],7,FALSE),"")</f>
        <v/>
      </c>
      <c r="M24" s="86" t="str">
        <f>IFERROR(VLOOKUP(TableHandbook[[#This Row],[UDC]],TableOCGEOG1[],7,FALSE),"")</f>
        <v/>
      </c>
      <c r="N24" s="86" t="str">
        <f>IFERROR(VLOOKUP(TableHandbook[[#This Row],[UDC]],TableOMURPLAN2[],7,FALSE),"")</f>
        <v>Core</v>
      </c>
    </row>
    <row r="25" spans="1:14" x14ac:dyDescent="0.35">
      <c r="A25" s="10" t="s">
        <v>49</v>
      </c>
      <c r="B25" s="11">
        <v>1</v>
      </c>
      <c r="C25" s="10" t="s">
        <v>136</v>
      </c>
      <c r="D25" s="10" t="s">
        <v>137</v>
      </c>
      <c r="E25" s="11">
        <v>25</v>
      </c>
      <c r="F25" s="85" t="s">
        <v>107</v>
      </c>
      <c r="G25" s="91" t="str">
        <f>IFERROR(IF(VLOOKUP(TableHandbook[[#This Row],[UDC]],TableAvailabilities[],2,FALSE)&gt;0,"Y",""),"")</f>
        <v>Y</v>
      </c>
      <c r="H25" s="86" t="str">
        <f>IFERROR(IF(VLOOKUP(TableHandbook[[#This Row],[UDC]],TableAvailabilities[],3,FALSE)&gt;0,"Y",""),"")</f>
        <v/>
      </c>
      <c r="I25" s="92" t="str">
        <f>IFERROR(IF(VLOOKUP(TableHandbook[[#This Row],[UDC]],TableAvailabilities[],4,FALSE)&gt;0,"Y",""),"")</f>
        <v>Y</v>
      </c>
      <c r="J25" s="93" t="str">
        <f>IFERROR(IF(VLOOKUP(TableHandbook[[#This Row],[UDC]],TableAvailabilities[],5,FALSE)&gt;0,"Y",""),"")</f>
        <v/>
      </c>
      <c r="K25" s="15"/>
      <c r="L25" s="86" t="str">
        <f>IFERROR(VLOOKUP(TableHandbook[[#This Row],[UDC]],TableOCDEVPLN[],7,FALSE),"")</f>
        <v/>
      </c>
      <c r="M25" s="86" t="str">
        <f>IFERROR(VLOOKUP(TableHandbook[[#This Row],[UDC]],TableOCGEOG1[],7,FALSE),"")</f>
        <v/>
      </c>
      <c r="N25" s="86" t="str">
        <f>IFERROR(VLOOKUP(TableHandbook[[#This Row],[UDC]],TableOMURPLAN2[],7,FALSE),"")</f>
        <v>Core</v>
      </c>
    </row>
    <row r="26" spans="1:14" x14ac:dyDescent="0.35">
      <c r="A26" s="10" t="s">
        <v>50</v>
      </c>
      <c r="B26" s="11">
        <v>2</v>
      </c>
      <c r="C26" s="10" t="s">
        <v>138</v>
      </c>
      <c r="D26" s="10" t="s">
        <v>139</v>
      </c>
      <c r="E26" s="11">
        <v>25</v>
      </c>
      <c r="F26" s="85" t="s">
        <v>107</v>
      </c>
      <c r="G26" s="91" t="str">
        <f>IFERROR(IF(VLOOKUP(TableHandbook[[#This Row],[UDC]],TableAvailabilities[],2,FALSE)&gt;0,"Y",""),"")</f>
        <v/>
      </c>
      <c r="H26" s="86" t="str">
        <f>IFERROR(IF(VLOOKUP(TableHandbook[[#This Row],[UDC]],TableAvailabilities[],3,FALSE)&gt;0,"Y",""),"")</f>
        <v>Y</v>
      </c>
      <c r="I26" s="92" t="str">
        <f>IFERROR(IF(VLOOKUP(TableHandbook[[#This Row],[UDC]],TableAvailabilities[],4,FALSE)&gt;0,"Y",""),"")</f>
        <v/>
      </c>
      <c r="J26" s="93" t="str">
        <f>IFERROR(IF(VLOOKUP(TableHandbook[[#This Row],[UDC]],TableAvailabilities[],5,FALSE)&gt;0,"Y",""),"")</f>
        <v>Y</v>
      </c>
      <c r="K26" s="15"/>
      <c r="L26" s="86" t="str">
        <f>IFERROR(VLOOKUP(TableHandbook[[#This Row],[UDC]],TableOCDEVPLN[],7,FALSE),"")</f>
        <v/>
      </c>
      <c r="M26" s="86" t="str">
        <f>IFERROR(VLOOKUP(TableHandbook[[#This Row],[UDC]],TableOCGEOG1[],7,FALSE),"")</f>
        <v/>
      </c>
      <c r="N26" s="86" t="str">
        <f>IFERROR(VLOOKUP(TableHandbook[[#This Row],[UDC]],TableOMURPLAN2[],7,FALSE),"")</f>
        <v>Core</v>
      </c>
    </row>
    <row r="27" spans="1:14" x14ac:dyDescent="0.35">
      <c r="A27" s="10" t="s">
        <v>66</v>
      </c>
      <c r="B27" s="11">
        <v>2</v>
      </c>
      <c r="C27" s="10" t="s">
        <v>140</v>
      </c>
      <c r="D27" s="10" t="s">
        <v>141</v>
      </c>
      <c r="E27" s="11">
        <v>25</v>
      </c>
      <c r="F27" s="85" t="s">
        <v>142</v>
      </c>
      <c r="G27" s="91" t="str">
        <f>IFERROR(IF(VLOOKUP(TableHandbook[[#This Row],[UDC]],TableAvailabilities[],2,FALSE)&gt;0,"Y",""),"")</f>
        <v>Y</v>
      </c>
      <c r="H27" s="86" t="str">
        <f>IFERROR(IF(VLOOKUP(TableHandbook[[#This Row],[UDC]],TableAvailabilities[],3,FALSE)&gt;0,"Y",""),"")</f>
        <v/>
      </c>
      <c r="I27" s="92" t="str">
        <f>IFERROR(IF(VLOOKUP(TableHandbook[[#This Row],[UDC]],TableAvailabilities[],4,FALSE)&gt;0,"Y",""),"")</f>
        <v>Y</v>
      </c>
      <c r="J27" s="93" t="str">
        <f>IFERROR(IF(VLOOKUP(TableHandbook[[#This Row],[UDC]],TableAvailabilities[],5,FALSE)&gt;0,"Y",""),"")</f>
        <v/>
      </c>
      <c r="K27" s="15" t="s">
        <v>143</v>
      </c>
      <c r="L27" s="86" t="str">
        <f>IFERROR(VLOOKUP(TableHandbook[[#This Row],[UDC]],TableOCDEVPLN[],7,FALSE),"")</f>
        <v/>
      </c>
      <c r="M27" s="86" t="str">
        <f>IFERROR(VLOOKUP(TableHandbook[[#This Row],[UDC]],TableOCGEOG1[],7,FALSE),"")</f>
        <v/>
      </c>
      <c r="N27" s="86" t="str">
        <f>IFERROR(VLOOKUP(TableHandbook[[#This Row],[UDC]],TableOMURPLAN2[],7,FALSE),"")</f>
        <v>Core</v>
      </c>
    </row>
    <row r="28" spans="1:14" x14ac:dyDescent="0.35">
      <c r="A28" s="10" t="s">
        <v>44</v>
      </c>
      <c r="B28" s="11">
        <v>1</v>
      </c>
      <c r="C28" s="10" t="s">
        <v>144</v>
      </c>
      <c r="D28" s="10" t="s">
        <v>145</v>
      </c>
      <c r="E28" s="11">
        <v>25</v>
      </c>
      <c r="F28" s="85" t="s">
        <v>107</v>
      </c>
      <c r="G28" s="97" t="str">
        <f>IFERROR(IF(VLOOKUP(TableHandbook[[#This Row],[UDC]],TableAvailabilities[],2,FALSE)&gt;0,"Y",""),"")</f>
        <v>Y</v>
      </c>
      <c r="H28" s="98" t="str">
        <f>IFERROR(IF(VLOOKUP(TableHandbook[[#This Row],[UDC]],TableAvailabilities[],3,FALSE)&gt;0,"Y",""),"")</f>
        <v/>
      </c>
      <c r="I28" s="99" t="str">
        <f>IFERROR(IF(VLOOKUP(TableHandbook[[#This Row],[UDC]],TableAvailabilities[],4,FALSE)&gt;0,"Y",""),"")</f>
        <v>Y</v>
      </c>
      <c r="J28" s="100" t="str">
        <f>IFERROR(IF(VLOOKUP(TableHandbook[[#This Row],[UDC]],TableAvailabilities[],5,FALSE)&gt;0,"Y",""),"")</f>
        <v/>
      </c>
      <c r="K28" s="15"/>
      <c r="L28" s="86" t="str">
        <f>IFERROR(VLOOKUP(TableHandbook[[#This Row],[UDC]],TableOCDEVPLN[],7,FALSE),"")</f>
        <v>Core</v>
      </c>
      <c r="M28" s="86" t="str">
        <f>IFERROR(VLOOKUP(TableHandbook[[#This Row],[UDC]],TableOCGEOG1[],7,FALSE),"")</f>
        <v/>
      </c>
      <c r="N28" s="86" t="str">
        <f>IFERROR(VLOOKUP(TableHandbook[[#This Row],[UDC]],TableOMURPLAN2[],7,FALSE),"")</f>
        <v/>
      </c>
    </row>
    <row r="29" spans="1:14" x14ac:dyDescent="0.35">
      <c r="A29" s="10" t="s">
        <v>53</v>
      </c>
      <c r="B29" s="11">
        <v>2</v>
      </c>
      <c r="C29" s="10" t="s">
        <v>146</v>
      </c>
      <c r="D29" s="10" t="s">
        <v>209</v>
      </c>
      <c r="E29" s="11">
        <v>25</v>
      </c>
      <c r="F29" s="84" t="s">
        <v>107</v>
      </c>
      <c r="G29" s="91" t="str">
        <f>IFERROR(IF(VLOOKUP(TableHandbook[[#This Row],[UDC]],TableAvailabilities[],2,FALSE)&gt;0,"Y",""),"")</f>
        <v/>
      </c>
      <c r="H29" s="86" t="str">
        <f>IFERROR(IF(VLOOKUP(TableHandbook[[#This Row],[UDC]],TableAvailabilities[],3,FALSE)&gt;0,"Y",""),"")</f>
        <v>Y</v>
      </c>
      <c r="I29" s="92" t="str">
        <f>IFERROR(IF(VLOOKUP(TableHandbook[[#This Row],[UDC]],TableAvailabilities[],4,FALSE)&gt;0,"Y",""),"")</f>
        <v/>
      </c>
      <c r="J29" s="93" t="str">
        <f>IFERROR(IF(VLOOKUP(TableHandbook[[#This Row],[UDC]],TableAvailabilities[],5,FALSE)&gt;0,"Y",""),"")</f>
        <v>Y</v>
      </c>
      <c r="K29" s="15" t="s">
        <v>214</v>
      </c>
      <c r="L29" s="128" t="str">
        <f>IFERROR(VLOOKUP(TableHandbook[[#This Row],[UDC]],TableOCDEVPLN[],7,FALSE),"")</f>
        <v>Core</v>
      </c>
      <c r="M29" s="128" t="str">
        <f>IFERROR(VLOOKUP(TableHandbook[[#This Row],[UDC]],TableOCGEOG1[],7,FALSE),"")</f>
        <v/>
      </c>
      <c r="N29" s="128" t="str">
        <f>IFERROR(VLOOKUP(TableHandbook[[#This Row],[UDC]],TableOMURPLAN2[],7,FALSE),"")</f>
        <v/>
      </c>
    </row>
    <row r="30" spans="1:14" x14ac:dyDescent="0.35">
      <c r="A30" s="10" t="s">
        <v>215</v>
      </c>
      <c r="B30" s="11">
        <v>1</v>
      </c>
      <c r="C30" s="10" t="s">
        <v>146</v>
      </c>
      <c r="D30" s="10" t="s">
        <v>147</v>
      </c>
      <c r="E30" s="11">
        <v>25</v>
      </c>
      <c r="F30" s="85" t="s">
        <v>107</v>
      </c>
      <c r="G30" s="91" t="str">
        <f>IFERROR(IF(VLOOKUP(TableHandbook[[#This Row],[UDC]],TableAvailabilities[],2,FALSE)&gt;0,"Y",""),"")</f>
        <v/>
      </c>
      <c r="H30" s="86" t="str">
        <f>IFERROR(IF(VLOOKUP(TableHandbook[[#This Row],[UDC]],TableAvailabilities[],3,FALSE)&gt;0,"Y",""),"")</f>
        <v/>
      </c>
      <c r="I30" s="92" t="str">
        <f>IFERROR(IF(VLOOKUP(TableHandbook[[#This Row],[UDC]],TableAvailabilities[],4,FALSE)&gt;0,"Y",""),"")</f>
        <v/>
      </c>
      <c r="J30" s="93" t="str">
        <f>IFERROR(IF(VLOOKUP(TableHandbook[[#This Row],[UDC]],TableAvailabilities[],5,FALSE)&gt;0,"Y",""),"")</f>
        <v/>
      </c>
      <c r="K30" s="15" t="s">
        <v>213</v>
      </c>
      <c r="L30" s="86" t="str">
        <f>IFERROR(VLOOKUP(TableHandbook[[#This Row],[UDC]],TableOCDEVPLN[],7,FALSE),"")</f>
        <v/>
      </c>
      <c r="M30" s="86" t="str">
        <f>IFERROR(VLOOKUP(TableHandbook[[#This Row],[UDC]],TableOCGEOG1[],7,FALSE),"")</f>
        <v/>
      </c>
      <c r="N30" s="86" t="str">
        <f>IFERROR(VLOOKUP(TableHandbook[[#This Row],[UDC]],TableOMURPLAN2[],7,FALSE),"")</f>
        <v/>
      </c>
    </row>
    <row r="31" spans="1:14" x14ac:dyDescent="0.35">
      <c r="A31" s="10" t="s">
        <v>68</v>
      </c>
      <c r="B31" s="11">
        <v>1</v>
      </c>
      <c r="C31" s="10" t="s">
        <v>148</v>
      </c>
      <c r="D31" s="10" t="s">
        <v>149</v>
      </c>
      <c r="E31" s="11">
        <v>25</v>
      </c>
      <c r="F31" s="85" t="s">
        <v>107</v>
      </c>
      <c r="G31" s="91" t="str">
        <f>IFERROR(IF(VLOOKUP(TableHandbook[[#This Row],[UDC]],TableAvailabilities[],2,FALSE)&gt;0,"Y",""),"")</f>
        <v/>
      </c>
      <c r="H31" s="86" t="str">
        <f>IFERROR(IF(VLOOKUP(TableHandbook[[#This Row],[UDC]],TableAvailabilities[],3,FALSE)&gt;0,"Y",""),"")</f>
        <v>Y</v>
      </c>
      <c r="I31" s="92" t="str">
        <f>IFERROR(IF(VLOOKUP(TableHandbook[[#This Row],[UDC]],TableAvailabilities[],4,FALSE)&gt;0,"Y",""),"")</f>
        <v/>
      </c>
      <c r="J31" s="93" t="str">
        <f>IFERROR(IF(VLOOKUP(TableHandbook[[#This Row],[UDC]],TableAvailabilities[],5,FALSE)&gt;0,"Y",""),"")</f>
        <v/>
      </c>
      <c r="K31" s="15"/>
      <c r="L31" s="86" t="str">
        <f>IFERROR(VLOOKUP(TableHandbook[[#This Row],[UDC]],TableOCDEVPLN[],7,FALSE),"")</f>
        <v/>
      </c>
      <c r="M31" s="86" t="str">
        <f>IFERROR(VLOOKUP(TableHandbook[[#This Row],[UDC]],TableOCGEOG1[],7,FALSE),"")</f>
        <v/>
      </c>
      <c r="N31" s="86" t="str">
        <f>IFERROR(VLOOKUP(TableHandbook[[#This Row],[UDC]],TableOMURPLAN2[],7,FALSE),"")</f>
        <v>Core</v>
      </c>
    </row>
    <row r="32" spans="1:14" x14ac:dyDescent="0.35">
      <c r="A32" s="10" t="s">
        <v>67</v>
      </c>
      <c r="B32" s="11">
        <v>2</v>
      </c>
      <c r="C32" s="10" t="s">
        <v>150</v>
      </c>
      <c r="D32" s="10" t="s">
        <v>151</v>
      </c>
      <c r="E32" s="11">
        <v>25</v>
      </c>
      <c r="F32" s="85" t="s">
        <v>107</v>
      </c>
      <c r="G32" s="91" t="str">
        <f>IFERROR(IF(VLOOKUP(TableHandbook[[#This Row],[UDC]],TableAvailabilities[],2,FALSE)&gt;0,"Y",""),"")</f>
        <v/>
      </c>
      <c r="H32" s="129" t="str">
        <f>IFERROR(IF(VLOOKUP(TableHandbook[[#This Row],[UDC]],TableAvailabilities[],3,FALSE)&gt;0,"Y",""),"")</f>
        <v/>
      </c>
      <c r="I32" s="130" t="str">
        <f>IFERROR(IF(VLOOKUP(TableHandbook[[#This Row],[UDC]],TableAvailabilities[],4,FALSE)&gt;0,"Y",""),"")</f>
        <v/>
      </c>
      <c r="J32" s="93" t="str">
        <f>IFERROR(IF(VLOOKUP(TableHandbook[[#This Row],[UDC]],TableAvailabilities[],5,FALSE)&gt;0,"Y",""),"")</f>
        <v>Y</v>
      </c>
      <c r="K32" s="15"/>
      <c r="L32" s="86" t="str">
        <f>IFERROR(VLOOKUP(TableHandbook[[#This Row],[UDC]],TableOCDEVPLN[],7,FALSE),"")</f>
        <v/>
      </c>
      <c r="M32" s="86" t="str">
        <f>IFERROR(VLOOKUP(TableHandbook[[#This Row],[UDC]],TableOCGEOG1[],7,FALSE),"")</f>
        <v/>
      </c>
      <c r="N32" s="86" t="str">
        <f>IFERROR(VLOOKUP(TableHandbook[[#This Row],[UDC]],TableOMURPLAN2[],7,FALSE),"")</f>
        <v>Core</v>
      </c>
    </row>
    <row r="33" spans="1:14" x14ac:dyDescent="0.35">
      <c r="A33" s="10" t="s">
        <v>69</v>
      </c>
      <c r="B33" s="11">
        <v>1</v>
      </c>
      <c r="C33" s="10" t="s">
        <v>152</v>
      </c>
      <c r="D33" s="10" t="s">
        <v>153</v>
      </c>
      <c r="E33" s="11">
        <v>25</v>
      </c>
      <c r="F33" s="85" t="s">
        <v>107</v>
      </c>
      <c r="G33" s="91" t="str">
        <f>IFERROR(IF(VLOOKUP(TableHandbook[[#This Row],[UDC]],TableAvailabilities[],2,FALSE)&gt;0,"Y",""),"")</f>
        <v/>
      </c>
      <c r="H33" s="86" t="str">
        <f>IFERROR(IF(VLOOKUP(TableHandbook[[#This Row],[UDC]],TableAvailabilities[],3,FALSE)&gt;0,"Y",""),"")</f>
        <v>Y</v>
      </c>
      <c r="I33" s="92" t="str">
        <f>IFERROR(IF(VLOOKUP(TableHandbook[[#This Row],[UDC]],TableAvailabilities[],4,FALSE)&gt;0,"Y",""),"")</f>
        <v/>
      </c>
      <c r="J33" s="93" t="str">
        <f>IFERROR(IF(VLOOKUP(TableHandbook[[#This Row],[UDC]],TableAvailabilities[],5,FALSE)&gt;0,"Y",""),"")</f>
        <v>Y</v>
      </c>
      <c r="K33" s="15"/>
      <c r="L33" s="86" t="str">
        <f>IFERROR(VLOOKUP(TableHandbook[[#This Row],[UDC]],TableOCDEVPLN[],7,FALSE),"")</f>
        <v/>
      </c>
      <c r="M33" s="86" t="str">
        <f>IFERROR(VLOOKUP(TableHandbook[[#This Row],[UDC]],TableOCGEOG1[],7,FALSE),"")</f>
        <v/>
      </c>
      <c r="N33" s="86" t="str">
        <f>IFERROR(VLOOKUP(TableHandbook[[#This Row],[UDC]],TableOMURPLAN2[],7,FALSE),"")</f>
        <v>Core</v>
      </c>
    </row>
    <row r="34" spans="1:14" x14ac:dyDescent="0.35">
      <c r="A34" s="10" t="s">
        <v>76</v>
      </c>
      <c r="B34" s="11">
        <v>1</v>
      </c>
      <c r="C34" s="10" t="s">
        <v>154</v>
      </c>
      <c r="D34" s="10" t="s">
        <v>155</v>
      </c>
      <c r="E34" s="11">
        <v>50</v>
      </c>
      <c r="F34" s="85" t="s">
        <v>140</v>
      </c>
      <c r="G34" s="91" t="str">
        <f>IFERROR(IF(VLOOKUP(TableHandbook[[#This Row],[UDC]],TableAvailabilities[],2,FALSE)&gt;0,"Y",""),"")</f>
        <v>Y</v>
      </c>
      <c r="H34" s="129" t="str">
        <f>IFERROR(IF(VLOOKUP(TableHandbook[[#This Row],[UDC]],TableAvailabilities[],3,FALSE)&gt;0,"Y",""),"")</f>
        <v/>
      </c>
      <c r="I34" s="130" t="str">
        <f>IFERROR(IF(VLOOKUP(TableHandbook[[#This Row],[UDC]],TableAvailabilities[],4,FALSE)&gt;0,"Y",""),"")</f>
        <v>Y</v>
      </c>
      <c r="J34" s="93" t="str">
        <f>IFERROR(IF(VLOOKUP(TableHandbook[[#This Row],[UDC]],TableAvailabilities[],5,FALSE)&gt;0,"Y",""),"")</f>
        <v/>
      </c>
      <c r="K34" s="15"/>
      <c r="L34" s="86" t="str">
        <f>IFERROR(VLOOKUP(TableHandbook[[#This Row],[UDC]],TableOCDEVPLN[],7,FALSE),"")</f>
        <v/>
      </c>
      <c r="M34" s="86" t="str">
        <f>IFERROR(VLOOKUP(TableHandbook[[#This Row],[UDC]],TableOCGEOG1[],7,FALSE),"")</f>
        <v/>
      </c>
      <c r="N34" s="86" t="str">
        <f>IFERROR(VLOOKUP(TableHandbook[[#This Row],[UDC]],TableOMURPLAN2[],7,FALSE),"")</f>
        <v>Core</v>
      </c>
    </row>
    <row r="35" spans="1:14" x14ac:dyDescent="0.35">
      <c r="A35" s="10" t="s">
        <v>54</v>
      </c>
      <c r="B35" s="11">
        <v>1</v>
      </c>
      <c r="C35" s="10" t="s">
        <v>156</v>
      </c>
      <c r="D35" s="10" t="s">
        <v>157</v>
      </c>
      <c r="E35" s="11">
        <v>25</v>
      </c>
      <c r="F35" s="85" t="s">
        <v>107</v>
      </c>
      <c r="G35" s="91" t="str">
        <f>IFERROR(IF(VLOOKUP(TableHandbook[[#This Row],[UDC]],TableAvailabilities[],2,FALSE)&gt;0,"Y",""),"")</f>
        <v>Y</v>
      </c>
      <c r="H35" s="86" t="str">
        <f>IFERROR(IF(VLOOKUP(TableHandbook[[#This Row],[UDC]],TableAvailabilities[],3,FALSE)&gt;0,"Y",""),"")</f>
        <v/>
      </c>
      <c r="I35" s="92" t="str">
        <f>IFERROR(IF(VLOOKUP(TableHandbook[[#This Row],[UDC]],TableAvailabilities[],4,FALSE)&gt;0,"Y",""),"")</f>
        <v>Y</v>
      </c>
      <c r="J35" s="93" t="str">
        <f>IFERROR(IF(VLOOKUP(TableHandbook[[#This Row],[UDC]],TableAvailabilities[],5,FALSE)&gt;0,"Y",""),"")</f>
        <v/>
      </c>
      <c r="K35" s="15"/>
      <c r="L35" s="86" t="str">
        <f>IFERROR(VLOOKUP(TableHandbook[[#This Row],[UDC]],TableOCDEVPLN[],7,FALSE),"")</f>
        <v/>
      </c>
      <c r="M35" s="86" t="str">
        <f>IFERROR(VLOOKUP(TableHandbook[[#This Row],[UDC]],TableOCGEOG1[],7,FALSE),"")</f>
        <v/>
      </c>
      <c r="N35" s="86" t="str">
        <f>IFERROR(VLOOKUP(TableHandbook[[#This Row],[UDC]],TableOMURPLAN2[],7,FALSE),"")</f>
        <v>Core</v>
      </c>
    </row>
    <row r="36" spans="1:14" x14ac:dyDescent="0.35">
      <c r="B36"/>
      <c r="E36"/>
    </row>
    <row r="37" spans="1:14" x14ac:dyDescent="0.35">
      <c r="B37"/>
      <c r="E37"/>
    </row>
    <row r="38" spans="1:14" x14ac:dyDescent="0.35">
      <c r="B38"/>
      <c r="E38"/>
    </row>
    <row r="39" spans="1:14" x14ac:dyDescent="0.35">
      <c r="B39"/>
      <c r="E39"/>
    </row>
    <row r="40" spans="1:14" x14ac:dyDescent="0.35">
      <c r="B40"/>
      <c r="E40"/>
    </row>
    <row r="41" spans="1:14" x14ac:dyDescent="0.35">
      <c r="B41"/>
      <c r="E41"/>
    </row>
    <row r="42" spans="1:14" x14ac:dyDescent="0.35">
      <c r="B42"/>
      <c r="E42"/>
    </row>
    <row r="43" spans="1:14" x14ac:dyDescent="0.35">
      <c r="B43"/>
      <c r="E43"/>
    </row>
    <row r="44" spans="1:14" x14ac:dyDescent="0.35">
      <c r="B44"/>
      <c r="E44"/>
    </row>
    <row r="45" spans="1:14" x14ac:dyDescent="0.35">
      <c r="B45"/>
      <c r="E45"/>
    </row>
    <row r="46" spans="1:14" x14ac:dyDescent="0.35">
      <c r="B46"/>
      <c r="E46"/>
    </row>
    <row r="47" spans="1:14" x14ac:dyDescent="0.35">
      <c r="B47"/>
      <c r="E47"/>
    </row>
    <row r="48" spans="1:14" x14ac:dyDescent="0.35">
      <c r="B48"/>
      <c r="E48"/>
    </row>
    <row r="49" spans="2:5" x14ac:dyDescent="0.35">
      <c r="B49"/>
      <c r="E49"/>
    </row>
    <row r="50" spans="2:5" x14ac:dyDescent="0.35">
      <c r="B50"/>
      <c r="E50"/>
    </row>
    <row r="51" spans="2:5" x14ac:dyDescent="0.35">
      <c r="B51"/>
      <c r="E51"/>
    </row>
    <row r="52" spans="2:5" x14ac:dyDescent="0.35">
      <c r="B52"/>
      <c r="E52"/>
    </row>
    <row r="53" spans="2:5" x14ac:dyDescent="0.35">
      <c r="B53"/>
      <c r="E53"/>
    </row>
    <row r="54" spans="2:5" x14ac:dyDescent="0.35">
      <c r="B54"/>
      <c r="E54"/>
    </row>
    <row r="55" spans="2:5" x14ac:dyDescent="0.35">
      <c r="B55"/>
    </row>
    <row r="56" spans="2:5" x14ac:dyDescent="0.35">
      <c r="B56"/>
    </row>
    <row r="57" spans="2:5" x14ac:dyDescent="0.35">
      <c r="B57"/>
    </row>
    <row r="58" spans="2:5" x14ac:dyDescent="0.35">
      <c r="B58"/>
    </row>
    <row r="59" spans="2:5" x14ac:dyDescent="0.35">
      <c r="B59"/>
    </row>
    <row r="60" spans="2:5" x14ac:dyDescent="0.35">
      <c r="B60"/>
    </row>
    <row r="61" spans="2:5" x14ac:dyDescent="0.35">
      <c r="B61"/>
    </row>
    <row r="62" spans="2:5" x14ac:dyDescent="0.35">
      <c r="B62"/>
    </row>
    <row r="63" spans="2:5" x14ac:dyDescent="0.35">
      <c r="B63"/>
    </row>
    <row r="64" spans="2:5" x14ac:dyDescent="0.35">
      <c r="B64"/>
    </row>
    <row r="65" spans="2:2" x14ac:dyDescent="0.35">
      <c r="B65"/>
    </row>
    <row r="66" spans="2:2" x14ac:dyDescent="0.35">
      <c r="B66"/>
    </row>
    <row r="67" spans="2:2" x14ac:dyDescent="0.35">
      <c r="B67"/>
    </row>
    <row r="68" spans="2:2" x14ac:dyDescent="0.35">
      <c r="B68"/>
    </row>
    <row r="69" spans="2:2" x14ac:dyDescent="0.35">
      <c r="B69"/>
    </row>
    <row r="70" spans="2:2" x14ac:dyDescent="0.35">
      <c r="B70"/>
    </row>
    <row r="71" spans="2:2" x14ac:dyDescent="0.35">
      <c r="B71"/>
    </row>
    <row r="72" spans="2:2" x14ac:dyDescent="0.35">
      <c r="B72"/>
    </row>
    <row r="73" spans="2:2" x14ac:dyDescent="0.35">
      <c r="B73"/>
    </row>
    <row r="74" spans="2:2" x14ac:dyDescent="0.35">
      <c r="B74"/>
    </row>
    <row r="75" spans="2:2" x14ac:dyDescent="0.35">
      <c r="B75"/>
    </row>
    <row r="76" spans="2:2" x14ac:dyDescent="0.35">
      <c r="B76"/>
    </row>
    <row r="77" spans="2:2" x14ac:dyDescent="0.35">
      <c r="B77"/>
    </row>
    <row r="78" spans="2:2" x14ac:dyDescent="0.35">
      <c r="B78"/>
    </row>
    <row r="79" spans="2:2" x14ac:dyDescent="0.35">
      <c r="B79"/>
    </row>
    <row r="80" spans="2:2" x14ac:dyDescent="0.35">
      <c r="B80"/>
    </row>
    <row r="81" spans="2:2" x14ac:dyDescent="0.35">
      <c r="B81"/>
    </row>
  </sheetData>
  <sortState xmlns:xlrd2="http://schemas.microsoft.com/office/spreadsheetml/2017/richdata2" ref="A24:D37">
    <sortCondition ref="A24"/>
  </sortState>
  <conditionalFormatting sqref="A4:A35">
    <cfRule type="duplicateValues" dxfId="100" priority="13"/>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4"/>
  <sheetViews>
    <sheetView zoomScale="70" zoomScaleNormal="70" workbookViewId="0">
      <selection activeCell="D5" sqref="D5"/>
    </sheetView>
  </sheetViews>
  <sheetFormatPr defaultRowHeight="15.5" x14ac:dyDescent="0.35"/>
  <cols>
    <col min="1" max="1" width="13.5" bestFit="1" customWidth="1"/>
    <col min="2" max="2" width="10" bestFit="1" customWidth="1"/>
    <col min="3" max="3" width="12" bestFit="1" customWidth="1"/>
    <col min="4" max="4" width="54.5" bestFit="1" customWidth="1"/>
    <col min="5" max="5" width="6.25" customWidth="1"/>
    <col min="6" max="6" width="11" bestFit="1" customWidth="1"/>
    <col min="7" max="7" width="18.5" bestFit="1" customWidth="1"/>
    <col min="8" max="8" width="12" bestFit="1" customWidth="1"/>
    <col min="9" max="9" width="14.5" bestFit="1" customWidth="1"/>
    <col min="10" max="10" width="21.08203125" bestFit="1" customWidth="1"/>
    <col min="11" max="11" width="6.25" bestFit="1" customWidth="1"/>
    <col min="12" max="12" width="54.25" bestFit="1" customWidth="1"/>
    <col min="13" max="13" width="14.33203125" bestFit="1" customWidth="1"/>
    <col min="14" max="16" width="14.33203125" customWidth="1"/>
    <col min="17" max="17" width="10.08203125" bestFit="1" customWidth="1"/>
    <col min="18" max="18" width="7.08203125" bestFit="1" customWidth="1"/>
  </cols>
  <sheetData>
    <row r="1" spans="1:18" ht="16" thickBot="1" x14ac:dyDescent="0.4">
      <c r="F1" s="64"/>
      <c r="G1" s="82" t="s">
        <v>158</v>
      </c>
      <c r="H1" s="83">
        <v>42005</v>
      </c>
      <c r="I1" s="64"/>
      <c r="J1" s="125" t="s">
        <v>59</v>
      </c>
      <c r="K1" s="64" t="s">
        <v>60</v>
      </c>
      <c r="L1" s="64" t="s">
        <v>10</v>
      </c>
      <c r="M1" s="83"/>
      <c r="N1" s="124" t="s">
        <v>207</v>
      </c>
      <c r="O1" s="123">
        <v>45309</v>
      </c>
      <c r="P1" s="83"/>
    </row>
    <row r="2" spans="1:18" x14ac:dyDescent="0.35">
      <c r="A2" s="46" t="s">
        <v>0</v>
      </c>
      <c r="B2" s="47" t="s">
        <v>56</v>
      </c>
      <c r="C2" s="47" t="s">
        <v>17</v>
      </c>
      <c r="D2" s="47" t="s">
        <v>3</v>
      </c>
      <c r="E2" s="48" t="s">
        <v>159</v>
      </c>
      <c r="F2" s="49" t="s">
        <v>160</v>
      </c>
      <c r="G2" s="49" t="s">
        <v>161</v>
      </c>
      <c r="H2" s="49" t="s">
        <v>162</v>
      </c>
      <c r="I2" s="49" t="s">
        <v>18</v>
      </c>
      <c r="J2" s="49" t="s">
        <v>163</v>
      </c>
      <c r="K2" s="49" t="s">
        <v>1</v>
      </c>
      <c r="L2" s="49" t="s">
        <v>42</v>
      </c>
      <c r="M2" s="49" t="s">
        <v>57</v>
      </c>
      <c r="N2" s="49" t="s">
        <v>205</v>
      </c>
      <c r="O2" s="49" t="s">
        <v>206</v>
      </c>
      <c r="P2" s="49"/>
      <c r="Q2" t="s">
        <v>204</v>
      </c>
      <c r="R2" t="s">
        <v>1</v>
      </c>
    </row>
    <row r="3" spans="1:18" x14ac:dyDescent="0.35">
      <c r="A3" s="50" t="str">
        <f>TableOCDEVPLN[[#This Row],[Study Package Code]]</f>
        <v>URDE5014</v>
      </c>
      <c r="B3" s="56">
        <f>TableOCDEVPLN[[#This Row],[Ver]]</f>
        <v>2</v>
      </c>
      <c r="C3" s="56" t="str">
        <f>LEFT(TableOCDEVPLN[[#This Row],[Structure Line]],6)</f>
        <v>URP540</v>
      </c>
      <c r="D3" s="49" t="str">
        <f>MID(TableOCDEVPLN[[#This Row],[Structure Line]],8,LEN(TableOCDEVPLN[[#This Row],[Structure Line]]))</f>
        <v>Introduction to Planning</v>
      </c>
      <c r="E3" s="51">
        <f>TableOCDEVPLN[[#This Row],[Credit Points]]</f>
        <v>25</v>
      </c>
      <c r="F3" s="49">
        <v>1</v>
      </c>
      <c r="G3" s="49" t="s">
        <v>164</v>
      </c>
      <c r="H3" s="49">
        <v>0</v>
      </c>
      <c r="I3" s="49" t="s">
        <v>165</v>
      </c>
      <c r="J3" s="49" t="s">
        <v>46</v>
      </c>
      <c r="K3" s="49">
        <v>2</v>
      </c>
      <c r="L3" s="49" t="s">
        <v>166</v>
      </c>
      <c r="M3" s="127">
        <v>25</v>
      </c>
      <c r="N3" s="126">
        <v>42552</v>
      </c>
      <c r="O3" s="126"/>
      <c r="P3" s="49"/>
      <c r="Q3" t="s">
        <v>46</v>
      </c>
      <c r="R3">
        <v>2</v>
      </c>
    </row>
    <row r="4" spans="1:18" x14ac:dyDescent="0.35">
      <c r="A4" s="50" t="str">
        <f>TableOCDEVPLN[[#This Row],[Study Package Code]]</f>
        <v>URDE5030</v>
      </c>
      <c r="B4" s="56">
        <f>TableOCDEVPLN[[#This Row],[Ver]]</f>
        <v>1</v>
      </c>
      <c r="C4" s="56" t="str">
        <f>LEFT(TableOCDEVPLN[[#This Row],[Structure Line]],6)</f>
        <v>URP505</v>
      </c>
      <c r="D4" s="49" t="str">
        <f>MID(TableOCDEVPLN[[#This Row],[Structure Line]],8,LEN(TableOCDEVPLN[[#This Row],[Structure Line]]))</f>
        <v>Governance for Planning</v>
      </c>
      <c r="E4" s="51">
        <f>TableOCDEVPLN[[#This Row],[Credit Points]]</f>
        <v>25</v>
      </c>
      <c r="F4" s="49">
        <v>2</v>
      </c>
      <c r="G4" s="49" t="s">
        <v>164</v>
      </c>
      <c r="H4" s="49">
        <v>0</v>
      </c>
      <c r="I4" s="49" t="s">
        <v>165</v>
      </c>
      <c r="J4" s="49" t="s">
        <v>44</v>
      </c>
      <c r="K4" s="49">
        <v>1</v>
      </c>
      <c r="L4" s="49" t="s">
        <v>167</v>
      </c>
      <c r="M4" s="127">
        <v>25</v>
      </c>
      <c r="N4" s="126">
        <v>42736</v>
      </c>
      <c r="O4" s="126"/>
      <c r="P4" s="49"/>
      <c r="Q4" t="s">
        <v>44</v>
      </c>
      <c r="R4">
        <v>1</v>
      </c>
    </row>
    <row r="5" spans="1:18" x14ac:dyDescent="0.35">
      <c r="A5" s="50" t="str">
        <f>TableOCDEVPLN[[#This Row],[Study Package Code]]</f>
        <v>GEOG5000</v>
      </c>
      <c r="B5" s="56">
        <f>TableOCDEVPLN[[#This Row],[Ver]]</f>
        <v>1</v>
      </c>
      <c r="C5" s="56" t="str">
        <f>LEFT(TableOCDEVPLN[[#This Row],[Structure Line]],6)</f>
        <v>GPH510</v>
      </c>
      <c r="D5" s="49" t="str">
        <f>MID(TableOCDEVPLN[[#This Row],[Structure Line]],8,LEN(TableOCDEVPLN[[#This Row],[Structure Line]]))</f>
        <v>Human Geography</v>
      </c>
      <c r="E5" s="51">
        <f>TableOCDEVPLN[[#This Row],[Credit Points]]</f>
        <v>25</v>
      </c>
      <c r="F5" s="49">
        <v>3</v>
      </c>
      <c r="G5" s="49" t="s">
        <v>164</v>
      </c>
      <c r="H5" s="49">
        <v>0</v>
      </c>
      <c r="I5" s="49" t="s">
        <v>165</v>
      </c>
      <c r="J5" s="49" t="s">
        <v>52</v>
      </c>
      <c r="K5" s="49">
        <v>1</v>
      </c>
      <c r="L5" s="49" t="s">
        <v>168</v>
      </c>
      <c r="M5" s="127">
        <v>25</v>
      </c>
      <c r="N5" s="126">
        <v>42005</v>
      </c>
      <c r="O5" s="126"/>
      <c r="P5" s="49"/>
      <c r="Q5" t="s">
        <v>52</v>
      </c>
      <c r="R5">
        <v>1</v>
      </c>
    </row>
    <row r="6" spans="1:18" ht="16" thickBot="1" x14ac:dyDescent="0.4">
      <c r="A6" s="52" t="str">
        <f>TableOCDEVPLN[[#This Row],[Study Package Code]]</f>
        <v>URDE5031</v>
      </c>
      <c r="B6" s="53">
        <f>TableOCDEVPLN[[#This Row],[Ver]]</f>
        <v>2</v>
      </c>
      <c r="C6" s="53" t="str">
        <f>LEFT(TableOCDEVPLN[[#This Row],[Structure Line]],6)</f>
        <v>URP515</v>
      </c>
      <c r="D6" s="54" t="str">
        <f>MID(TableOCDEVPLN[[#This Row],[Structure Line]],8,LEN(TableOCDEVPLN[[#This Row],[Structure Line]]))</f>
        <v>Development Outcomes</v>
      </c>
      <c r="E6" s="55">
        <f>TableOCDEVPLN[[#This Row],[Credit Points]]</f>
        <v>25</v>
      </c>
      <c r="F6" s="49">
        <v>4</v>
      </c>
      <c r="G6" s="49" t="s">
        <v>164</v>
      </c>
      <c r="H6" s="49">
        <v>0</v>
      </c>
      <c r="I6" s="49" t="s">
        <v>165</v>
      </c>
      <c r="J6" s="49" t="s">
        <v>53</v>
      </c>
      <c r="K6" s="49">
        <v>2</v>
      </c>
      <c r="L6" s="49" t="s">
        <v>208</v>
      </c>
      <c r="M6" s="127">
        <v>25</v>
      </c>
      <c r="N6" s="126">
        <v>45383</v>
      </c>
      <c r="O6" s="126"/>
      <c r="P6" s="49"/>
      <c r="Q6" t="s">
        <v>53</v>
      </c>
      <c r="R6">
        <v>1</v>
      </c>
    </row>
    <row r="7" spans="1:18" x14ac:dyDescent="0.35">
      <c r="A7" s="49"/>
      <c r="B7" s="56"/>
      <c r="C7" s="56"/>
      <c r="D7" s="49"/>
      <c r="E7" s="56"/>
      <c r="F7" s="49"/>
      <c r="G7" s="49"/>
      <c r="H7" s="49"/>
      <c r="I7" s="49"/>
      <c r="J7" s="49"/>
      <c r="K7" s="49"/>
      <c r="L7" s="49"/>
      <c r="M7" s="49"/>
      <c r="N7" s="49"/>
      <c r="O7" s="49"/>
      <c r="P7" s="49"/>
    </row>
    <row r="8" spans="1:18" ht="16" thickBot="1" x14ac:dyDescent="0.4">
      <c r="F8" s="64"/>
      <c r="G8" s="82" t="s">
        <v>158</v>
      </c>
      <c r="H8" s="83">
        <v>44197</v>
      </c>
      <c r="I8" s="64"/>
      <c r="J8" s="125" t="s">
        <v>169</v>
      </c>
      <c r="K8" s="64" t="s">
        <v>64</v>
      </c>
      <c r="L8" s="64" t="s">
        <v>170</v>
      </c>
      <c r="M8" s="83"/>
      <c r="N8" s="124" t="s">
        <v>207</v>
      </c>
      <c r="O8" s="123">
        <v>45309</v>
      </c>
      <c r="P8" s="83"/>
    </row>
    <row r="9" spans="1:18" x14ac:dyDescent="0.35">
      <c r="A9" s="46" t="s">
        <v>0</v>
      </c>
      <c r="B9" s="47" t="s">
        <v>56</v>
      </c>
      <c r="C9" s="47" t="s">
        <v>17</v>
      </c>
      <c r="D9" s="47" t="s">
        <v>3</v>
      </c>
      <c r="E9" s="48" t="s">
        <v>159</v>
      </c>
      <c r="F9" s="49" t="s">
        <v>160</v>
      </c>
      <c r="G9" s="49" t="s">
        <v>161</v>
      </c>
      <c r="H9" s="49" t="s">
        <v>162</v>
      </c>
      <c r="I9" s="49" t="s">
        <v>18</v>
      </c>
      <c r="J9" s="49" t="s">
        <v>163</v>
      </c>
      <c r="K9" s="49" t="s">
        <v>1</v>
      </c>
      <c r="L9" s="49" t="s">
        <v>42</v>
      </c>
      <c r="M9" s="49" t="s">
        <v>57</v>
      </c>
      <c r="N9" s="49" t="s">
        <v>205</v>
      </c>
      <c r="O9" s="49" t="s">
        <v>206</v>
      </c>
      <c r="P9" s="49"/>
      <c r="Q9" t="s">
        <v>204</v>
      </c>
      <c r="R9" t="s">
        <v>1</v>
      </c>
    </row>
    <row r="10" spans="1:18" x14ac:dyDescent="0.35">
      <c r="A10" s="50" t="str">
        <f>TableOCDVPLC1[[#This Row],[Study Package Code]]</f>
        <v>GEOG5000</v>
      </c>
      <c r="B10" s="56">
        <f>TableOCDVPLC1[[#This Row],[Ver]]</f>
        <v>1</v>
      </c>
      <c r="C10" s="56" t="str">
        <f>LEFT(TableOCDVPLC1[[#This Row],[Structure Line]],6)</f>
        <v>GPH510</v>
      </c>
      <c r="D10" s="49" t="str">
        <f>MID(TableOCDVPLC1[[#This Row],[Structure Line]],8,LEN(TableOCDVPLC1[[#This Row],[Structure Line]]))</f>
        <v>Human Geography</v>
      </c>
      <c r="E10" s="51">
        <f>TableOCDVPLC1[[#This Row],[Credit Points]]</f>
        <v>25</v>
      </c>
      <c r="F10" s="49">
        <v>1</v>
      </c>
      <c r="G10" s="49" t="s">
        <v>164</v>
      </c>
      <c r="H10" s="49">
        <v>1</v>
      </c>
      <c r="I10" s="49" t="s">
        <v>165</v>
      </c>
      <c r="J10" s="49" t="s">
        <v>52</v>
      </c>
      <c r="K10" s="49">
        <v>1</v>
      </c>
      <c r="L10" s="49" t="s">
        <v>168</v>
      </c>
      <c r="M10" s="127">
        <v>25</v>
      </c>
      <c r="N10" s="126">
        <v>42005</v>
      </c>
      <c r="O10" s="126"/>
      <c r="P10" s="49"/>
      <c r="Q10" t="s">
        <v>52</v>
      </c>
      <c r="R10">
        <v>1</v>
      </c>
    </row>
    <row r="11" spans="1:18" x14ac:dyDescent="0.35">
      <c r="A11" s="50" t="str">
        <f>TableOCDVPLC1[[#This Row],[Study Package Code]]</f>
        <v>URDE5030</v>
      </c>
      <c r="B11" s="56">
        <f>TableOCDVPLC1[[#This Row],[Ver]]</f>
        <v>1</v>
      </c>
      <c r="C11" s="56" t="str">
        <f>LEFT(TableOCDVPLC1[[#This Row],[Structure Line]],6)</f>
        <v>URP505</v>
      </c>
      <c r="D11" s="49" t="str">
        <f>MID(TableOCDVPLC1[[#This Row],[Structure Line]],8,LEN(TableOCDVPLC1[[#This Row],[Structure Line]]))</f>
        <v>Governance for Planning</v>
      </c>
      <c r="E11" s="51">
        <f>TableOCDVPLC1[[#This Row],[Credit Points]]</f>
        <v>25</v>
      </c>
      <c r="F11" s="49">
        <v>2</v>
      </c>
      <c r="G11" s="49" t="s">
        <v>164</v>
      </c>
      <c r="H11" s="49">
        <v>1</v>
      </c>
      <c r="I11" s="49" t="s">
        <v>165</v>
      </c>
      <c r="J11" s="49" t="s">
        <v>44</v>
      </c>
      <c r="K11" s="49">
        <v>1</v>
      </c>
      <c r="L11" s="49" t="s">
        <v>167</v>
      </c>
      <c r="M11" s="127">
        <v>25</v>
      </c>
      <c r="N11" s="126">
        <v>42736</v>
      </c>
      <c r="O11" s="126"/>
      <c r="P11" s="49"/>
      <c r="Q11" t="s">
        <v>44</v>
      </c>
      <c r="R11">
        <v>1</v>
      </c>
    </row>
    <row r="12" spans="1:18" x14ac:dyDescent="0.35">
      <c r="A12" s="50" t="str">
        <f>TableOCDVPLC1[[#This Row],[Study Package Code]]</f>
        <v>URDE5031</v>
      </c>
      <c r="B12" s="56">
        <f>TableOCDVPLC1[[#This Row],[Ver]]</f>
        <v>2</v>
      </c>
      <c r="C12" s="56" t="str">
        <f>LEFT(TableOCDVPLC1[[#This Row],[Structure Line]],6)</f>
        <v>URP515</v>
      </c>
      <c r="D12" s="49" t="str">
        <f>MID(TableOCDVPLC1[[#This Row],[Structure Line]],8,LEN(TableOCDVPLC1[[#This Row],[Structure Line]]))</f>
        <v>Development Outcomes</v>
      </c>
      <c r="E12" s="51">
        <f>TableOCDVPLC1[[#This Row],[Credit Points]]</f>
        <v>25</v>
      </c>
      <c r="F12" s="49">
        <v>3</v>
      </c>
      <c r="G12" s="49" t="s">
        <v>164</v>
      </c>
      <c r="H12" s="49">
        <v>1</v>
      </c>
      <c r="I12" s="49" t="s">
        <v>165</v>
      </c>
      <c r="J12" s="49" t="s">
        <v>53</v>
      </c>
      <c r="K12" s="49">
        <v>2</v>
      </c>
      <c r="L12" s="49" t="s">
        <v>208</v>
      </c>
      <c r="M12" s="127">
        <v>25</v>
      </c>
      <c r="N12" s="126">
        <v>45383</v>
      </c>
      <c r="O12" s="126"/>
      <c r="P12" s="49"/>
      <c r="Q12" t="s">
        <v>53</v>
      </c>
      <c r="R12">
        <v>1</v>
      </c>
    </row>
    <row r="13" spans="1:18" ht="16" thickBot="1" x14ac:dyDescent="0.4">
      <c r="A13" s="52" t="str">
        <f>TableOCDVPLC1[[#This Row],[Study Package Code]]</f>
        <v>URDE5014</v>
      </c>
      <c r="B13" s="53">
        <f>TableOCDVPLC1[[#This Row],[Ver]]</f>
        <v>2</v>
      </c>
      <c r="C13" s="53" t="str">
        <f>LEFT(TableOCDVPLC1[[#This Row],[Structure Line]],6)</f>
        <v>URP540</v>
      </c>
      <c r="D13" s="54" t="str">
        <f>MID(TableOCDVPLC1[[#This Row],[Structure Line]],8,LEN(TableOCDVPLC1[[#This Row],[Structure Line]]))</f>
        <v>Introduction to Planning</v>
      </c>
      <c r="E13" s="55">
        <f>TableOCDVPLC1[[#This Row],[Credit Points]]</f>
        <v>25</v>
      </c>
      <c r="F13" s="49">
        <v>4</v>
      </c>
      <c r="G13" s="49" t="s">
        <v>164</v>
      </c>
      <c r="H13" s="49">
        <v>1</v>
      </c>
      <c r="I13" s="49" t="s">
        <v>165</v>
      </c>
      <c r="J13" s="49" t="s">
        <v>46</v>
      </c>
      <c r="K13" s="49">
        <v>2</v>
      </c>
      <c r="L13" s="49" t="s">
        <v>166</v>
      </c>
      <c r="M13" s="127">
        <v>25</v>
      </c>
      <c r="N13" s="126">
        <v>42552</v>
      </c>
      <c r="O13" s="126"/>
      <c r="P13" s="49"/>
      <c r="Q13" t="s">
        <v>46</v>
      </c>
      <c r="R13">
        <v>2</v>
      </c>
    </row>
    <row r="14" spans="1:18" x14ac:dyDescent="0.35">
      <c r="A14" s="49"/>
      <c r="B14" s="56"/>
      <c r="C14" s="56"/>
      <c r="D14" s="49"/>
      <c r="E14" s="56"/>
      <c r="F14" s="49"/>
      <c r="G14" s="49"/>
      <c r="H14" s="49"/>
      <c r="I14" s="49"/>
      <c r="J14" s="49"/>
      <c r="K14" s="49"/>
      <c r="L14" s="49"/>
      <c r="M14" s="49"/>
      <c r="N14" s="49"/>
      <c r="O14" s="49"/>
      <c r="P14" s="49"/>
    </row>
    <row r="15" spans="1:18" ht="16" thickBot="1" x14ac:dyDescent="0.4">
      <c r="F15" s="64"/>
      <c r="G15" s="82" t="s">
        <v>158</v>
      </c>
      <c r="H15" s="83">
        <v>42644</v>
      </c>
      <c r="I15" s="64"/>
      <c r="J15" s="125" t="s">
        <v>86</v>
      </c>
      <c r="K15" s="64" t="s">
        <v>64</v>
      </c>
      <c r="L15" s="64" t="s">
        <v>85</v>
      </c>
      <c r="M15" s="83"/>
      <c r="N15" s="124" t="s">
        <v>207</v>
      </c>
      <c r="O15" s="123">
        <v>45309</v>
      </c>
      <c r="P15" s="83"/>
    </row>
    <row r="16" spans="1:18" x14ac:dyDescent="0.35">
      <c r="A16" s="46" t="s">
        <v>0</v>
      </c>
      <c r="B16" s="47" t="s">
        <v>56</v>
      </c>
      <c r="C16" s="47" t="s">
        <v>17</v>
      </c>
      <c r="D16" s="47" t="s">
        <v>3</v>
      </c>
      <c r="E16" s="48" t="s">
        <v>159</v>
      </c>
      <c r="F16" s="49" t="s">
        <v>160</v>
      </c>
      <c r="G16" s="49" t="s">
        <v>161</v>
      </c>
      <c r="H16" s="49" t="s">
        <v>162</v>
      </c>
      <c r="I16" s="49" t="s">
        <v>18</v>
      </c>
      <c r="J16" s="49" t="s">
        <v>163</v>
      </c>
      <c r="K16" s="49" t="s">
        <v>1</v>
      </c>
      <c r="L16" s="49" t="s">
        <v>42</v>
      </c>
      <c r="M16" s="49" t="s">
        <v>57</v>
      </c>
      <c r="N16" s="49" t="s">
        <v>205</v>
      </c>
      <c r="O16" s="49" t="s">
        <v>206</v>
      </c>
      <c r="P16" s="49"/>
      <c r="Q16" t="s">
        <v>204</v>
      </c>
      <c r="R16" t="s">
        <v>1</v>
      </c>
    </row>
    <row r="17" spans="1:18" x14ac:dyDescent="0.35">
      <c r="A17" s="50" t="str">
        <f>TableOCGEOG1[[#This Row],[Study Package Code]]</f>
        <v>GEOG5000</v>
      </c>
      <c r="B17" s="56">
        <f>TableOCGEOG1[[#This Row],[Ver]]</f>
        <v>1</v>
      </c>
      <c r="C17" s="56" t="str">
        <f>LEFT(TableOCGEOG1[[#This Row],[Structure Line]],6)</f>
        <v>GPH510</v>
      </c>
      <c r="D17" s="49" t="str">
        <f>MID(TableOCGEOG1[[#This Row],[Structure Line]],8,LEN(TableOCGEOG1[[#This Row],[Structure Line]]))</f>
        <v>Human Geography</v>
      </c>
      <c r="E17" s="51">
        <f>TableOCGEOG1[[#This Row],[Credit Points]]</f>
        <v>25</v>
      </c>
      <c r="F17" s="49">
        <v>1</v>
      </c>
      <c r="G17" s="49" t="s">
        <v>164</v>
      </c>
      <c r="H17" s="49">
        <v>1</v>
      </c>
      <c r="I17" s="49" t="s">
        <v>165</v>
      </c>
      <c r="J17" s="49" t="s">
        <v>52</v>
      </c>
      <c r="K17" s="49">
        <v>1</v>
      </c>
      <c r="L17" s="49" t="s">
        <v>168</v>
      </c>
      <c r="M17" s="127">
        <v>25</v>
      </c>
      <c r="N17" s="126">
        <v>42005</v>
      </c>
      <c r="O17" s="126"/>
      <c r="P17" s="49"/>
    </row>
    <row r="18" spans="1:18" x14ac:dyDescent="0.35">
      <c r="A18" s="50" t="str">
        <f>TableOCGEOG1[[#This Row],[Study Package Code]]</f>
        <v>GEOG5002</v>
      </c>
      <c r="B18" s="56">
        <f>TableOCGEOG1[[#This Row],[Ver]]</f>
        <v>1</v>
      </c>
      <c r="C18" s="56" t="str">
        <f>LEFT(TableOCGEOG1[[#This Row],[Structure Line]],6)</f>
        <v>GPH512</v>
      </c>
      <c r="D18" s="49" t="str">
        <f>MID(TableOCGEOG1[[#This Row],[Structure Line]],8,LEN(TableOCGEOG1[[#This Row],[Structure Line]]))</f>
        <v>Physical Geography</v>
      </c>
      <c r="E18" s="51">
        <f>TableOCGEOG1[[#This Row],[Credit Points]]</f>
        <v>25</v>
      </c>
      <c r="F18" s="49">
        <v>2</v>
      </c>
      <c r="G18" s="49" t="s">
        <v>164</v>
      </c>
      <c r="H18" s="49">
        <v>1</v>
      </c>
      <c r="I18" s="49" t="s">
        <v>165</v>
      </c>
      <c r="J18" s="49" t="s">
        <v>216</v>
      </c>
      <c r="K18" s="49">
        <v>1</v>
      </c>
      <c r="L18" s="49" t="s">
        <v>221</v>
      </c>
      <c r="M18" s="127">
        <v>25</v>
      </c>
      <c r="N18" s="126">
        <v>42005</v>
      </c>
      <c r="O18" s="126"/>
      <c r="P18" s="49"/>
    </row>
    <row r="19" spans="1:18" x14ac:dyDescent="0.35">
      <c r="A19" s="50" t="str">
        <f>TableOCGEOG1[[#This Row],[Study Package Code]]</f>
        <v>GEOG5003</v>
      </c>
      <c r="B19" s="56">
        <f>TableOCGEOG1[[#This Row],[Ver]]</f>
        <v>1</v>
      </c>
      <c r="C19" s="56" t="str">
        <f>LEFT(TableOCGEOG1[[#This Row],[Structure Line]],6)</f>
        <v>GPH514</v>
      </c>
      <c r="D19" s="49" t="str">
        <f>MID(TableOCGEOG1[[#This Row],[Structure Line]],8,LEN(TableOCGEOG1[[#This Row],[Structure Line]]))</f>
        <v>Geographies of Food Security</v>
      </c>
      <c r="E19" s="51">
        <f>TableOCGEOG1[[#This Row],[Credit Points]]</f>
        <v>25</v>
      </c>
      <c r="F19" s="49">
        <v>3</v>
      </c>
      <c r="G19" s="49" t="s">
        <v>164</v>
      </c>
      <c r="H19" s="49">
        <v>1</v>
      </c>
      <c r="I19" s="49" t="s">
        <v>165</v>
      </c>
      <c r="J19" s="49" t="s">
        <v>217</v>
      </c>
      <c r="K19" s="49">
        <v>1</v>
      </c>
      <c r="L19" s="49" t="s">
        <v>218</v>
      </c>
      <c r="M19" s="127">
        <v>25</v>
      </c>
      <c r="N19" s="126">
        <v>42005</v>
      </c>
      <c r="O19" s="126"/>
      <c r="P19" s="49"/>
    </row>
    <row r="20" spans="1:18" ht="16" thickBot="1" x14ac:dyDescent="0.4">
      <c r="A20" s="52" t="str">
        <f>TableOCGEOG1[[#This Row],[Study Package Code]]</f>
        <v>GEOG5004</v>
      </c>
      <c r="B20" s="53">
        <f>TableOCGEOG1[[#This Row],[Ver]]</f>
        <v>2</v>
      </c>
      <c r="C20" s="53" t="str">
        <f>LEFT(TableOCGEOG1[[#This Row],[Structure Line]],6)</f>
        <v>GPH513</v>
      </c>
      <c r="D20" s="54" t="str">
        <f>MID(TableOCGEOG1[[#This Row],[Structure Line]],8,LEN(TableOCGEOG1[[#This Row],[Structure Line]]))</f>
        <v>Urban Geographies</v>
      </c>
      <c r="E20" s="55">
        <f>TableOCGEOG1[[#This Row],[Credit Points]]</f>
        <v>25</v>
      </c>
      <c r="F20" s="49">
        <v>4</v>
      </c>
      <c r="G20" s="49" t="s">
        <v>164</v>
      </c>
      <c r="H20" s="49">
        <v>1</v>
      </c>
      <c r="I20" s="49" t="s">
        <v>165</v>
      </c>
      <c r="J20" s="49" t="s">
        <v>219</v>
      </c>
      <c r="K20" s="49">
        <v>2</v>
      </c>
      <c r="L20" s="49" t="s">
        <v>220</v>
      </c>
      <c r="M20" s="127">
        <v>25</v>
      </c>
      <c r="N20" s="126">
        <v>44562</v>
      </c>
      <c r="O20" s="126"/>
      <c r="P20" s="49"/>
    </row>
    <row r="21" spans="1:18" x14ac:dyDescent="0.35">
      <c r="A21" s="49"/>
      <c r="B21" s="56"/>
      <c r="C21" s="56"/>
      <c r="D21" s="49"/>
      <c r="E21" s="56"/>
      <c r="F21" s="49"/>
      <c r="G21" s="49"/>
      <c r="H21" s="49"/>
      <c r="I21" s="49"/>
      <c r="J21" s="49"/>
      <c r="K21" s="49"/>
      <c r="L21" s="49"/>
      <c r="M21" s="49"/>
      <c r="N21" s="49"/>
      <c r="O21" s="49"/>
      <c r="P21" s="49"/>
    </row>
    <row r="22" spans="1:18" ht="16" thickBot="1" x14ac:dyDescent="0.4">
      <c r="F22" s="64"/>
      <c r="G22" s="82" t="s">
        <v>158</v>
      </c>
      <c r="H22" s="83">
        <v>44562</v>
      </c>
      <c r="I22" s="64"/>
      <c r="J22" s="125" t="s">
        <v>63</v>
      </c>
      <c r="K22" s="64" t="s">
        <v>64</v>
      </c>
      <c r="L22" s="64" t="s">
        <v>62</v>
      </c>
      <c r="M22" s="83"/>
      <c r="N22" s="124" t="s">
        <v>207</v>
      </c>
      <c r="O22" s="123">
        <v>45309</v>
      </c>
      <c r="P22" s="83"/>
    </row>
    <row r="23" spans="1:18" x14ac:dyDescent="0.35">
      <c r="A23" s="46" t="s">
        <v>0</v>
      </c>
      <c r="B23" s="47" t="s">
        <v>56</v>
      </c>
      <c r="C23" s="47" t="s">
        <v>17</v>
      </c>
      <c r="D23" s="47" t="s">
        <v>3</v>
      </c>
      <c r="E23" s="48" t="s">
        <v>159</v>
      </c>
      <c r="F23" s="49" t="s">
        <v>160</v>
      </c>
      <c r="G23" s="49" t="s">
        <v>161</v>
      </c>
      <c r="H23" s="49" t="s">
        <v>162</v>
      </c>
      <c r="I23" s="49" t="s">
        <v>18</v>
      </c>
      <c r="J23" s="49" t="s">
        <v>163</v>
      </c>
      <c r="K23" s="49" t="s">
        <v>1</v>
      </c>
      <c r="L23" s="49" t="s">
        <v>42</v>
      </c>
      <c r="M23" s="49" t="s">
        <v>57</v>
      </c>
      <c r="N23" s="49" t="s">
        <v>205</v>
      </c>
      <c r="O23" s="49" t="s">
        <v>206</v>
      </c>
      <c r="P23" s="49"/>
      <c r="Q23" t="s">
        <v>204</v>
      </c>
      <c r="R23" t="s">
        <v>1</v>
      </c>
    </row>
    <row r="24" spans="1:18" x14ac:dyDescent="0.35">
      <c r="A24" s="50" t="str">
        <f>TableOMURPLAN2[[#This Row],[Study Package Code]]</f>
        <v/>
      </c>
      <c r="B24" s="56">
        <f>TableOMURPLAN2[[#This Row],[Ver]]</f>
        <v>0</v>
      </c>
      <c r="C24" s="56"/>
      <c r="D24" s="49" t="str">
        <f>TableOMURPLAN2[[#This Row],[Structure Line]]</f>
        <v>Choose your optional unit</v>
      </c>
      <c r="E24" s="51">
        <f>TableOMURPLAN2[[#This Row],[Credit Points]]</f>
        <v>25</v>
      </c>
      <c r="F24" s="49">
        <v>1</v>
      </c>
      <c r="G24" s="49" t="s">
        <v>81</v>
      </c>
      <c r="H24" s="49">
        <v>0</v>
      </c>
      <c r="I24" s="49" t="s">
        <v>165</v>
      </c>
      <c r="J24" s="49" t="s">
        <v>171</v>
      </c>
      <c r="K24" s="49">
        <v>0</v>
      </c>
      <c r="L24" s="49" t="s">
        <v>210</v>
      </c>
      <c r="M24" s="49">
        <v>25</v>
      </c>
      <c r="N24" s="126"/>
      <c r="O24" s="126"/>
      <c r="P24" s="49"/>
      <c r="Q24" t="s">
        <v>81</v>
      </c>
      <c r="R24">
        <v>0</v>
      </c>
    </row>
    <row r="25" spans="1:18" x14ac:dyDescent="0.35">
      <c r="A25" s="50" t="str">
        <f>TableOMURPLAN2[[#This Row],[Study Package Code]]</f>
        <v>URDE3010</v>
      </c>
      <c r="B25" s="56">
        <f>TableOMURPLAN2[[#This Row],[Ver]]</f>
        <v>1</v>
      </c>
      <c r="C25" s="56" t="str">
        <f>LEFT(TableOMURPLAN2[[#This Row],[Structure Line]],6)</f>
        <v>URP310</v>
      </c>
      <c r="D25" s="49" t="str">
        <f>MID(TableOMURPLAN2[[#This Row],[Structure Line]],8,LEN(TableOMURPLAN2[[#This Row],[Structure Line]]))</f>
        <v>Professional Practice in Urban and Regional Planning 1</v>
      </c>
      <c r="E25" s="51">
        <f>TableOMURPLAN2[[#This Row],[Credit Points]]</f>
        <v>25</v>
      </c>
      <c r="F25" s="49">
        <v>2</v>
      </c>
      <c r="G25" s="49" t="s">
        <v>164</v>
      </c>
      <c r="H25" s="49">
        <v>1</v>
      </c>
      <c r="I25" s="49" t="s">
        <v>165</v>
      </c>
      <c r="J25" s="49" t="s">
        <v>51</v>
      </c>
      <c r="K25" s="49">
        <v>1</v>
      </c>
      <c r="L25" s="49" t="s">
        <v>172</v>
      </c>
      <c r="M25" s="127">
        <v>25</v>
      </c>
      <c r="N25" s="126">
        <v>44562</v>
      </c>
      <c r="O25" s="126"/>
      <c r="P25" s="49"/>
      <c r="Q25" t="s">
        <v>51</v>
      </c>
      <c r="R25">
        <v>1</v>
      </c>
    </row>
    <row r="26" spans="1:18" x14ac:dyDescent="0.35">
      <c r="A26" s="50" t="str">
        <f>TableOMURPLAN2[[#This Row],[Study Package Code]]</f>
        <v>URDE5016</v>
      </c>
      <c r="B26" s="56">
        <f>TableOMURPLAN2[[#This Row],[Ver]]</f>
        <v>1</v>
      </c>
      <c r="C26" s="56" t="str">
        <f>LEFT(TableOMURPLAN2[[#This Row],[Structure Line]],6)</f>
        <v>URP500</v>
      </c>
      <c r="D26" s="49" t="str">
        <f>MID(TableOMURPLAN2[[#This Row],[Structure Line]],8,LEN(TableOMURPLAN2[[#This Row],[Structure Line]]))</f>
        <v>Planning Law</v>
      </c>
      <c r="E26" s="51">
        <f>TableOMURPLAN2[[#This Row],[Credit Points]]</f>
        <v>25</v>
      </c>
      <c r="F26" s="49">
        <v>3</v>
      </c>
      <c r="G26" s="49" t="s">
        <v>164</v>
      </c>
      <c r="H26" s="49">
        <v>1</v>
      </c>
      <c r="I26" s="49" t="s">
        <v>165</v>
      </c>
      <c r="J26" s="49" t="s">
        <v>49</v>
      </c>
      <c r="K26" s="49">
        <v>1</v>
      </c>
      <c r="L26" s="49" t="s">
        <v>173</v>
      </c>
      <c r="M26" s="127">
        <v>25</v>
      </c>
      <c r="N26" s="126">
        <v>42005</v>
      </c>
      <c r="O26" s="126"/>
      <c r="P26" s="49"/>
      <c r="Q26" t="s">
        <v>49</v>
      </c>
      <c r="R26">
        <v>1</v>
      </c>
    </row>
    <row r="27" spans="1:18" x14ac:dyDescent="0.35">
      <c r="A27" s="50" t="str">
        <f>TableOMURPLAN2[[#This Row],[Study Package Code]]</f>
        <v>URDE5017</v>
      </c>
      <c r="B27" s="56">
        <f>TableOMURPLAN2[[#This Row],[Ver]]</f>
        <v>2</v>
      </c>
      <c r="C27" s="56" t="str">
        <f>LEFT(TableOMURPLAN2[[#This Row],[Structure Line]],6)</f>
        <v>URP510</v>
      </c>
      <c r="D27" s="49" t="str">
        <f>MID(TableOMURPLAN2[[#This Row],[Structure Line]],8,LEN(TableOMURPLAN2[[#This Row],[Structure Line]]))</f>
        <v>Planning for Regions</v>
      </c>
      <c r="E27" s="51">
        <f>TableOMURPLAN2[[#This Row],[Credit Points]]</f>
        <v>25</v>
      </c>
      <c r="F27" s="49">
        <v>4</v>
      </c>
      <c r="G27" s="49" t="s">
        <v>164</v>
      </c>
      <c r="H27" s="49">
        <v>1</v>
      </c>
      <c r="I27" s="49" t="s">
        <v>165</v>
      </c>
      <c r="J27" s="49" t="s">
        <v>50</v>
      </c>
      <c r="K27" s="49">
        <v>2</v>
      </c>
      <c r="L27" s="49" t="s">
        <v>174</v>
      </c>
      <c r="M27" s="127">
        <v>25</v>
      </c>
      <c r="N27" s="126">
        <v>44197</v>
      </c>
      <c r="O27" s="126"/>
      <c r="P27" s="49"/>
      <c r="Q27" t="s">
        <v>50</v>
      </c>
      <c r="R27">
        <v>2</v>
      </c>
    </row>
    <row r="28" spans="1:18" x14ac:dyDescent="0.35">
      <c r="A28" s="50" t="str">
        <f>TableOMURPLAN2[[#This Row],[Study Package Code]]</f>
        <v>URDE5015</v>
      </c>
      <c r="B28" s="56">
        <f>TableOMURPLAN2[[#This Row],[Ver]]</f>
        <v>3</v>
      </c>
      <c r="C28" s="56" t="str">
        <f>LEFT(TableOMURPLAN2[[#This Row],[Structure Line]],6)</f>
        <v>URP530</v>
      </c>
      <c r="D28" s="49" t="str">
        <f>MID(TableOMURPLAN2[[#This Row],[Structure Line]],8,LEN(TableOMURPLAN2[[#This Row],[Structure Line]]))</f>
        <v>Planning Theory and Context</v>
      </c>
      <c r="E28" s="51">
        <f>TableOMURPLAN2[[#This Row],[Credit Points]]</f>
        <v>25</v>
      </c>
      <c r="F28" s="49">
        <v>5</v>
      </c>
      <c r="G28" s="49" t="s">
        <v>164</v>
      </c>
      <c r="H28" s="49">
        <v>1</v>
      </c>
      <c r="I28" s="49" t="s">
        <v>165</v>
      </c>
      <c r="J28" s="49" t="s">
        <v>55</v>
      </c>
      <c r="K28" s="49">
        <v>3</v>
      </c>
      <c r="L28" s="49" t="s">
        <v>175</v>
      </c>
      <c r="M28" s="127">
        <v>25</v>
      </c>
      <c r="N28" s="126">
        <v>44562</v>
      </c>
      <c r="O28" s="126"/>
      <c r="P28" s="49"/>
      <c r="Q28" t="s">
        <v>55</v>
      </c>
      <c r="R28">
        <v>3</v>
      </c>
    </row>
    <row r="29" spans="1:18" x14ac:dyDescent="0.35">
      <c r="A29" s="50" t="str">
        <f>TableOMURPLAN2[[#This Row],[Study Package Code]]</f>
        <v>URDE6001</v>
      </c>
      <c r="B29" s="56">
        <f>TableOMURPLAN2[[#This Row],[Ver]]</f>
        <v>1</v>
      </c>
      <c r="C29" s="56" t="str">
        <f>LEFT(TableOMURPLAN2[[#This Row],[Structure Line]],6)</f>
        <v>URP620</v>
      </c>
      <c r="D29" s="49" t="str">
        <f>MID(TableOMURPLAN2[[#This Row],[Structure Line]],8,LEN(TableOMURPLAN2[[#This Row],[Structure Line]]))</f>
        <v>Planning for Housing</v>
      </c>
      <c r="E29" s="51">
        <f>TableOMURPLAN2[[#This Row],[Credit Points]]</f>
        <v>25</v>
      </c>
      <c r="F29" s="49">
        <v>6</v>
      </c>
      <c r="G29" s="49" t="s">
        <v>164</v>
      </c>
      <c r="H29" s="49">
        <v>1</v>
      </c>
      <c r="I29" s="49" t="s">
        <v>165</v>
      </c>
      <c r="J29" s="49" t="s">
        <v>68</v>
      </c>
      <c r="K29" s="49">
        <v>1</v>
      </c>
      <c r="L29" s="49" t="s">
        <v>176</v>
      </c>
      <c r="M29" s="127">
        <v>25</v>
      </c>
      <c r="N29" s="126">
        <v>42005</v>
      </c>
      <c r="O29" s="126"/>
      <c r="P29" s="49"/>
      <c r="Q29" t="s">
        <v>68</v>
      </c>
      <c r="R29">
        <v>1</v>
      </c>
    </row>
    <row r="30" spans="1:18" x14ac:dyDescent="0.35">
      <c r="A30" s="50" t="str">
        <f>TableOMURPLAN2[[#This Row],[Study Package Code]]</f>
        <v>URDE6004</v>
      </c>
      <c r="B30" s="56">
        <f>TableOMURPLAN2[[#This Row],[Ver]]</f>
        <v>1</v>
      </c>
      <c r="C30" s="56" t="str">
        <f>LEFT(TableOMURPLAN2[[#This Row],[Structure Line]],6)</f>
        <v>URP640</v>
      </c>
      <c r="D30" s="49" t="str">
        <f>MID(TableOMURPLAN2[[#This Row],[Structure Line]],8,LEN(TableOMURPLAN2[[#This Row],[Structure Line]]))</f>
        <v>Participatory Planning</v>
      </c>
      <c r="E30" s="51">
        <f>TableOMURPLAN2[[#This Row],[Credit Points]]</f>
        <v>25</v>
      </c>
      <c r="F30" s="49">
        <v>7</v>
      </c>
      <c r="G30" s="49" t="s">
        <v>164</v>
      </c>
      <c r="H30" s="49">
        <v>1</v>
      </c>
      <c r="I30" s="49" t="s">
        <v>165</v>
      </c>
      <c r="J30" s="49" t="s">
        <v>69</v>
      </c>
      <c r="K30" s="49">
        <v>1</v>
      </c>
      <c r="L30" s="49" t="s">
        <v>177</v>
      </c>
      <c r="M30" s="127">
        <v>25</v>
      </c>
      <c r="N30" s="126">
        <v>42005</v>
      </c>
      <c r="O30" s="126"/>
      <c r="P30" s="49"/>
      <c r="Q30" t="s">
        <v>69</v>
      </c>
      <c r="R30">
        <v>1</v>
      </c>
    </row>
    <row r="31" spans="1:18" x14ac:dyDescent="0.35">
      <c r="A31" s="50" t="str">
        <f>TableOMURPLAN2[[#This Row],[Study Package Code]]</f>
        <v>URDE6007</v>
      </c>
      <c r="B31" s="56">
        <f>TableOMURPLAN2[[#This Row],[Ver]]</f>
        <v>1</v>
      </c>
      <c r="C31" s="56" t="str">
        <f>LEFT(TableOMURPLAN2[[#This Row],[Structure Line]],6)</f>
        <v>DBE600</v>
      </c>
      <c r="D31" s="49" t="str">
        <f>MID(TableOMURPLAN2[[#This Row],[Structure Line]],8,LEN(TableOMURPLAN2[[#This Row],[Structure Line]]))</f>
        <v>Design and Built Environment Research Methods</v>
      </c>
      <c r="E31" s="51">
        <f>TableOMURPLAN2[[#This Row],[Credit Points]]</f>
        <v>25</v>
      </c>
      <c r="F31" s="49">
        <v>8</v>
      </c>
      <c r="G31" s="49" t="s">
        <v>164</v>
      </c>
      <c r="H31" s="49">
        <v>1</v>
      </c>
      <c r="I31" s="49" t="s">
        <v>165</v>
      </c>
      <c r="J31" s="49" t="s">
        <v>54</v>
      </c>
      <c r="K31" s="49">
        <v>1</v>
      </c>
      <c r="L31" s="49" t="s">
        <v>178</v>
      </c>
      <c r="M31" s="127">
        <v>25</v>
      </c>
      <c r="N31" s="126">
        <v>44562</v>
      </c>
      <c r="O31" s="126"/>
      <c r="P31" s="49"/>
      <c r="Q31" t="s">
        <v>54</v>
      </c>
      <c r="R31">
        <v>1</v>
      </c>
    </row>
    <row r="32" spans="1:18" x14ac:dyDescent="0.35">
      <c r="A32" s="50" t="str">
        <f>TableOMURPLAN2[[#This Row],[Study Package Code]]</f>
        <v>URDE5020</v>
      </c>
      <c r="B32" s="56">
        <f>TableOMURPLAN2[[#This Row],[Ver]]</f>
        <v>2</v>
      </c>
      <c r="C32" s="56" t="str">
        <f>LEFT(TableOMURPLAN2[[#This Row],[Structure Line]],6)</f>
        <v>URP570</v>
      </c>
      <c r="D32" s="49" t="str">
        <f>MID(TableOMURPLAN2[[#This Row],[Structure Line]],8,LEN(TableOMURPLAN2[[#This Row],[Structure Line]]))</f>
        <v>Planning Dissertation Preparation</v>
      </c>
      <c r="E32" s="51">
        <f>TableOMURPLAN2[[#This Row],[Credit Points]]</f>
        <v>25</v>
      </c>
      <c r="F32" s="49">
        <v>9</v>
      </c>
      <c r="G32" s="49" t="s">
        <v>164</v>
      </c>
      <c r="H32" s="49">
        <v>2</v>
      </c>
      <c r="I32" s="49" t="s">
        <v>165</v>
      </c>
      <c r="J32" s="49" t="s">
        <v>66</v>
      </c>
      <c r="K32" s="49">
        <v>2</v>
      </c>
      <c r="L32" s="49" t="s">
        <v>179</v>
      </c>
      <c r="M32" s="127">
        <v>25</v>
      </c>
      <c r="N32" s="126">
        <v>42186</v>
      </c>
      <c r="O32" s="126"/>
      <c r="P32" s="49"/>
      <c r="Q32" t="s">
        <v>66</v>
      </c>
      <c r="R32">
        <v>2</v>
      </c>
    </row>
    <row r="33" spans="1:18" x14ac:dyDescent="0.35">
      <c r="A33" s="50" t="str">
        <f>TableOMURPLAN2[[#This Row],[Study Package Code]]</f>
        <v>URDE6003</v>
      </c>
      <c r="B33" s="56">
        <f>TableOMURPLAN2[[#This Row],[Ver]]</f>
        <v>2</v>
      </c>
      <c r="C33" s="56" t="str">
        <f>LEFT(TableOMURPLAN2[[#This Row],[Structure Line]],6)</f>
        <v>URP600</v>
      </c>
      <c r="D33" s="49" t="str">
        <f>MID(TableOMURPLAN2[[#This Row],[Structure Line]],8,LEN(TableOMURPLAN2[[#This Row],[Structure Line]]))</f>
        <v>Urban Transport Systems</v>
      </c>
      <c r="E33" s="51">
        <f>TableOMURPLAN2[[#This Row],[Credit Points]]</f>
        <v>25</v>
      </c>
      <c r="F33" s="49">
        <v>10</v>
      </c>
      <c r="G33" s="49" t="s">
        <v>164</v>
      </c>
      <c r="H33" s="49">
        <v>2</v>
      </c>
      <c r="I33" s="49" t="s">
        <v>165</v>
      </c>
      <c r="J33" s="49" t="s">
        <v>67</v>
      </c>
      <c r="K33" s="49">
        <v>2</v>
      </c>
      <c r="L33" s="49" t="s">
        <v>180</v>
      </c>
      <c r="M33" s="127">
        <v>25</v>
      </c>
      <c r="N33" s="126">
        <v>44197</v>
      </c>
      <c r="O33" s="126"/>
      <c r="P33" s="49"/>
      <c r="Q33" t="s">
        <v>67</v>
      </c>
      <c r="R33">
        <v>2</v>
      </c>
    </row>
    <row r="34" spans="1:18" x14ac:dyDescent="0.35">
      <c r="A34" s="50" t="str">
        <f>TableOMURPLAN2[[#This Row],[Study Package Code]]</f>
        <v>URDE6005</v>
      </c>
      <c r="B34" s="56">
        <f>TableOMURPLAN2[[#This Row],[Ver]]</f>
        <v>1</v>
      </c>
      <c r="C34" s="56" t="str">
        <f>LEFT(TableOMURPLAN2[[#This Row],[Structure Line]],6)</f>
        <v>URP650</v>
      </c>
      <c r="D34" s="49" t="str">
        <f>MID(TableOMURPLAN2[[#This Row],[Structure Line]],8,LEN(TableOMURPLAN2[[#This Row],[Structure Line]]))</f>
        <v>Planning Masters Dissertation</v>
      </c>
      <c r="E34" s="51">
        <f>TableOMURPLAN2[[#This Row],[Credit Points]]</f>
        <v>50</v>
      </c>
      <c r="F34" s="49">
        <v>11</v>
      </c>
      <c r="G34" s="49" t="s">
        <v>164</v>
      </c>
      <c r="H34" s="49">
        <v>2</v>
      </c>
      <c r="I34" s="49" t="s">
        <v>165</v>
      </c>
      <c r="J34" s="49" t="s">
        <v>76</v>
      </c>
      <c r="K34" s="49">
        <v>1</v>
      </c>
      <c r="L34" s="49" t="s">
        <v>181</v>
      </c>
      <c r="M34" s="127">
        <v>50</v>
      </c>
      <c r="N34" s="126">
        <v>42736</v>
      </c>
      <c r="O34" s="126"/>
      <c r="P34" s="49"/>
      <c r="Q34" t="s">
        <v>76</v>
      </c>
      <c r="R34">
        <v>1</v>
      </c>
    </row>
    <row r="35" spans="1:18" x14ac:dyDescent="0.35">
      <c r="A35" s="50" t="str">
        <f>TableOMURPLAN2[[#This Row],[Study Package Code]]</f>
        <v>PRJM6013</v>
      </c>
      <c r="B35" s="56">
        <f>TableOMURPLAN2[[#This Row],[Ver]]</f>
        <v>2</v>
      </c>
      <c r="C35" s="56" t="str">
        <f>LEFT(TableOMURPLAN2[[#This Row],[Structure Line]],6)</f>
        <v>PRM500</v>
      </c>
      <c r="D35" s="49" t="str">
        <f>MID(TableOMURPLAN2[[#This Row],[Structure Line]],8,LEN(TableOMURPLAN2[[#This Row],[Structure Line]]))</f>
        <v>Project Management Overview</v>
      </c>
      <c r="E35" s="51">
        <f>TableOMURPLAN2[[#This Row],[Credit Points]]</f>
        <v>25</v>
      </c>
      <c r="F35" s="49">
        <v>1</v>
      </c>
      <c r="G35" s="49" t="s">
        <v>81</v>
      </c>
      <c r="H35" s="49">
        <v>0</v>
      </c>
      <c r="I35" s="49" t="s">
        <v>165</v>
      </c>
      <c r="J35" s="49" t="s">
        <v>91</v>
      </c>
      <c r="K35" s="127">
        <v>2</v>
      </c>
      <c r="L35" s="49" t="s">
        <v>182</v>
      </c>
      <c r="M35" s="127">
        <v>25</v>
      </c>
      <c r="N35" s="126">
        <v>42917</v>
      </c>
      <c r="O35" s="126"/>
      <c r="P35" s="49"/>
      <c r="Q35" t="s">
        <v>91</v>
      </c>
      <c r="R35">
        <v>2</v>
      </c>
    </row>
    <row r="36" spans="1:18" x14ac:dyDescent="0.35">
      <c r="A36" s="50" t="str">
        <f>TableOMURPLAN2[[#This Row],[Study Package Code]]</f>
        <v>PRJM6018</v>
      </c>
      <c r="B36" s="56">
        <f>TableOMURPLAN2[[#This Row],[Ver]]</f>
        <v>1</v>
      </c>
      <c r="C36" s="56" t="str">
        <f>LEFT(TableOMURPLAN2[[#This Row],[Structure Line]],6)</f>
        <v>PRM540</v>
      </c>
      <c r="D36" s="49" t="str">
        <f>MID(TableOMURPLAN2[[#This Row],[Structure Line]],8,LEN(TableOMURPLAN2[[#This Row],[Structure Line]]))</f>
        <v>Project Procurement Management</v>
      </c>
      <c r="E36" s="51">
        <f>TableOMURPLAN2[[#This Row],[Credit Points]]</f>
        <v>25</v>
      </c>
      <c r="F36" s="49">
        <v>1</v>
      </c>
      <c r="G36" s="49" t="s">
        <v>81</v>
      </c>
      <c r="H36" s="49">
        <v>0</v>
      </c>
      <c r="I36" s="49" t="s">
        <v>165</v>
      </c>
      <c r="J36" s="49" t="s">
        <v>92</v>
      </c>
      <c r="K36" s="127">
        <v>1</v>
      </c>
      <c r="L36" s="49" t="s">
        <v>183</v>
      </c>
      <c r="M36" s="127">
        <v>25</v>
      </c>
      <c r="N36" s="126">
        <v>42917</v>
      </c>
      <c r="O36" s="126"/>
      <c r="P36" s="49"/>
      <c r="Q36" t="s">
        <v>92</v>
      </c>
      <c r="R36">
        <v>1</v>
      </c>
    </row>
    <row r="37" spans="1:18" x14ac:dyDescent="0.35">
      <c r="A37" s="50" t="str">
        <f>TableOMURPLAN2[[#This Row],[Study Package Code]]</f>
        <v>PRJM6020</v>
      </c>
      <c r="B37" s="56">
        <f>TableOMURPLAN2[[#This Row],[Ver]]</f>
        <v>1</v>
      </c>
      <c r="C37" s="56" t="str">
        <f>LEFT(TableOMURPLAN2[[#This Row],[Structure Line]],6)</f>
        <v>PRM550</v>
      </c>
      <c r="D37" s="49" t="str">
        <f>MID(TableOMURPLAN2[[#This Row],[Structure Line]],8,LEN(TableOMURPLAN2[[#This Row],[Structure Line]]))</f>
        <v>Project Risk Management</v>
      </c>
      <c r="E37" s="51">
        <f>TableOMURPLAN2[[#This Row],[Credit Points]]</f>
        <v>25</v>
      </c>
      <c r="F37" s="49">
        <v>1</v>
      </c>
      <c r="G37" s="49" t="s">
        <v>81</v>
      </c>
      <c r="H37" s="49">
        <v>0</v>
      </c>
      <c r="I37" s="49" t="s">
        <v>165</v>
      </c>
      <c r="J37" s="49" t="s">
        <v>93</v>
      </c>
      <c r="K37" s="127">
        <v>1</v>
      </c>
      <c r="L37" s="49" t="s">
        <v>184</v>
      </c>
      <c r="M37" s="127">
        <v>25</v>
      </c>
      <c r="N37" s="126">
        <v>42917</v>
      </c>
      <c r="O37" s="126"/>
      <c r="P37" s="49"/>
      <c r="Q37" t="s">
        <v>93</v>
      </c>
      <c r="R37">
        <v>1</v>
      </c>
    </row>
    <row r="38" spans="1:18" x14ac:dyDescent="0.35">
      <c r="A38" s="50" t="str">
        <f>TableOMURPLAN2[[#This Row],[Study Package Code]]</f>
        <v>PRJM6021</v>
      </c>
      <c r="B38" s="56">
        <f>TableOMURPLAN2[[#This Row],[Ver]]</f>
        <v>1</v>
      </c>
      <c r="C38" s="56" t="str">
        <f>LEFT(TableOMURPLAN2[[#This Row],[Structure Line]],6)</f>
        <v>PRM530</v>
      </c>
      <c r="D38" s="49" t="str">
        <f>MID(TableOMURPLAN2[[#This Row],[Structure Line]],8,LEN(TableOMURPLAN2[[#This Row],[Structure Line]]))</f>
        <v>Project Time Management</v>
      </c>
      <c r="E38" s="51">
        <f>TableOMURPLAN2[[#This Row],[Credit Points]]</f>
        <v>25</v>
      </c>
      <c r="F38" s="49">
        <v>1</v>
      </c>
      <c r="G38" s="49" t="s">
        <v>81</v>
      </c>
      <c r="H38" s="49">
        <v>0</v>
      </c>
      <c r="I38" s="49" t="s">
        <v>165</v>
      </c>
      <c r="J38" s="49" t="s">
        <v>94</v>
      </c>
      <c r="K38" s="127">
        <v>1</v>
      </c>
      <c r="L38" s="49" t="s">
        <v>185</v>
      </c>
      <c r="M38" s="127">
        <v>25</v>
      </c>
      <c r="N38" s="126">
        <v>42917</v>
      </c>
      <c r="O38" s="126">
        <v>45382</v>
      </c>
      <c r="P38" s="49"/>
      <c r="Q38" t="s">
        <v>94</v>
      </c>
      <c r="R38">
        <v>1</v>
      </c>
    </row>
    <row r="39" spans="1:18" x14ac:dyDescent="0.35">
      <c r="A39" s="50" t="str">
        <f>TableOMURPLAN2[[#This Row],[Study Package Code]]</f>
        <v>SUST5011</v>
      </c>
      <c r="B39" s="56">
        <f>TableOMURPLAN2[[#This Row],[Ver]]</f>
        <v>1</v>
      </c>
      <c r="C39" s="56" t="str">
        <f>LEFT(TableOMURPLAN2[[#This Row],[Structure Line]],6)</f>
        <v>SCP541</v>
      </c>
      <c r="D39" s="49" t="str">
        <f>MID(TableOMURPLAN2[[#This Row],[Structure Line]],8,LEN(TableOMURPLAN2[[#This Row],[Structure Line]]))</f>
        <v>Urban Design for Sustainability</v>
      </c>
      <c r="E39" s="51">
        <f>TableOMURPLAN2[[#This Row],[Credit Points]]</f>
        <v>25</v>
      </c>
      <c r="F39" s="49">
        <v>1</v>
      </c>
      <c r="G39" s="49" t="s">
        <v>81</v>
      </c>
      <c r="H39" s="49">
        <v>0</v>
      </c>
      <c r="I39" s="49" t="s">
        <v>165</v>
      </c>
      <c r="J39" s="49" t="s">
        <v>95</v>
      </c>
      <c r="K39" s="127">
        <v>1</v>
      </c>
      <c r="L39" s="49" t="s">
        <v>186</v>
      </c>
      <c r="M39" s="127">
        <v>25</v>
      </c>
      <c r="N39" s="126">
        <v>42005</v>
      </c>
      <c r="O39" s="126"/>
      <c r="P39" s="49"/>
      <c r="Q39" t="s">
        <v>95</v>
      </c>
      <c r="R39">
        <v>1</v>
      </c>
    </row>
    <row r="40" spans="1:18" x14ac:dyDescent="0.35">
      <c r="A40" s="50" t="str">
        <f>TableOMURPLAN2[[#This Row],[Study Package Code]]</f>
        <v>SUST5013</v>
      </c>
      <c r="B40" s="56">
        <f>TableOMURPLAN2[[#This Row],[Ver]]</f>
        <v>2</v>
      </c>
      <c r="C40" s="56" t="str">
        <f>LEFT(TableOMURPLAN2[[#This Row],[Structure Line]],6)</f>
        <v>SCP543</v>
      </c>
      <c r="D40" s="49" t="str">
        <f>MID(TableOMURPLAN2[[#This Row],[Structure Line]],8,LEN(TableOMURPLAN2[[#This Row],[Structure Line]]))</f>
        <v>Future Cities</v>
      </c>
      <c r="E40" s="51">
        <f>TableOMURPLAN2[[#This Row],[Credit Points]]</f>
        <v>25</v>
      </c>
      <c r="F40" s="49">
        <v>1</v>
      </c>
      <c r="G40" s="49" t="s">
        <v>81</v>
      </c>
      <c r="H40" s="49">
        <v>0</v>
      </c>
      <c r="I40" s="49" t="s">
        <v>165</v>
      </c>
      <c r="J40" s="49" t="s">
        <v>96</v>
      </c>
      <c r="K40" s="127">
        <v>2</v>
      </c>
      <c r="L40" s="49" t="s">
        <v>187</v>
      </c>
      <c r="M40" s="127">
        <v>25</v>
      </c>
      <c r="N40" s="126">
        <v>44013</v>
      </c>
      <c r="O40" s="126"/>
      <c r="P40" s="49"/>
      <c r="Q40" t="s">
        <v>96</v>
      </c>
      <c r="R40">
        <v>2</v>
      </c>
    </row>
    <row r="41" spans="1:18" x14ac:dyDescent="0.35">
      <c r="A41" s="50" t="str">
        <f>TableOMURPLAN2[[#This Row],[Study Package Code]]</f>
        <v>SUST5016</v>
      </c>
      <c r="B41" s="56">
        <f>TableOMURPLAN2[[#This Row],[Ver]]</f>
        <v>1</v>
      </c>
      <c r="C41" s="56" t="str">
        <f>LEFT(TableOMURPLAN2[[#This Row],[Structure Line]],6)</f>
        <v>SCP547</v>
      </c>
      <c r="D41" s="49" t="str">
        <f>MID(TableOMURPLAN2[[#This Row],[Structure Line]],8,LEN(TableOMURPLAN2[[#This Row],[Structure Line]]))</f>
        <v>Climate Policy</v>
      </c>
      <c r="E41" s="51">
        <f>TableOMURPLAN2[[#This Row],[Credit Points]]</f>
        <v>25</v>
      </c>
      <c r="F41" s="49">
        <v>1</v>
      </c>
      <c r="G41" s="49" t="s">
        <v>81</v>
      </c>
      <c r="H41" s="49">
        <v>0</v>
      </c>
      <c r="I41" s="49" t="s">
        <v>165</v>
      </c>
      <c r="J41" s="49" t="s">
        <v>97</v>
      </c>
      <c r="K41" s="127">
        <v>1</v>
      </c>
      <c r="L41" s="49" t="s">
        <v>188</v>
      </c>
      <c r="M41" s="127">
        <v>25</v>
      </c>
      <c r="N41" s="126">
        <v>42005</v>
      </c>
      <c r="O41" s="126"/>
      <c r="P41" s="49"/>
      <c r="Q41" t="s">
        <v>97</v>
      </c>
      <c r="R41">
        <v>1</v>
      </c>
    </row>
    <row r="42" spans="1:18" x14ac:dyDescent="0.35">
      <c r="A42" s="50" t="str">
        <f>TableOMURPLAN2[[#This Row],[Study Package Code]]</f>
        <v>SUST5019</v>
      </c>
      <c r="B42" s="56">
        <f>TableOMURPLAN2[[#This Row],[Ver]]</f>
        <v>2</v>
      </c>
      <c r="C42" s="56" t="str">
        <f>LEFT(TableOMURPLAN2[[#This Row],[Structure Line]],6)</f>
        <v>SCP548</v>
      </c>
      <c r="D42" s="49" t="str">
        <f>MID(TableOMURPLAN2[[#This Row],[Structure Line]],8,LEN(TableOMURPLAN2[[#This Row],[Structure Line]]))</f>
        <v>People and Planet</v>
      </c>
      <c r="E42" s="51">
        <f>TableOMURPLAN2[[#This Row],[Credit Points]]</f>
        <v>25</v>
      </c>
      <c r="F42" s="49">
        <v>1</v>
      </c>
      <c r="G42" s="49" t="s">
        <v>81</v>
      </c>
      <c r="H42" s="49">
        <v>0</v>
      </c>
      <c r="I42" s="49" t="s">
        <v>165</v>
      </c>
      <c r="J42" s="49" t="s">
        <v>98</v>
      </c>
      <c r="K42" s="127">
        <v>2</v>
      </c>
      <c r="L42" s="49" t="s">
        <v>189</v>
      </c>
      <c r="M42" s="127">
        <v>25</v>
      </c>
      <c r="N42" s="126">
        <v>44013</v>
      </c>
      <c r="O42" s="126"/>
      <c r="P42" s="49"/>
      <c r="Q42" t="s">
        <v>98</v>
      </c>
      <c r="R42">
        <v>2</v>
      </c>
    </row>
    <row r="43" spans="1:18" x14ac:dyDescent="0.35">
      <c r="A43" s="50" t="str">
        <f>TableOMURPLAN2[[#This Row],[Study Package Code]]</f>
        <v>SUST5021</v>
      </c>
      <c r="B43" s="56">
        <f>TableOMURPLAN2[[#This Row],[Ver]]</f>
        <v>1</v>
      </c>
      <c r="C43" s="56" t="str">
        <f>LEFT(TableOMURPLAN2[[#This Row],[Structure Line]],6)</f>
        <v>SCP549</v>
      </c>
      <c r="D43" s="49" t="str">
        <f>MID(TableOMURPLAN2[[#This Row],[Structure Line]],8,LEN(TableOMURPLAN2[[#This Row],[Structure Line]]))</f>
        <v>Sustainability, Climate Change and Economics</v>
      </c>
      <c r="E43" s="51">
        <f>TableOMURPLAN2[[#This Row],[Credit Points]]</f>
        <v>25</v>
      </c>
      <c r="F43" s="49">
        <v>1</v>
      </c>
      <c r="G43" s="49" t="s">
        <v>81</v>
      </c>
      <c r="H43" s="49">
        <v>0</v>
      </c>
      <c r="I43" s="49" t="s">
        <v>165</v>
      </c>
      <c r="J43" s="49" t="s">
        <v>99</v>
      </c>
      <c r="K43" s="127">
        <v>1</v>
      </c>
      <c r="L43" s="49" t="s">
        <v>190</v>
      </c>
      <c r="M43" s="127">
        <v>25</v>
      </c>
      <c r="N43" s="126">
        <v>42736</v>
      </c>
      <c r="O43" s="126"/>
      <c r="P43" s="49"/>
      <c r="Q43" t="s">
        <v>99</v>
      </c>
      <c r="R43">
        <v>1</v>
      </c>
    </row>
    <row r="44" spans="1:18" ht="16" thickBot="1" x14ac:dyDescent="0.4">
      <c r="A44" s="52" t="str">
        <f>TableOMURPLAN2[[#This Row],[Study Package Code]]</f>
        <v>SUST5025</v>
      </c>
      <c r="B44" s="53">
        <f>TableOMURPLAN2[[#This Row],[Ver]]</f>
        <v>1</v>
      </c>
      <c r="C44" s="53" t="str">
        <f>LEFT(TableOMURPLAN2[[#This Row],[Structure Line]],6)</f>
        <v>SCP530</v>
      </c>
      <c r="D44" s="54" t="str">
        <f>MID(TableOMURPLAN2[[#This Row],[Structure Line]],8,LEN(TableOMURPLAN2[[#This Row],[Structure Line]]))</f>
        <v>Sustainable Waste Management</v>
      </c>
      <c r="E44" s="55">
        <f>TableOMURPLAN2[[#This Row],[Credit Points]]</f>
        <v>25</v>
      </c>
      <c r="F44" s="49">
        <v>1</v>
      </c>
      <c r="G44" s="49" t="s">
        <v>81</v>
      </c>
      <c r="H44" s="49">
        <v>0</v>
      </c>
      <c r="I44" s="49" t="s">
        <v>165</v>
      </c>
      <c r="J44" s="49" t="s">
        <v>100</v>
      </c>
      <c r="K44" s="127">
        <v>1</v>
      </c>
      <c r="L44" s="49" t="s">
        <v>191</v>
      </c>
      <c r="M44" s="127">
        <v>25</v>
      </c>
      <c r="N44" s="126">
        <v>44197</v>
      </c>
      <c r="O44" s="126"/>
      <c r="P44" s="49"/>
      <c r="Q44" t="s">
        <v>100</v>
      </c>
      <c r="R44">
        <v>1</v>
      </c>
    </row>
  </sheetData>
  <conditionalFormatting sqref="J10:J13">
    <cfRule type="duplicateValues" dxfId="81" priority="12"/>
  </conditionalFormatting>
  <conditionalFormatting sqref="Q2:R14 Q21:R44">
    <cfRule type="expression" dxfId="80" priority="8">
      <formula>Q2&lt;&gt;J2</formula>
    </cfRule>
  </conditionalFormatting>
  <conditionalFormatting sqref="O3:O6">
    <cfRule type="notContainsBlanks" dxfId="79" priority="5">
      <formula>LEN(TRIM(O3))&gt;0</formula>
    </cfRule>
  </conditionalFormatting>
  <conditionalFormatting sqref="O10:O13">
    <cfRule type="notContainsBlanks" dxfId="78" priority="4">
      <formula>LEN(TRIM(O10))&gt;0</formula>
    </cfRule>
  </conditionalFormatting>
  <conditionalFormatting sqref="O24:O44">
    <cfRule type="notContainsBlanks" dxfId="77" priority="3">
      <formula>LEN(TRIM(O24))&gt;0</formula>
    </cfRule>
  </conditionalFormatting>
  <conditionalFormatting sqref="O17:O20">
    <cfRule type="notContainsBlanks" dxfId="76" priority="1">
      <formula>LEN(TRIM(O17))&gt;0</formula>
    </cfRule>
  </conditionalFormatting>
  <conditionalFormatting sqref="Q16:R20">
    <cfRule type="expression" dxfId="75" priority="2">
      <formula>Q16&lt;&gt;J16</formula>
    </cfRule>
  </conditionalFormatting>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0"/>
  <sheetViews>
    <sheetView workbookViewId="0">
      <selection activeCell="D5" sqref="D5"/>
    </sheetView>
  </sheetViews>
  <sheetFormatPr defaultRowHeight="15.5" x14ac:dyDescent="0.35"/>
  <cols>
    <col min="1" max="1" width="39.58203125" bestFit="1" customWidth="1"/>
    <col min="2" max="5" width="5.33203125" style="115" bestFit="1" customWidth="1"/>
    <col min="6" max="6" width="11.5" bestFit="1" customWidth="1"/>
    <col min="7" max="7" width="10.33203125" bestFit="1" customWidth="1"/>
  </cols>
  <sheetData>
    <row r="1" spans="1:7" x14ac:dyDescent="0.35">
      <c r="A1" t="s">
        <v>192</v>
      </c>
      <c r="F1" s="131" t="s">
        <v>207</v>
      </c>
      <c r="G1" s="132">
        <v>45309</v>
      </c>
    </row>
    <row r="3" spans="1:7" ht="75.5" x14ac:dyDescent="0.35">
      <c r="A3" t="s">
        <v>193</v>
      </c>
      <c r="B3" s="116" t="s">
        <v>194</v>
      </c>
      <c r="C3" s="116" t="s">
        <v>195</v>
      </c>
      <c r="D3" s="116" t="s">
        <v>196</v>
      </c>
      <c r="E3" s="116" t="s">
        <v>197</v>
      </c>
    </row>
    <row r="4" spans="1:7" x14ac:dyDescent="0.35">
      <c r="A4" t="s">
        <v>52</v>
      </c>
      <c r="B4" s="115">
        <v>1</v>
      </c>
      <c r="D4" s="115">
        <v>1</v>
      </c>
    </row>
    <row r="5" spans="1:7" x14ac:dyDescent="0.35">
      <c r="A5" t="s">
        <v>216</v>
      </c>
      <c r="C5" s="115">
        <v>1</v>
      </c>
      <c r="E5" s="115">
        <v>1</v>
      </c>
    </row>
    <row r="6" spans="1:7" x14ac:dyDescent="0.35">
      <c r="A6" t="s">
        <v>217</v>
      </c>
      <c r="C6" s="115">
        <v>1</v>
      </c>
      <c r="E6" s="115">
        <v>1</v>
      </c>
    </row>
    <row r="7" spans="1:7" x14ac:dyDescent="0.35">
      <c r="A7" t="s">
        <v>219</v>
      </c>
      <c r="B7" s="115">
        <v>1</v>
      </c>
      <c r="D7" s="115">
        <v>1</v>
      </c>
    </row>
    <row r="8" spans="1:7" x14ac:dyDescent="0.35">
      <c r="A8" t="s">
        <v>91</v>
      </c>
      <c r="B8" s="115">
        <v>1</v>
      </c>
      <c r="D8" s="115">
        <v>1</v>
      </c>
    </row>
    <row r="9" spans="1:7" x14ac:dyDescent="0.35">
      <c r="A9" t="s">
        <v>92</v>
      </c>
      <c r="B9" s="115">
        <v>1</v>
      </c>
      <c r="D9" s="115">
        <v>1</v>
      </c>
    </row>
    <row r="10" spans="1:7" x14ac:dyDescent="0.35">
      <c r="A10" t="s">
        <v>93</v>
      </c>
      <c r="C10" s="115">
        <v>1</v>
      </c>
      <c r="E10" s="115">
        <v>1</v>
      </c>
    </row>
    <row r="11" spans="1:7" x14ac:dyDescent="0.35">
      <c r="A11" t="s">
        <v>94</v>
      </c>
      <c r="C11" s="115">
        <v>1</v>
      </c>
      <c r="E11" s="115">
        <v>1</v>
      </c>
    </row>
    <row r="12" spans="1:7" x14ac:dyDescent="0.35">
      <c r="A12" s="73" t="s">
        <v>95</v>
      </c>
      <c r="B12" s="244"/>
      <c r="C12" s="244"/>
      <c r="D12" s="244"/>
      <c r="E12" s="244"/>
    </row>
    <row r="13" spans="1:7" x14ac:dyDescent="0.35">
      <c r="A13" t="s">
        <v>96</v>
      </c>
      <c r="C13" s="115">
        <v>1</v>
      </c>
      <c r="E13" s="115">
        <v>1</v>
      </c>
    </row>
    <row r="14" spans="1:7" x14ac:dyDescent="0.35">
      <c r="A14" t="s">
        <v>97</v>
      </c>
      <c r="B14" s="115">
        <v>1</v>
      </c>
      <c r="D14" s="115">
        <v>1</v>
      </c>
    </row>
    <row r="15" spans="1:7" x14ac:dyDescent="0.35">
      <c r="A15" t="s">
        <v>98</v>
      </c>
      <c r="C15" s="115">
        <v>1</v>
      </c>
      <c r="E15" s="115">
        <v>1</v>
      </c>
    </row>
    <row r="16" spans="1:7" x14ac:dyDescent="0.35">
      <c r="A16" t="s">
        <v>99</v>
      </c>
      <c r="E16" s="115">
        <v>1</v>
      </c>
    </row>
    <row r="17" spans="1:5" x14ac:dyDescent="0.35">
      <c r="A17" t="s">
        <v>100</v>
      </c>
      <c r="B17" s="115">
        <v>1</v>
      </c>
      <c r="D17" s="115">
        <v>1</v>
      </c>
    </row>
    <row r="18" spans="1:5" x14ac:dyDescent="0.35">
      <c r="A18" t="s">
        <v>51</v>
      </c>
      <c r="D18" s="115">
        <v>1</v>
      </c>
    </row>
    <row r="19" spans="1:5" x14ac:dyDescent="0.35">
      <c r="A19" t="s">
        <v>46</v>
      </c>
      <c r="C19" s="115">
        <v>1</v>
      </c>
      <c r="E19" s="115">
        <v>1</v>
      </c>
    </row>
    <row r="20" spans="1:5" x14ac:dyDescent="0.35">
      <c r="A20" t="s">
        <v>55</v>
      </c>
      <c r="C20" s="115">
        <v>1</v>
      </c>
      <c r="E20" s="115">
        <v>1</v>
      </c>
    </row>
    <row r="21" spans="1:5" x14ac:dyDescent="0.35">
      <c r="A21" t="s">
        <v>49</v>
      </c>
      <c r="B21" s="115">
        <v>1</v>
      </c>
      <c r="D21" s="115">
        <v>1</v>
      </c>
    </row>
    <row r="22" spans="1:5" x14ac:dyDescent="0.35">
      <c r="A22" t="s">
        <v>50</v>
      </c>
      <c r="C22" s="115">
        <v>1</v>
      </c>
      <c r="E22" s="115">
        <v>1</v>
      </c>
    </row>
    <row r="23" spans="1:5" x14ac:dyDescent="0.35">
      <c r="A23" t="s">
        <v>66</v>
      </c>
      <c r="B23" s="115">
        <v>1</v>
      </c>
      <c r="D23" s="115">
        <v>1</v>
      </c>
    </row>
    <row r="24" spans="1:5" x14ac:dyDescent="0.35">
      <c r="A24" t="s">
        <v>44</v>
      </c>
      <c r="B24" s="115">
        <v>1</v>
      </c>
      <c r="D24" s="115">
        <v>1</v>
      </c>
    </row>
    <row r="25" spans="1:5" x14ac:dyDescent="0.35">
      <c r="A25" t="s">
        <v>53</v>
      </c>
      <c r="C25" s="115">
        <v>1</v>
      </c>
      <c r="E25" s="115">
        <v>1</v>
      </c>
    </row>
    <row r="26" spans="1:5" x14ac:dyDescent="0.35">
      <c r="A26" t="s">
        <v>68</v>
      </c>
      <c r="C26" s="115">
        <v>1</v>
      </c>
    </row>
    <row r="27" spans="1:5" x14ac:dyDescent="0.35">
      <c r="A27" t="s">
        <v>67</v>
      </c>
      <c r="E27" s="115">
        <v>1</v>
      </c>
    </row>
    <row r="28" spans="1:5" x14ac:dyDescent="0.35">
      <c r="A28" t="s">
        <v>69</v>
      </c>
      <c r="C28" s="115">
        <v>1</v>
      </c>
      <c r="E28" s="115">
        <v>1</v>
      </c>
    </row>
    <row r="29" spans="1:5" x14ac:dyDescent="0.35">
      <c r="A29" t="s">
        <v>76</v>
      </c>
      <c r="B29" s="115">
        <v>1</v>
      </c>
      <c r="D29" s="115">
        <v>1</v>
      </c>
    </row>
    <row r="30" spans="1:5" x14ac:dyDescent="0.35">
      <c r="A30" t="s">
        <v>54</v>
      </c>
      <c r="B30" s="115">
        <v>1</v>
      </c>
      <c r="D30" s="115">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purl.org/dc/terms/"/>
    <ds:schemaRef ds:uri="http://schemas.microsoft.com/office/2006/documentManagement/types"/>
    <ds:schemaRef ds:uri="ba69df13-0c3c-4942-8695-6ca01564010c"/>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2380bd5d-8f09-40a9-a9cb-2482ec2cd2ca"/>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32A41C2D-D394-420A-8B86-62FB70B55D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Masters URP (OUA)</vt:lpstr>
      <vt:lpstr>GC DevPlan (OUA)</vt:lpstr>
      <vt:lpstr>GC Geog (OUA)</vt:lpstr>
      <vt:lpstr>Unitsets</vt:lpstr>
      <vt:lpstr>Handbook</vt:lpstr>
      <vt:lpstr>Structures</vt:lpstr>
      <vt:lpstr>Availabilities</vt:lpstr>
      <vt:lpstr>'GC DevPlan (OUA)'!Print_Area</vt:lpstr>
      <vt:lpstr>'GC Geog (OUA)'!Print_Area</vt:lpstr>
      <vt:lpstr>'Masters URP (OUA)'!Print_Area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Bronte Wicker</cp:lastModifiedBy>
  <cp:revision/>
  <cp:lastPrinted>2024-02-09T07:35:43Z</cp:lastPrinted>
  <dcterms:created xsi:type="dcterms:W3CDTF">2022-02-28T04:48:12Z</dcterms:created>
  <dcterms:modified xsi:type="dcterms:W3CDTF">2024-02-21T05:19:01Z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