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HvB1eA3i1XDYUjNJJbOpe8w3MsBDGG92aYjxxPIhoxhg8NBSkkIEnWibMzsxfqWdmHloz76iBynsEshP0t5vzA==" workbookSaltValue="50/wGImJao89RJagjZ1Nsw==" workbookSpinCount="100000" lockStructure="1"/>
  <bookViews>
    <workbookView xWindow="-28920" yWindow="-1245" windowWidth="29040" windowHeight="15840" tabRatio="778" firstSheet="10" activeTab="1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HE" sheetId="18" state="hidden" r:id="rId6"/>
    <sheet name="Unitsets" sheetId="2" state="hidden" r:id="rId7"/>
    <sheet name="Planner OM-Teach Sec" sheetId="10" state="hidden" r:id="rId8"/>
    <sheet name="Planner OG-EDUC (Prim)" sheetId="15" state="hidden" r:id="rId9"/>
    <sheet name="Planner OG-EDUC (Prim Accel)" sheetId="19" state="hidden" r:id="rId10"/>
    <sheet name="Planner OG-EDUC (Sec)" sheetId="16" r:id="rId11"/>
    <sheet name="Planner OG-EDUC (Sec Accel)" sheetId="20" r:id="rId12"/>
    <sheet name="Unitsets OM-Teach Sec" sheetId="11" state="hidden" r:id="rId13"/>
    <sheet name="Handbook" sheetId="3" state="hidden" r:id="rId14"/>
    <sheet name="Structures" sheetId="8" state="hidden" r:id="rId15"/>
    <sheet name="Availabilities" sheetId="9" state="hidden" r:id="rId16"/>
  </sheets>
  <definedNames>
    <definedName name="_xlnm._FilterDatabase" localSheetId="13"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9">'Planner OG-EDUC (Prim Accel)'!$A$3:$L$23</definedName>
    <definedName name="_xlnm.Print_Area" localSheetId="8">'Planner OG-EDUC (Prim)'!$A$3:$L$24</definedName>
    <definedName name="_xlnm.Print_Area" localSheetId="11">'Planner OG-EDUC (Sec Accel)'!$A$3:$L$30</definedName>
    <definedName name="_xlnm.Print_Area" localSheetId="10">'Planner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Unitsets!$J$4:$Y$23</definedName>
    <definedName name="RangeUnitsetsOCEDHE">Unitsets!$J$60:$Q$64</definedName>
    <definedName name="RangeUnitsetsOGEDUC">'Unitsets OM-Teach Sec'!$I$31:$X$39</definedName>
    <definedName name="RangeUnitsetsOGEDUCAcc">'Unitsets OM-Teach Sec'!$I$42:$X$50</definedName>
    <definedName name="RangeUnitsetsOMEDUC">Unitsets!$J$26:$AO$43</definedName>
    <definedName name="RangeUnitsetsSec">'Unitsets OM-Teach Sec'!$I$3:$P$19</definedName>
    <definedName name="RangeUnitsetsTESOL">Unitsets!$J$46:$Y$57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0" l="1"/>
  <c r="A19" i="20"/>
  <c r="E19" i="20" s="1"/>
  <c r="A17" i="20"/>
  <c r="A16" i="20"/>
  <c r="E16" i="20" s="1"/>
  <c r="E17" i="20" s="1"/>
  <c r="A15" i="20"/>
  <c r="E15" i="20" s="1"/>
  <c r="A13" i="20"/>
  <c r="A12" i="20"/>
  <c r="A11" i="20"/>
  <c r="G8" i="20"/>
  <c r="L7" i="20"/>
  <c r="A26" i="20" s="1"/>
  <c r="L6" i="20"/>
  <c r="G6" i="20"/>
  <c r="G5" i="20"/>
  <c r="G7" i="19"/>
  <c r="L6" i="19"/>
  <c r="A14" i="19" s="1"/>
  <c r="E14" i="19" s="1"/>
  <c r="G6" i="19"/>
  <c r="G5" i="19"/>
  <c r="I12" i="20" l="1"/>
  <c r="H12" i="20"/>
  <c r="G12" i="20"/>
  <c r="F12" i="20"/>
  <c r="D12" i="20"/>
  <c r="K12" i="20"/>
  <c r="C12" i="20"/>
  <c r="J12" i="20"/>
  <c r="B12" i="20"/>
  <c r="K26" i="20"/>
  <c r="B26" i="20"/>
  <c r="J26" i="20"/>
  <c r="I26" i="20"/>
  <c r="H26" i="20"/>
  <c r="F26" i="20"/>
  <c r="G26" i="20"/>
  <c r="D26" i="20"/>
  <c r="C26" i="20"/>
  <c r="A25" i="20"/>
  <c r="A16" i="19"/>
  <c r="A19" i="19"/>
  <c r="A10" i="19"/>
  <c r="A11" i="19"/>
  <c r="B11" i="19" s="1"/>
  <c r="A12" i="19"/>
  <c r="A15" i="19"/>
  <c r="E15" i="19" s="1"/>
  <c r="A18" i="19"/>
  <c r="E18" i="19" s="1"/>
  <c r="Q64" i="2"/>
  <c r="Q63" i="2"/>
  <c r="Q62" i="2"/>
  <c r="Q61" i="2"/>
  <c r="O64" i="2"/>
  <c r="O63" i="2"/>
  <c r="O62" i="2"/>
  <c r="O61" i="2"/>
  <c r="C11" i="19" l="1"/>
  <c r="F13" i="20"/>
  <c r="D13" i="20"/>
  <c r="K13" i="20"/>
  <c r="C13" i="20"/>
  <c r="I13" i="20"/>
  <c r="J13" i="20"/>
  <c r="B13" i="20"/>
  <c r="H13" i="20"/>
  <c r="G13" i="20"/>
  <c r="D11" i="20"/>
  <c r="K11" i="20"/>
  <c r="C11" i="20"/>
  <c r="J11" i="20"/>
  <c r="B11" i="20"/>
  <c r="I11" i="20"/>
  <c r="G11" i="20"/>
  <c r="H11" i="20"/>
  <c r="F11" i="20"/>
  <c r="E11" i="20"/>
  <c r="E12" i="20" s="1"/>
  <c r="E13" i="20" s="1"/>
  <c r="D17" i="20"/>
  <c r="K17" i="20"/>
  <c r="C17" i="20"/>
  <c r="J17" i="20"/>
  <c r="B17" i="20"/>
  <c r="H17" i="20"/>
  <c r="I17" i="20"/>
  <c r="G17" i="20"/>
  <c r="F17" i="20"/>
  <c r="G20" i="20"/>
  <c r="F20" i="20"/>
  <c r="D20" i="20"/>
  <c r="J20" i="20"/>
  <c r="B20" i="20"/>
  <c r="K20" i="20"/>
  <c r="C20" i="20"/>
  <c r="I20" i="20"/>
  <c r="H20" i="20"/>
  <c r="H16" i="20"/>
  <c r="G16" i="20"/>
  <c r="F16" i="20"/>
  <c r="K16" i="20"/>
  <c r="C16" i="20"/>
  <c r="D16" i="20"/>
  <c r="J16" i="20"/>
  <c r="B16" i="20"/>
  <c r="I16" i="20"/>
  <c r="J19" i="20"/>
  <c r="B19" i="20"/>
  <c r="I19" i="20"/>
  <c r="H19" i="20"/>
  <c r="G19" i="20"/>
  <c r="E20" i="20"/>
  <c r="F19" i="20"/>
  <c r="D19" i="20"/>
  <c r="K19" i="20"/>
  <c r="C19" i="20"/>
  <c r="K15" i="20"/>
  <c r="C15" i="20"/>
  <c r="J15" i="20"/>
  <c r="B15" i="20"/>
  <c r="I15" i="20"/>
  <c r="H15" i="20"/>
  <c r="F15" i="20"/>
  <c r="G15" i="20"/>
  <c r="D15" i="20"/>
  <c r="E16" i="19"/>
  <c r="D25" i="20"/>
  <c r="C25" i="20"/>
  <c r="K25" i="20"/>
  <c r="B25" i="20"/>
  <c r="J25" i="20"/>
  <c r="H25" i="20"/>
  <c r="I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G6" i="18"/>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3" i="3" l="1"/>
  <c r="Y82" i="3"/>
  <c r="Y91" i="3"/>
  <c r="Y92"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3" i="3" l="1"/>
  <c r="X82"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3" i="3" l="1"/>
  <c r="W82" i="3"/>
  <c r="W91" i="3"/>
  <c r="W92" i="3"/>
  <c r="W87"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J23" i="3"/>
  <c r="J24" i="3"/>
  <c r="J25" i="3"/>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J51" i="3"/>
  <c r="J52" i="3"/>
  <c r="K18" i="16" s="1"/>
  <c r="J53" i="3"/>
  <c r="K19" i="19" s="1"/>
  <c r="J54" i="3"/>
  <c r="J55" i="3"/>
  <c r="J56" i="3"/>
  <c r="J57" i="3"/>
  <c r="J58" i="3"/>
  <c r="J59" i="3"/>
  <c r="J60" i="3"/>
  <c r="J61" i="3"/>
  <c r="J62" i="3"/>
  <c r="J63" i="3"/>
  <c r="J64" i="3"/>
  <c r="J65" i="3"/>
  <c r="J66" i="3"/>
  <c r="J67" i="3"/>
  <c r="J68" i="3"/>
  <c r="J69" i="3"/>
  <c r="J70" i="3"/>
  <c r="J71" i="3"/>
  <c r="J72" i="3"/>
  <c r="J73" i="3"/>
  <c r="J74" i="3"/>
  <c r="J75" i="3"/>
  <c r="K18" i="19" s="1"/>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I23" i="3"/>
  <c r="I24" i="3"/>
  <c r="I25" i="3"/>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I51" i="3"/>
  <c r="I52" i="3"/>
  <c r="J18" i="16" s="1"/>
  <c r="I53" i="3"/>
  <c r="J19" i="19" s="1"/>
  <c r="I54" i="3"/>
  <c r="I55" i="3"/>
  <c r="I56" i="3"/>
  <c r="I57" i="3"/>
  <c r="I58" i="3"/>
  <c r="I59" i="3"/>
  <c r="I60" i="3"/>
  <c r="I61" i="3"/>
  <c r="I62" i="3"/>
  <c r="I63" i="3"/>
  <c r="I64" i="3"/>
  <c r="I65" i="3"/>
  <c r="I66" i="3"/>
  <c r="I67" i="3"/>
  <c r="I68" i="3"/>
  <c r="I69" i="3"/>
  <c r="I70" i="3"/>
  <c r="I71" i="3"/>
  <c r="I72" i="3"/>
  <c r="I73" i="3"/>
  <c r="I74" i="3"/>
  <c r="I75" i="3"/>
  <c r="J18" i="19" s="1"/>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H23" i="3"/>
  <c r="H24" i="3"/>
  <c r="H25" i="3"/>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H51" i="3"/>
  <c r="H52" i="3"/>
  <c r="I18" i="16" s="1"/>
  <c r="H53" i="3"/>
  <c r="I19" i="19" s="1"/>
  <c r="H54" i="3"/>
  <c r="H55" i="3"/>
  <c r="H56" i="3"/>
  <c r="H57" i="3"/>
  <c r="H58" i="3"/>
  <c r="H59" i="3"/>
  <c r="H60" i="3"/>
  <c r="H61" i="3"/>
  <c r="H62" i="3"/>
  <c r="H63" i="3"/>
  <c r="H64" i="3"/>
  <c r="H65" i="3"/>
  <c r="H66" i="3"/>
  <c r="H67" i="3"/>
  <c r="H68" i="3"/>
  <c r="H69" i="3"/>
  <c r="H70" i="3"/>
  <c r="H71" i="3"/>
  <c r="H72" i="3"/>
  <c r="H73" i="3"/>
  <c r="H74" i="3"/>
  <c r="H75" i="3"/>
  <c r="I18" i="19" s="1"/>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G23" i="3"/>
  <c r="G24" i="3"/>
  <c r="G25" i="3"/>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G51" i="3"/>
  <c r="G52" i="3"/>
  <c r="H18" i="16" s="1"/>
  <c r="G53" i="3"/>
  <c r="H19" i="19" s="1"/>
  <c r="G54" i="3"/>
  <c r="G55" i="3"/>
  <c r="G56" i="3"/>
  <c r="G57" i="3"/>
  <c r="G58" i="3"/>
  <c r="G59" i="3"/>
  <c r="G60" i="3"/>
  <c r="G61" i="3"/>
  <c r="G62" i="3"/>
  <c r="G63" i="3"/>
  <c r="G64" i="3"/>
  <c r="G65" i="3"/>
  <c r="G66" i="3"/>
  <c r="G67" i="3"/>
  <c r="G68" i="3"/>
  <c r="G69" i="3"/>
  <c r="G70" i="3"/>
  <c r="G71" i="3"/>
  <c r="G72" i="3"/>
  <c r="G73" i="3"/>
  <c r="G74" i="3"/>
  <c r="G75" i="3"/>
  <c r="H18" i="19" s="1"/>
  <c r="G76" i="3"/>
  <c r="G77" i="3"/>
  <c r="G78" i="3"/>
  <c r="G79" i="3"/>
  <c r="G80" i="3"/>
  <c r="G81" i="3"/>
  <c r="G84" i="3"/>
  <c r="G85" i="3"/>
  <c r="G86" i="3"/>
  <c r="G97" i="3"/>
  <c r="G88" i="3"/>
  <c r="G89" i="3"/>
  <c r="G90" i="3"/>
  <c r="G93" i="3"/>
  <c r="G94" i="3"/>
  <c r="G95" i="3"/>
  <c r="G96" i="3"/>
  <c r="G98" i="3"/>
  <c r="G99" i="3"/>
  <c r="G100" i="3"/>
  <c r="H13" i="15" l="1"/>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G6" i="14"/>
  <c r="L5" i="14"/>
  <c r="G5" i="14"/>
  <c r="Q50" i="2" l="1"/>
  <c r="Q49" i="2"/>
  <c r="Q48" i="2"/>
  <c r="Q47" i="2"/>
  <c r="O50" i="2"/>
  <c r="A13" i="14" s="1"/>
  <c r="O49" i="2"/>
  <c r="A12" i="14" s="1"/>
  <c r="O48" i="2"/>
  <c r="A10" i="14" s="1"/>
  <c r="O47" i="2"/>
  <c r="A9" i="14" s="1"/>
  <c r="M57" i="2"/>
  <c r="O57" i="2" s="1"/>
  <c r="Q57" i="2" s="1"/>
  <c r="M56" i="2"/>
  <c r="O56" i="2" s="1"/>
  <c r="Q56" i="2" s="1"/>
  <c r="M55" i="2"/>
  <c r="O55" i="2" s="1"/>
  <c r="Q55"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3" i="3" l="1"/>
  <c r="T82" i="3"/>
  <c r="T91" i="3"/>
  <c r="T92" i="3"/>
  <c r="T87"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3" i="3" l="1"/>
  <c r="S82" i="3"/>
  <c r="S91" i="3"/>
  <c r="S92" i="3"/>
  <c r="S87"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91" i="3"/>
  <c r="V92" i="3"/>
  <c r="V87"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B83" i="3" l="1"/>
  <c r="AB82" i="3"/>
  <c r="AB91" i="3"/>
  <c r="AB92" i="3"/>
  <c r="AB87" i="3"/>
  <c r="AC83" i="3"/>
  <c r="AC82" i="3"/>
  <c r="AC91" i="3"/>
  <c r="AC92" i="3"/>
  <c r="AC87"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3" i="3" l="1"/>
  <c r="AA82"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91" i="3"/>
  <c r="Z92" i="3"/>
  <c r="Z87"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3" i="3" l="1"/>
  <c r="Q82" i="3"/>
  <c r="Q91" i="3"/>
  <c r="Q92" i="3"/>
  <c r="Q87"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3" i="3" l="1"/>
  <c r="P82"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3" i="3" l="1"/>
  <c r="R82" i="3"/>
  <c r="R91" i="3"/>
  <c r="R92" i="3"/>
  <c r="R87"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3" i="2" l="1"/>
  <c r="AQ22" i="2"/>
  <c r="AQ21" i="2"/>
  <c r="AQ20" i="2"/>
  <c r="AQ19" i="2"/>
  <c r="AQ18" i="2"/>
  <c r="AQ17" i="2"/>
  <c r="AQ16"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2" i="2"/>
  <c r="AW23" i="2"/>
  <c r="AT22" i="2"/>
  <c r="AV23" i="2"/>
  <c r="AV22" i="2"/>
  <c r="AX23" i="2"/>
  <c r="AY23" i="2"/>
  <c r="AR23" i="2"/>
  <c r="AZ23" i="2"/>
  <c r="AS23" i="2"/>
  <c r="AR22" i="2"/>
  <c r="AT23" i="2"/>
  <c r="AS22" i="2"/>
  <c r="AU23" i="2"/>
  <c r="AW22" i="2" l="1"/>
  <c r="AY22" i="2"/>
  <c r="AZ22" i="2"/>
  <c r="AX22"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20" i="2"/>
  <c r="AX20" i="2"/>
  <c r="AZ20" i="2"/>
  <c r="AY20" i="2"/>
  <c r="AV5" i="2"/>
  <c r="AY5" i="2"/>
  <c r="AX5" i="2"/>
  <c r="AZ5" i="2"/>
  <c r="AV6" i="2"/>
  <c r="AY6" i="2"/>
  <c r="AX6" i="2"/>
  <c r="AZ6" i="2"/>
  <c r="AV14" i="2"/>
  <c r="AY14" i="2"/>
  <c r="AX14" i="2"/>
  <c r="AZ14" i="2"/>
  <c r="AV16" i="2"/>
  <c r="AZ16" i="2"/>
  <c r="AY16" i="2"/>
  <c r="AX16" i="2"/>
  <c r="AV12" i="2"/>
  <c r="AY12" i="2"/>
  <c r="AX12" i="2"/>
  <c r="AZ12" i="2"/>
  <c r="AV8" i="2"/>
  <c r="AY8" i="2"/>
  <c r="AX8" i="2"/>
  <c r="AZ8" i="2"/>
  <c r="AV17" i="2"/>
  <c r="AY17" i="2"/>
  <c r="AX17" i="2"/>
  <c r="AZ17" i="2"/>
  <c r="AV21" i="2"/>
  <c r="AY21" i="2"/>
  <c r="AX21" i="2"/>
  <c r="AZ21" i="2"/>
  <c r="AV9" i="2"/>
  <c r="AX9" i="2"/>
  <c r="AZ9" i="2"/>
  <c r="AY9" i="2"/>
  <c r="AV18" i="2"/>
  <c r="AX18" i="2"/>
  <c r="AZ18" i="2"/>
  <c r="AY18" i="2"/>
  <c r="AV11" i="2"/>
  <c r="AZ11" i="2"/>
  <c r="AY11" i="2"/>
  <c r="AX11" i="2"/>
  <c r="AV7" i="2"/>
  <c r="AZ7" i="2"/>
  <c r="AY7" i="2"/>
  <c r="AX7" i="2"/>
  <c r="AV10" i="2"/>
  <c r="AY10" i="2"/>
  <c r="AX10" i="2"/>
  <c r="AZ10" i="2"/>
  <c r="AV19" i="2"/>
  <c r="AY19" i="2"/>
  <c r="AX19" i="2"/>
  <c r="AZ19"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3" i="3" l="1"/>
  <c r="O82" i="3"/>
  <c r="O91" i="3"/>
  <c r="O92" i="3"/>
  <c r="O87"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3" i="3"/>
  <c r="L82" i="3"/>
  <c r="L91" i="3"/>
  <c r="L92" i="3"/>
  <c r="L87" i="3"/>
  <c r="M83" i="3"/>
  <c r="M82" i="3"/>
  <c r="M91" i="3"/>
  <c r="M92" i="3"/>
  <c r="M87" i="3"/>
  <c r="N83" i="3"/>
  <c r="N82"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1" i="2" l="1"/>
  <c r="AU21" i="2"/>
  <c r="AT21" i="2"/>
  <c r="AS21" i="2"/>
  <c r="AR21" i="2"/>
  <c r="AU20" i="2"/>
  <c r="AT20" i="2"/>
  <c r="AS20" i="2"/>
  <c r="AR20" i="2"/>
  <c r="AU19" i="2"/>
  <c r="AT19" i="2"/>
  <c r="AS19" i="2"/>
  <c r="AR19" i="2"/>
  <c r="AU18" i="2"/>
  <c r="AT18" i="2"/>
  <c r="AS18" i="2"/>
  <c r="AR18" i="2"/>
  <c r="AU17" i="2"/>
  <c r="AT17" i="2"/>
  <c r="AS17" i="2"/>
  <c r="AR17" i="2"/>
  <c r="AR5" i="2" l="1"/>
  <c r="AS5" i="2"/>
  <c r="AR16" i="2"/>
  <c r="AR14" i="2"/>
  <c r="AR13" i="2"/>
  <c r="AR12" i="2"/>
  <c r="AR11" i="2"/>
  <c r="AR10" i="2"/>
  <c r="AR9" i="2"/>
  <c r="AR8" i="2"/>
  <c r="AR7" i="2"/>
  <c r="AR6" i="2"/>
  <c r="AW16" i="2"/>
  <c r="AU16" i="2"/>
  <c r="AT16" i="2"/>
  <c r="AS16"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20" i="2"/>
  <c r="AW7" i="2"/>
  <c r="AW18"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9" i="2"/>
  <c r="AW17" i="2"/>
  <c r="AW12" i="2"/>
  <c r="AW8" i="2"/>
</calcChain>
</file>

<file path=xl/sharedStrings.xml><?xml version="1.0" encoding="utf-8"?>
<sst xmlns="http://schemas.openxmlformats.org/spreadsheetml/2006/main" count="3608" uniqueCount="607">
  <si>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</si>
  <si>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</si>
  <si>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</si>
  <si>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</si>
  <si>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</si>
  <si>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</si>
  <si>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</si>
  <si>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</si>
  <si>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</si>
  <si>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</si>
  <si>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</si>
  <si>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</si>
  <si>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</si>
  <si>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</si>
  <si>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</si>
  <si>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</si>
  <si>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</si>
  <si>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</si>
  <si>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</si>
  <si>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</si>
  <si>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</si>
  <si>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</si>
  <si>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</si>
  <si>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</si>
  <si>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</si>
  <si>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</si>
  <si>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</si>
  <si>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</si>
  <si>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</si>
  <si>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</si>
  <si>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</si>
  <si>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</si>
  <si>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</si>
  <si>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</si>
  <si>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</si>
  <si>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</si>
  <si>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</si>
  <si>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</si>
  <si>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</si>
  <si>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</si>
  <si>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</si>
  <si>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</si>
  <si>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</si>
  <si>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</si>
  <si>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</si>
  <si>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</si>
  <si>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</si>
  <si>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</si>
  <si>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</si>
  <si>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</si>
  <si>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</si>
  <si>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</si>
  <si>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</si>
  <si>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</si>
  <si>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</si>
  <si>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</si>
  <si>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</si>
  <si>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</si>
  <si>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</si>
  <si>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</si>
  <si>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</si>
  <si>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</si>
  <si>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</si>
  <si>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</si>
  <si>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</si>
  <si>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</si>
  <si>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</si>
  <si>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</si>
  <si>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</si>
  <si>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</si>
  <si>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</si>
  <si>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</si>
  <si>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</si>
  <si>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</si>
  <si>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</si>
  <si>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</si>
  <si>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</si>
  <si>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</si>
  <si>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</si>
  <si>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</si>
  <si>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</si>
  <si>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</si>
  <si>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</si>
  <si>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</si>
  <si>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</si>
  <si>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</si>
  <si>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</si>
  <si>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</si>
  <si>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</si>
  <si>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</si>
  <si>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</si>
  <si>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</si>
  <si>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</si>
  <si>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</si>
  <si>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</si>
  <si>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</si>
  <si>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</si>
  <si>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</si>
  <si>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</si>
  <si>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</si>
  <si>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</si>
  <si>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</si>
  <si>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</si>
  <si>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</si>
  <si>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</si>
  <si>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</si>
  <si>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</si>
  <si>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</si>
  <si>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</si>
  <si>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</si>
  <si>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</si>
  <si>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</si>
  <si>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</si>
  <si>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</si>
  <si>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</si>
  <si>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</si>
  <si>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</si>
  <si>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</si>
  <si>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</si>
  <si>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</si>
  <si>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</si>
  <si>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</si>
  <si>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</si>
  <si>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</si>
  <si>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</si>
  <si>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</si>
  <si>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</si>
  <si>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</si>
  <si>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</si>
  <si>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</si>
  <si>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</si>
  <si>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</si>
  <si>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</si>
  <si>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</si>
  <si>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</si>
  <si>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</si>
  <si>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</si>
  <si>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</si>
  <si>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</si>
  <si>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</si>
  <si>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</si>
  <si>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</si>
  <si>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</si>
  <si>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</si>
  <si>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</si>
  <si>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</si>
  <si>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</si>
  <si>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</si>
  <si>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</si>
  <si>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</si>
  <si>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</si>
  <si>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</si>
  <si>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</si>
  <si>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</si>
  <si>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</si>
  <si>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</si>
  <si>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</si>
  <si>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</si>
  <si>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</si>
  <si>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</si>
  <si>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</si>
  <si>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</si>
  <si>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</si>
  <si>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</si>
  <si>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</si>
  <si>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</si>
  <si>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</si>
  <si>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</si>
  <si>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</si>
  <si>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</si>
  <si>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</si>
  <si>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</si>
  <si>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</si>
  <si>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</si>
  <si>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</si>
  <si>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</si>
  <si>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</si>
  <si>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</si>
  <si>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</si>
  <si>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</si>
  <si>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</si>
  <si>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</si>
  <si>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</si>
  <si>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</si>
  <si>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</si>
  <si>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</si>
  <si>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</si>
  <si>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</si>
  <si>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</si>
  <si>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</si>
  <si>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</si>
  <si>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</si>
  <si>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</si>
  <si>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</si>
  <si>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</si>
  <si>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</si>
  <si>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</si>
  <si>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</si>
  <si>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</si>
  <si>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</si>
  <si>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</si>
  <si>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</si>
  <si>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</si>
  <si>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</si>
  <si>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</si>
  <si>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</si>
  <si>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</si>
  <si>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</si>
  <si>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</si>
  <si>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</si>
  <si>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</si>
  <si>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</si>
  <si>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</si>
  <si>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</si>
  <si>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</si>
  <si>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</si>
  <si>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</si>
  <si>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</si>
  <si>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</si>
  <si>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</si>
  <si>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</si>
  <si>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</si>
  <si>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</si>
  <si>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</si>
  <si>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</si>
  <si>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</si>
  <si>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</si>
  <si>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</si>
  <si>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</si>
  <si>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</si>
  <si>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</si>
  <si>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</si>
  <si>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</si>
  <si>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</si>
  <si>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</si>
  <si>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</si>
  <si>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</si>
  <si>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</si>
  <si>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</si>
  <si>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</si>
  <si>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</si>
  <si>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</si>
  <si>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</si>
  <si>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</si>
  <si>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</si>
  <si>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</si>
  <si>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</si>
  <si>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</si>
  <si>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</si>
  <si>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</si>
  <si>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</si>
  <si>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</si>
  <si>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</si>
  <si>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</si>
  <si>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</si>
  <si>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</si>
  <si>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</si>
  <si>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</si>
  <si>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</si>
  <si>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</si>
  <si>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</si>
  <si>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</si>
  <si>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</si>
  <si>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</si>
  <si>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</si>
  <si>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</si>
  <si>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</si>
  <si>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</si>
  <si>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</si>
  <si>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</si>
  <si>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</si>
  <si>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</si>
  <si>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</si>
  <si>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</si>
  <si>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</si>
  <si>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</si>
  <si>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</si>
  <si>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</si>
  <si>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</si>
  <si>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</si>
  <si>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</si>
  <si>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</si>
  <si>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</si>
  <si>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</si>
  <si>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</si>
  <si>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</si>
  <si>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</si>
  <si>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</si>
  <si>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</si>
  <si>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</si>
  <si>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</si>
  <si>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</si>
  <si>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</si>
  <si>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</si>
  <si>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</si>
  <si>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</si>
  <si>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</si>
  <si>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</si>
  <si>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</si>
  <si>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</si>
  <si>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</si>
  <si>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</si>
  <si>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</si>
  <si>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</si>
  <si>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</si>
  <si>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</si>
  <si>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</si>
  <si>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</si>
  <si>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</si>
  <si>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</si>
  <si>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</si>
  <si>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</si>
  <si>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</si>
  <si>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</si>
  <si>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</si>
  <si>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</si>
  <si>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</si>
  <si>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</si>
  <si>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</si>
  <si>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</si>
  <si>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</si>
  <si>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</si>
  <si>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</si>
  <si>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</si>
  <si>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</si>
  <si>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</si>
  <si>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</si>
  <si>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</si>
  <si>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</si>
  <si>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</si>
  <si>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</si>
  <si>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</si>
  <si>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</si>
  <si>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</si>
  <si>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</si>
  <si>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</si>
  <si>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</si>
  <si>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</si>
  <si>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</si>
  <si>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</si>
  <si>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</si>
  <si>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</si>
  <si>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</si>
  <si>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</si>
  <si>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</si>
  <si>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</si>
  <si>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</si>
  <si>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</si>
  <si>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</si>
  <si>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</si>
  <si>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</si>
  <si>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</si>
  <si>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</si>
  <si>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</si>
  <si>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</si>
  <si>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</si>
  <si>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</si>
  <si>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</si>
  <si>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</si>
  <si>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</si>
  <si>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</si>
  <si>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</si>
  <si>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</si>
  <si>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</si>
  <si>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</si>
  <si>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</si>
  <si>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</si>
  <si>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</si>
  <si>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</si>
  <si>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</si>
  <si>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</si>
  <si>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</si>
  <si>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</si>
  <si>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</si>
  <si>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</si>
  <si>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</si>
  <si>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</si>
  <si>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</si>
  <si>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</si>
  <si>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</si>
  <si>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</si>
  <si>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</si>
  <si>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</si>
  <si>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</si>
  <si>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</si>
  <si>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</si>
  <si>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</si>
  <si>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</si>
  <si>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</si>
  <si>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</si>
  <si>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</si>
  <si>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</si>
  <si>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</si>
  <si>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</si>
  <si>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</si>
  <si>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</si>
  <si>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</si>
  <si>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</si>
  <si>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</si>
  <si>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</si>
  <si>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</si>
  <si>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</si>
  <si>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</si>
  <si>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</si>
  <si>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</si>
  <si>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</si>
  <si>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</si>
  <si>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</si>
  <si>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</si>
  <si>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</si>
  <si>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</si>
  <si>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</si>
  <si>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</si>
  <si>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</si>
  <si>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</si>
  <si>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</si>
  <si>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</si>
  <si>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</si>
  <si>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</si>
  <si>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</si>
  <si>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</si>
  <si>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</si>
  <si>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</si>
  <si>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</si>
  <si>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</si>
  <si>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</si>
  <si>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</si>
  <si>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</si>
  <si>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</si>
  <si>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</si>
  <si>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</si>
  <si>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</si>
  <si>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</si>
  <si>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</si>
  <si>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</si>
  <si>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</si>
  <si>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</si>
  <si>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</si>
  <si>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</si>
  <si>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</si>
  <si>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</si>
  <si>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</si>
  <si>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</si>
  <si>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</si>
  <si>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</si>
  <si>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</si>
  <si>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</si>
  <si>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</si>
  <si>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</si>
  <si>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</si>
  <si>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</si>
  <si>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</si>
  <si>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</si>
  <si>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</si>
  <si>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</si>
  <si>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</si>
  <si>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</si>
  <si>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</si>
  <si>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</si>
  <si>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</si>
  <si>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</si>
  <si>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</si>
  <si>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</si>
  <si>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</si>
  <si>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</si>
  <si>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</si>
  <si>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</si>
  <si>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</si>
  <si>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</si>
  <si>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</si>
  <si>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</si>
  <si>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</si>
  <si>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</si>
  <si>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</si>
  <si>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</si>
  <si>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</si>
  <si>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</si>
  <si>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</si>
  <si>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</si>
  <si>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</si>
  <si>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</si>
  <si>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</si>
  <si>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</si>
  <si>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</si>
  <si>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</si>
  <si>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</si>
  <si>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</si>
  <si>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</si>
  <si>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</si>
  <si>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</si>
  <si>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</si>
  <si>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</si>
  <si>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</si>
  <si>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</si>
  <si>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</si>
  <si>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</si>
  <si>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</si>
  <si>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</si>
  <si>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</si>
  <si>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</si>
  <si>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</si>
  <si>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</si>
  <si>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</si>
  <si>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</si>
  <si>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</si>
  <si>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</si>
  <si>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</si>
  <si>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</si>
  <si>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</si>
  <si>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</si>
  <si>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</si>
  <si>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</si>
  <si>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</si>
  <si>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</si>
  <si>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</si>
  <si>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</si>
  <si>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</si>
  <si>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</si>
  <si>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</si>
  <si>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</si>
  <si>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</si>
  <si>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</si>
  <si>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</si>
  <si>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</si>
  <si>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</si>
  <si>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</si>
  <si>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</si>
  <si>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</si>
  <si>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</si>
  <si>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</si>
  <si>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</si>
  <si>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</si>
  <si>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</si>
  <si>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</si>
  <si>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</si>
  <si>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</si>
  <si>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</si>
  <si>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</si>
  <si>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</si>
  <si>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</si>
  <si>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</si>
  <si>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</si>
  <si>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</si>
  <si>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</si>
  <si>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</si>
  <si>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</si>
  <si>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</si>
  <si>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</si>
  <si>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</si>
  <si>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</si>
  <si>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</si>
  <si>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</si>
  <si>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</si>
  <si>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</si>
  <si>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</si>
  <si>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</si>
  <si>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</si>
  <si>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</si>
  <si>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</si>
  <si>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</si>
  <si>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</si>
  <si>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</si>
  <si>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</si>
  <si>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</si>
  <si>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</si>
  <si>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</si>
  <si>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</si>
  <si>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</si>
  <si>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</si>
  <si>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</si>
  <si>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</si>
  <si>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</si>
  <si>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</si>
  <si>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</si>
  <si>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</si>
  <si>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</si>
  <si>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</si>
  <si>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</si>
  <si>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</si>
  <si>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</si>
  <si>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</si>
  <si>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</si>
  <si>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</si>
  <si>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</si>
  <si>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</si>
  <si>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</si>
  <si>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</si>
  <si>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</si>
  <si>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</si>
  <si>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</si>
  <si>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</si>
  <si>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</si>
  <si>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</si>
  <si>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</si>
  <si>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</si>
  <si>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</si>
  <si>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</si>
  <si>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</si>
  <si>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</si>
  <si>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</si>
  <si>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</si>
  <si>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</si>
  <si>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</si>
  <si>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</si>
  <si>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</si>
  <si>
    <t>RangeUnitsetsOGEDUCAcc</t>
  </si>
  <si>
    <t>Graduate Diploma in Education (OpenUnis) (Accelerated)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</si>
</sst>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1"/>
      <name val="Arial"/>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31">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21" xfId="1" applyFont="1" applyFill="1" applyBorder="1" applyAlignment="1" applyProtection="1">
      <alignment horizontal="center" vertical="center" wrapText="1"/>
      <protection locked="0"/>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6" fillId="0" borderId="0" xfId="0" applyFont="1" applyBorder="1"/>
    <xf numFmtId="0" fontId="6" fillId="0" borderId="0" xfId="0" applyFont="1" applyBorder="1" applyAlignment="1">
      <alignment horizontal="center"/>
    </xf>
    <xf numFmtId="0" fontId="0" fillId="0" borderId="0" xfId="0" applyBorder="1"/>
    <xf numFmtId="0" fontId="6" fillId="0" borderId="0" xfId="0" applyFont="1" applyBorder="1" applyAlignment="1">
      <alignment horizontal="center" vertical="center"/>
    </xf>
    <xf numFmtId="0" fontId="0" fillId="0" borderId="0" xfId="0" applyBorder="1" applyAlignment="1">
      <alignment horizontal="center"/>
    </xf>
    <xf numFmtId="0" fontId="61" fillId="0" borderId="0" xfId="0" applyNumberFormat="1" applyFont="1" applyAlignment="1" applyProtection="1">
      <alignment horizontal="left"/>
      <protection locked="0"/>
    </xf>
    <xf numFmtId="0" fontId="22" fillId="0" borderId="21" xfId="1" applyFont="1" applyFill="1" applyBorder="1" applyAlignment="1" applyProtection="1">
      <alignment horizontal="center" vertical="center" wrapText="1"/>
      <protection locked="0"/>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9" fillId="10" borderId="0" xfId="1" applyFont="1" applyFill="1" applyAlignment="1" applyProtection="1">
      <alignment vertical="center" wrapText="1"/>
    </xf>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20" fillId="2" borderId="0" xfId="1" applyFont="1" applyFill="1" applyAlignment="1" applyProtection="1">
      <alignment vertical="center"/>
    </xf>
    <xf numFmtId="0" fontId="53" fillId="2" borderId="0" xfId="1" applyFont="1" applyFill="1" applyAlignment="1" applyProtection="1">
      <alignment vertical="center"/>
    </xf>
    <xf numFmtId="14" fontId="22" fillId="2" borderId="0" xfId="1" applyNumberFormat="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9"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3" xfId="1" applyFont="1" applyFill="1" applyBorder="1" applyAlignment="1" applyProtection="1">
      <alignment horizontal="center" vertical="center" wrapText="1"/>
    </xf>
    <xf numFmtId="0" fontId="22" fillId="0" borderId="19" xfId="1" applyFont="1" applyFill="1" applyBorder="1" applyAlignment="1" applyProtection="1">
      <alignment horizontal="center" vertical="center" wrapText="1"/>
    </xf>
    <xf numFmtId="0" fontId="22" fillId="0" borderId="20" xfId="1" applyFont="1" applyFill="1" applyBorder="1" applyAlignment="1" applyProtection="1">
      <alignment horizontal="center" vertical="center" wrapText="1"/>
    </xf>
    <xf numFmtId="0" fontId="22" fillId="0" borderId="20" xfId="1" applyFont="1" applyFill="1" applyBorder="1" applyAlignment="1" applyProtection="1">
      <alignment vertical="center" wrapText="1"/>
    </xf>
    <xf numFmtId="0" fontId="25" fillId="0" borderId="20" xfId="1" applyFont="1" applyFill="1" applyBorder="1" applyAlignment="1" applyProtection="1">
      <alignment horizontal="center" vertical="center" wrapText="1"/>
    </xf>
    <xf numFmtId="0" fontId="22" fillId="0" borderId="24" xfId="1" applyFont="1" applyFill="1" applyBorder="1" applyAlignment="1" applyProtection="1">
      <alignment horizontal="center" vertical="center" wrapText="1"/>
    </xf>
    <xf numFmtId="0" fontId="22" fillId="0" borderId="2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7" fillId="15" borderId="23" xfId="1" applyFont="1" applyFill="1" applyBorder="1" applyAlignment="1" applyProtection="1">
      <alignment horizontal="center" vertical="center" wrapText="1"/>
    </xf>
    <xf numFmtId="0" fontId="47" fillId="15" borderId="0" xfId="1" applyFont="1" applyFill="1" applyAlignment="1" applyProtection="1">
      <alignment horizontal="center" vertical="center" wrapText="1"/>
    </xf>
    <xf numFmtId="0" fontId="47" fillId="15" borderId="18" xfId="1" applyFont="1" applyFill="1" applyBorder="1" applyAlignment="1" applyProtection="1">
      <alignment horizontal="center" vertical="center" wrapText="1"/>
    </xf>
    <xf numFmtId="0" fontId="26" fillId="12" borderId="0" xfId="1" applyFont="1" applyFill="1" applyAlignment="1" applyProtection="1">
      <alignment horizontal="center" vertical="center" wrapText="1"/>
    </xf>
    <xf numFmtId="0" fontId="22" fillId="12" borderId="19" xfId="1" applyFont="1" applyFill="1" applyBorder="1" applyAlignment="1" applyProtection="1">
      <alignment horizontal="center" vertical="center" wrapText="1"/>
    </xf>
    <xf numFmtId="0" fontId="22" fillId="12" borderId="20" xfId="1" applyFont="1" applyFill="1" applyBorder="1" applyAlignment="1" applyProtection="1">
      <alignment horizontal="center" vertical="center" wrapText="1"/>
    </xf>
    <xf numFmtId="0" fontId="22" fillId="12" borderId="20" xfId="1" applyFont="1" applyFill="1" applyBorder="1" applyAlignment="1" applyProtection="1">
      <alignment vertical="center" wrapText="1"/>
    </xf>
    <xf numFmtId="0" fontId="25" fillId="12" borderId="20" xfId="1" applyFont="1" applyFill="1" applyBorder="1" applyAlignment="1" applyProtection="1">
      <alignment horizontal="center" vertical="center" wrapText="1"/>
    </xf>
    <xf numFmtId="0" fontId="22" fillId="12" borderId="24" xfId="1" applyFont="1" applyFill="1" applyBorder="1" applyAlignment="1" applyProtection="1">
      <alignment horizontal="center" vertical="center" wrapText="1"/>
    </xf>
    <xf numFmtId="0" fontId="22" fillId="12" borderId="25" xfId="1" applyFont="1" applyFill="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12" borderId="20" xfId="1" applyFont="1" applyFill="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4" fillId="10" borderId="0" xfId="1" applyFont="1" applyFill="1" applyAlignment="1" applyProtection="1">
      <alignment horizontal="left" vertical="center" readingOrder="1"/>
    </xf>
    <xf numFmtId="0" fontId="36" fillId="10" borderId="0" xfId="1" applyFont="1" applyFill="1" applyAlignment="1" applyProtection="1">
      <alignment horizontal="left" vertical="center" readingOrder="1"/>
    </xf>
    <xf numFmtId="0" fontId="21" fillId="10" borderId="0" xfId="1" applyFont="1" applyFill="1" applyAlignment="1" applyProtection="1">
      <alignment horizontal="left" vertical="center" readingOrder="1"/>
    </xf>
    <xf numFmtId="0" fontId="41" fillId="10" borderId="0" xfId="1" applyFont="1" applyFill="1" applyAlignment="1" applyProtection="1">
      <alignment horizontal="center" vertical="center" readingOrder="1"/>
    </xf>
    <xf numFmtId="0" fontId="23" fillId="10" borderId="23" xfId="1" applyFont="1" applyFill="1" applyBorder="1" applyAlignment="1" applyProtection="1">
      <alignment vertical="center" readingOrder="1"/>
    </xf>
    <xf numFmtId="0" fontId="23" fillId="10" borderId="0" xfId="1" applyFont="1" applyFill="1" applyAlignment="1" applyProtection="1">
      <alignment vertical="center" readingOrder="1"/>
    </xf>
    <xf numFmtId="0" fontId="41" fillId="10" borderId="0" xfId="1" applyFont="1" applyFill="1" applyAlignment="1" applyProtection="1">
      <alignment vertical="center" readingOrder="1"/>
    </xf>
    <xf numFmtId="0" fontId="41" fillId="10" borderId="18" xfId="1" applyFont="1" applyFill="1" applyBorder="1" applyAlignment="1" applyProtection="1">
      <alignment vertical="center" readingOrder="1"/>
    </xf>
    <xf numFmtId="0" fontId="38" fillId="10" borderId="0" xfId="1" applyFont="1" applyFill="1" applyProtection="1"/>
    <xf numFmtId="0" fontId="1" fillId="0" borderId="0" xfId="1" applyAlignment="1" applyProtection="1">
      <alignment horizontal="center" vertical="top"/>
    </xf>
    <xf numFmtId="0" fontId="26" fillId="0" borderId="0" xfId="1" applyFont="1" applyAlignment="1" applyProtection="1">
      <alignment horizontal="left" vertical="top" wrapText="1"/>
    </xf>
    <xf numFmtId="0" fontId="35" fillId="12" borderId="19" xfId="1" applyFont="1" applyFill="1" applyBorder="1" applyAlignment="1" applyProtection="1">
      <alignment horizontal="center" vertical="center"/>
    </xf>
    <xf numFmtId="0" fontId="35" fillId="12" borderId="20" xfId="1" applyFont="1" applyFill="1" applyBorder="1" applyAlignment="1" applyProtection="1">
      <alignment horizontal="left" vertical="center"/>
    </xf>
    <xf numFmtId="0" fontId="35" fillId="12" borderId="20" xfId="1" applyFont="1" applyFill="1" applyBorder="1" applyAlignment="1" applyProtection="1">
      <alignment horizontal="center" vertical="center"/>
    </xf>
    <xf numFmtId="0" fontId="35" fillId="12" borderId="20" xfId="1" applyFont="1" applyFill="1" applyBorder="1" applyAlignment="1" applyProtection="1">
      <alignment vertical="center"/>
    </xf>
    <xf numFmtId="0" fontId="35" fillId="12" borderId="20" xfId="1" applyFont="1" applyFill="1" applyBorder="1" applyAlignment="1" applyProtection="1">
      <alignment vertical="center" wrapText="1"/>
    </xf>
    <xf numFmtId="0" fontId="35" fillId="12" borderId="20" xfId="1" applyFont="1" applyFill="1" applyBorder="1" applyAlignment="1" applyProtection="1">
      <alignment horizontal="center" vertical="center" wrapText="1"/>
    </xf>
    <xf numFmtId="0" fontId="26" fillId="12" borderId="0" xfId="1" applyFont="1" applyFill="1" applyAlignment="1" applyProtection="1">
      <alignment horizontal="left" vertical="top" wrapText="1"/>
    </xf>
    <xf numFmtId="0" fontId="35" fillId="0" borderId="19" xfId="1" applyFont="1" applyBorder="1" applyAlignment="1" applyProtection="1">
      <alignment horizontal="center" vertical="center"/>
    </xf>
    <xf numFmtId="0" fontId="35" fillId="0" borderId="20" xfId="1" applyFont="1" applyBorder="1" applyAlignment="1" applyProtection="1">
      <alignment horizontal="left"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5" xfId="1" applyFont="1" applyFill="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1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25" xfId="1" applyFont="1" applyBorder="1" applyAlignment="1" applyProtection="1">
      <alignment horizontal="center" vertical="center" wrapText="1"/>
    </xf>
    <xf numFmtId="0" fontId="30" fillId="2" borderId="0" xfId="1" applyFont="1" applyFill="1" applyAlignment="1" applyProtection="1">
      <alignment vertical="center"/>
    </xf>
  </cellXfs>
  <cellStyles count="3">
    <cellStyle name="Hyperlink" xfId="2" builtinId="8"/>
    <cellStyle name="Normal" xfId="0" builtinId="0"/>
    <cellStyle name="Normal 2" xfId="1"/>
  </cellStyles>
  <dxfs count="349">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180976</xdr:colOff>
      <xdr:row>2</xdr:row>
      <xdr:rowOff>247650</xdr:rowOff>
    </xdr:from>
    <xdr:to>
      <xdr:col>21</xdr:col>
      <xdr:colOff>329566</xdr:colOff>
      <xdr:row>30</xdr:row>
      <xdr:rowOff>9525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391776" y="247650"/>
          <a:ext cx="5634990" cy="6600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Enrolment Guidelines</a:t>
          </a:r>
          <a:endParaRPr lang="en-AU">
            <a:effectLst/>
          </a:endParaRPr>
        </a:p>
        <a:p>
          <a:pPr algn="ctr"/>
          <a:r>
            <a:rPr lang="en-AU" sz="1100" b="1">
              <a:solidFill>
                <a:schemeClr val="dk1"/>
              </a:solidFill>
              <a:effectLst/>
              <a:latin typeface="+mn-lt"/>
              <a:ea typeface="+mn-ea"/>
              <a:cs typeface="+mn-cs"/>
            </a:rPr>
            <a:t>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161926</xdr:colOff>
      <xdr:row>24</xdr:row>
      <xdr:rowOff>177166</xdr:rowOff>
    </xdr:from>
    <xdr:to>
      <xdr:col>21</xdr:col>
      <xdr:colOff>276227</xdr:colOff>
      <xdr:row>25</xdr:row>
      <xdr:rowOff>171846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15926" y="5596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521971</xdr:colOff>
      <xdr:row>28</xdr:row>
      <xdr:rowOff>95251</xdr:rowOff>
    </xdr:from>
    <xdr:to>
      <xdr:col>21</xdr:col>
      <xdr:colOff>255271</xdr:colOff>
      <xdr:row>29</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75971" y="64865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219076</xdr:colOff>
      <xdr:row>2</xdr:row>
      <xdr:rowOff>295277</xdr:rowOff>
    </xdr:from>
    <xdr:to>
      <xdr:col>21</xdr:col>
      <xdr:colOff>367666</xdr:colOff>
      <xdr:row>24</xdr:row>
      <xdr:rowOff>257176</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295277"/>
          <a:ext cx="5634990" cy="55721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AU" sz="1100" b="1">
              <a:solidFill>
                <a:schemeClr val="dk1"/>
              </a:solidFill>
              <a:effectLst/>
              <a:latin typeface="+mn-lt"/>
              <a:ea typeface="+mn-ea"/>
              <a:cs typeface="+mn-cs"/>
            </a:rPr>
            <a:t>Enrolment Guidelines</a:t>
          </a:r>
          <a:endParaRPr lang="en-AU">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Graduate Diploma in Education (Secondary Education) (Accelerated Study Plan)</a:t>
          </a:r>
          <a:endParaRPr lang="en-AU">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180976</xdr:colOff>
      <xdr:row>20</xdr:row>
      <xdr:rowOff>53341</xdr:rowOff>
    </xdr:from>
    <xdr:to>
      <xdr:col>21</xdr:col>
      <xdr:colOff>295277</xdr:colOff>
      <xdr:row>21</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349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23</xdr:row>
      <xdr:rowOff>133351</xdr:rowOff>
    </xdr:from>
    <xdr:to>
      <xdr:col>21</xdr:col>
      <xdr:colOff>245746</xdr:colOff>
      <xdr:row>24</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66446" y="54768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28</xdr:row>
      <xdr:rowOff>28575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363201" y="238126"/>
          <a:ext cx="5634990" cy="5772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18</xdr:row>
      <xdr:rowOff>234316</xdr:rowOff>
    </xdr:from>
    <xdr:to>
      <xdr:col>21</xdr:col>
      <xdr:colOff>228602</xdr:colOff>
      <xdr:row>19</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068301" y="4072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22</xdr:row>
      <xdr:rowOff>95251</xdr:rowOff>
    </xdr:from>
    <xdr:to>
      <xdr:col>21</xdr:col>
      <xdr:colOff>245746</xdr:colOff>
      <xdr:row>23</xdr:row>
      <xdr:rowOff>173751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466446" y="49053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219076</xdr:colOff>
      <xdr:row>3</xdr:row>
      <xdr:rowOff>28576</xdr:rowOff>
    </xdr:from>
    <xdr:to>
      <xdr:col>21</xdr:col>
      <xdr:colOff>367666</xdr:colOff>
      <xdr:row>24</xdr:row>
      <xdr:rowOff>114300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429876" y="533401"/>
          <a:ext cx="5634990" cy="49148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 (Accelerated Study Plan)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180976</xdr:colOff>
      <xdr:row>15</xdr:row>
      <xdr:rowOff>148591</xdr:rowOff>
    </xdr:from>
    <xdr:to>
      <xdr:col>21</xdr:col>
      <xdr:colOff>295277</xdr:colOff>
      <xdr:row>17</xdr:row>
      <xdr:rowOff>67071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134976" y="35680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550546</xdr:colOff>
      <xdr:row>19</xdr:row>
      <xdr:rowOff>85726</xdr:rowOff>
    </xdr:from>
    <xdr:to>
      <xdr:col>21</xdr:col>
      <xdr:colOff>283846</xdr:colOff>
      <xdr:row>20</xdr:row>
      <xdr:rowOff>173751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504546" y="43815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9" totalsRowShown="0" headerRowDxfId="338" dataDxfId="337">
  <autoFilter ref="A7:G19"/>
  <sortState ref="A8:F16">
    <sortCondition ref="A7:A16"/>
  </sortState>
  <tableColumns count="7">
    <tableColumn id="3" name="Choose your Course" dataDxfId="336"/>
    <tableColumn id="1" name="UDC" dataDxfId="335"/>
    <tableColumn id="2" name="Version" dataDxfId="334"/>
    <tableColumn id="5" name="Credit Points" dataDxfId="333"/>
    <tableColumn id="4" name="Effective Date" dataDxfId="332"/>
    <tableColumn id="6" name="Akari Update" dataDxfId="331"/>
    <tableColumn id="8" name="Availabilities" dataDxfId="330"/>
  </tableColumns>
  <tableStyleInfo name="TableStyleLight8" showFirstColumn="0" showLastColumn="0" showRowStripes="1" showColumnStripes="0"/>
</table>
</file>

<file path=xl/tables/table10.xml><?xml version="1.0" encoding="utf-8"?>
<table xmlns="http://schemas.openxmlformats.org/spreadsheetml/2006/main" id="7" name="TableOMTEACH1" displayName="TableOMTEACH1" ref="A3:O7" totalsRowShown="0">
  <autoFilter ref="A3:O7"/>
  <sortState ref="AF24:AW31">
    <sortCondition ref="AS11:AS19"/>
  </sortState>
  <tableColumns count="15">
    <tableColumn id="15" name="UDC" dataDxfId="196">
      <calculatedColumnFormula>TableOMTEACH1[[#This Row],[Study Package Code]]</calculatedColumnFormula>
    </tableColumn>
    <tableColumn id="16" name="Version" dataDxfId="195">
      <calculatedColumnFormula>TableOMTEACH1[[#This Row],[Ver]]</calculatedColumnFormula>
    </tableColumn>
    <tableColumn id="17" name="OUA Code"/>
    <tableColumn id="18" name="Unit Title" dataDxfId="194">
      <calculatedColumnFormula>TableOMTEACH1[[#This Row],[Structure Line]]</calculatedColumnFormula>
    </tableColumn>
    <tableColumn id="19" name="CPs" dataDxfId="193">
      <calculatedColumnFormula>TableOMTEACH1[[#This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92"/>
    <tableColumn id="10" name="Discont." dataDxfId="191"/>
  </tableColumns>
  <tableStyleInfo name="TableStyleLight1" showFirstColumn="0" showLastColumn="0" showRowStripes="1" showColumnStripes="0"/>
</table>
</file>

<file path=xl/tables/table11.xml><?xml version="1.0" encoding="utf-8"?>
<table xmlns="http://schemas.openxmlformats.org/spreadsheetml/2006/main" id="8" name="TableOUMPTCHEC" displayName="TableOUMPTCHEC" ref="A9:O25" totalsRowShown="0">
  <autoFilter ref="A9:O25"/>
  <sortState ref="A11:M42">
    <sortCondition ref="F10:F42"/>
  </sortState>
  <tableColumns count="15">
    <tableColumn id="9" name="UDC" dataDxfId="190">
      <calculatedColumnFormula>TableOUMPTCHEC[[#This Row],[Study Package Code]]</calculatedColumnFormula>
    </tableColumn>
    <tableColumn id="10" name="Version" dataDxfId="189">
      <calculatedColumnFormula>TableOUMPTCHEC[[#This Row],[Ver]]</calculatedColumnFormula>
    </tableColumn>
    <tableColumn id="11" name="OUA Code" dataDxfId="188">
      <calculatedColumnFormula>LEFT(TableOUMPTCHEC[[#This Row],[Structure Line]],7)</calculatedColumnFormula>
    </tableColumn>
    <tableColumn id="12" name="Unit Title" dataDxfId="187">
      <calculatedColumnFormula>MID(TableOUMPTCHEC[[#This Row],[Structure Line]],8,LEN(TableOUMPTCHEC[[#This Row],[Structure Line]]))</calculatedColumnFormula>
    </tableColumn>
    <tableColumn id="13" name="CPs" dataDxfId="186">
      <calculatedColumnFormula>TableOUMPTCHEC[[#This Row],[Credit Points]]</calculatedColumnFormula>
    </tableColumn>
    <tableColumn id="1" name="No." dataDxfId="185"/>
    <tableColumn id="2" name="Component Type" dataDxfId="184"/>
    <tableColumn id="3" name="Year Level" dataDxfId="183"/>
    <tableColumn id="4" name="Study Period" dataDxfId="182"/>
    <tableColumn id="5" name="Study Package Code" dataDxfId="181"/>
    <tableColumn id="6" name="Ver" dataDxfId="180"/>
    <tableColumn id="7" name="Structure Line" dataDxfId="179"/>
    <tableColumn id="8" name="Credit Points" dataDxfId="178"/>
    <tableColumn id="14" name="Effective" dataDxfId="177"/>
    <tableColumn id="15" name="Discont." dataDxfId="176"/>
  </tableColumns>
  <tableStyleInfo name="TableStyleLight1" showFirstColumn="0" showLastColumn="0" showRowStripes="1" showColumnStripes="0"/>
</table>
</file>

<file path=xl/tables/table12.xml><?xml version="1.0" encoding="utf-8"?>
<table xmlns="http://schemas.openxmlformats.org/spreadsheetml/2006/main" id="9" name="TableOUMPTCHPE" displayName="TableOUMPTCHPE" ref="A27:O43" totalsRowShown="0">
  <autoFilter ref="A27:O43"/>
  <sortState ref="AF43:AW53">
    <sortCondition ref="AR42:AR53"/>
  </sortState>
  <tableColumns count="15">
    <tableColumn id="9" name="UDC" dataDxfId="175">
      <calculatedColumnFormula>TableOUMPTCHPE[[#This Row],[Study Package Code]]</calculatedColumnFormula>
    </tableColumn>
    <tableColumn id="10" name="Version" dataDxfId="174">
      <calculatedColumnFormula>TableOUMPTCHPE[[#This Row],[Ver]]</calculatedColumnFormula>
    </tableColumn>
    <tableColumn id="11" name="OUA Code" dataDxfId="173">
      <calculatedColumnFormula>LEFT(TableOUMPTCHPE[[#This Row],[Structure Line]],6)</calculatedColumnFormula>
    </tableColumn>
    <tableColumn id="12" name="Unit Title" dataDxfId="172">
      <calculatedColumnFormula>MID(TableOUMPTCHPE[[#This Row],[Structure Line]],8,LEN(TableOUMPTCHPE[[#This Row],[Structure Line]]))</calculatedColumnFormula>
    </tableColumn>
    <tableColumn id="13" name="CPs" dataDxfId="171">
      <calculatedColumnFormula>TableOUMPTCHPE[[#This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70"/>
    <tableColumn id="15" name="Discont." dataDxfId="169"/>
  </tableColumns>
  <tableStyleInfo name="TableStyleLight1" showFirstColumn="0" showLastColumn="0" showRowStripes="1" showColumnStripes="0"/>
</table>
</file>

<file path=xl/tables/table13.xml><?xml version="1.0" encoding="utf-8"?>
<table xmlns="http://schemas.openxmlformats.org/spreadsheetml/2006/main" id="1" name="TableOUMPTCHSE" displayName="TableOUMPTCHSE" ref="A45:O85" totalsRowShown="0">
  <autoFilter ref="A45:O85"/>
  <sortState ref="A37:R47">
    <sortCondition ref="M28:M39"/>
  </sortState>
  <tableColumns count="15">
    <tableColumn id="9" name="UDC" dataDxfId="168">
      <calculatedColumnFormula>TableOUMPTCHSE[[#This Row],[Study Package Code]]</calculatedColumnFormula>
    </tableColumn>
    <tableColumn id="10" name="Version" dataDxfId="167">
      <calculatedColumnFormula>TableOUMPTCHSE[[#This Row],[Ver]]</calculatedColumnFormula>
    </tableColumn>
    <tableColumn id="11" name="OUA Code" dataDxfId="166">
      <calculatedColumnFormula>LEFT(TableOUMPTCHSE[[#This Row],[Structure Line]],6)</calculatedColumnFormula>
    </tableColumn>
    <tableColumn id="12" name="Unit Title" dataDxfId="165">
      <calculatedColumnFormula>MID(TableOUMPTCHSE[[#This Row],[Structure Line]],8,LEN(TableOUMPTCHSE[[#This Row],[Structure Line]]))</calculatedColumnFormula>
    </tableColumn>
    <tableColumn id="13" name="CPs" dataDxfId="164">
      <calculatedColumnFormula>TableOUMPTCHSE[[#This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63"/>
    <tableColumn id="15" name="Discont." dataDxfId="162"/>
  </tableColumns>
  <tableStyleInfo name="TableStyleLight1" showFirstColumn="0" showLastColumn="0" showRowStripes="1" showColumnStripes="0"/>
</table>
</file>

<file path=xl/tables/table14.xml><?xml version="1.0" encoding="utf-8"?>
<table xmlns="http://schemas.openxmlformats.org/spreadsheetml/2006/main" id="6" name="TableOMAPLING" displayName="TableOMAPLING" ref="A88:O95" totalsRowShown="0">
  <autoFilter ref="A88:O95"/>
  <sortState ref="A89:M120">
    <sortCondition ref="F10:F42"/>
  </sortState>
  <tableColumns count="15">
    <tableColumn id="9" name="UDC" dataDxfId="161">
      <calculatedColumnFormula>TableOMAPLING[[#This Row],[Study Package Code]]</calculatedColumnFormula>
    </tableColumn>
    <tableColumn id="10" name="Version" dataDxfId="160">
      <calculatedColumnFormula>TableOMAPLING[[#This Row],[Ver]]</calculatedColumnFormula>
    </tableColumn>
    <tableColumn id="11" name="OUA Code" dataDxfId="159">
      <calculatedColumnFormula>LEFT(TableOMAPLING[[#This Row],[Structure Line]],7)</calculatedColumnFormula>
    </tableColumn>
    <tableColumn id="12" name="Unit Title" dataDxfId="158">
      <calculatedColumnFormula>MID(TableOMAPLING[[#This Row],[Structure Line]],9,LEN(TableOMAPLING[[#This Row],[Structure Line]]))</calculatedColumnFormula>
    </tableColumn>
    <tableColumn id="13" name="CPs" dataDxfId="157">
      <calculatedColumnFormula>TableOMAPLING[[#This Row],[Credit Points]]</calculatedColumnFormula>
    </tableColumn>
    <tableColumn id="1" name="No." dataDxfId="156"/>
    <tableColumn id="2" name="Component Type" dataDxfId="155"/>
    <tableColumn id="3" name="Year Level" dataDxfId="154"/>
    <tableColumn id="4" name="Study Period" dataDxfId="153"/>
    <tableColumn id="5" name="Study Package Code" dataDxfId="152"/>
    <tableColumn id="6" name="Ver" dataDxfId="151"/>
    <tableColumn id="7" name="Structure Line" dataDxfId="150"/>
    <tableColumn id="8" name="Credit Points" dataDxfId="149"/>
    <tableColumn id="14" name="Effective" dataDxfId="148"/>
    <tableColumn id="15" name="Discont." dataDxfId="147"/>
  </tableColumns>
  <tableStyleInfo name="TableStyleLight1" showFirstColumn="0" showLastColumn="0" showRowStripes="1" showColumnStripes="0"/>
</table>
</file>

<file path=xl/tables/table15.xml><?xml version="1.0" encoding="utf-8"?>
<table xmlns="http://schemas.openxmlformats.org/spreadsheetml/2006/main" id="12" name="TableOCTESOL1" displayName="TableOCTESOL1" ref="A97:O103" totalsRowShown="0">
  <autoFilter ref="A97:O103"/>
  <sortState ref="A98:M129">
    <sortCondition ref="F10:F42"/>
  </sortState>
  <tableColumns count="15">
    <tableColumn id="9" name="UDC" dataDxfId="146">
      <calculatedColumnFormula>TableOCTESOL1[[#This Row],[Study Package Code]]</calculatedColumnFormula>
    </tableColumn>
    <tableColumn id="10" name="Version" dataDxfId="145">
      <calculatedColumnFormula>TableOCTESOL1[[#This Row],[Ver]]</calculatedColumnFormula>
    </tableColumn>
    <tableColumn id="11" name="OUA Code" dataDxfId="144">
      <calculatedColumnFormula>LEFT(TableOCTESOL1[[#This Row],[Structure Line]],8)</calculatedColumnFormula>
    </tableColumn>
    <tableColumn id="12" name="Unit Title" dataDxfId="143">
      <calculatedColumnFormula>MID(TableOCTESOL1[[#This Row],[Structure Line]],10,LEN(TableOCTESOL1[[#This Row],[Structure Line]]))</calculatedColumnFormula>
    </tableColumn>
    <tableColumn id="13" name="CPs" dataDxfId="142">
      <calculatedColumnFormula>TableOCTESOL1[[#This Row],[Credit Points]]</calculatedColumnFormula>
    </tableColumn>
    <tableColumn id="1" name="No." dataDxfId="141"/>
    <tableColumn id="2" name="Component Type" dataDxfId="140"/>
    <tableColumn id="3" name="Year Level" dataDxfId="139"/>
    <tableColumn id="4" name="Study Period" dataDxfId="138"/>
    <tableColumn id="5" name="Study Package Code" dataDxfId="137"/>
    <tableColumn id="6" name="Ver" dataDxfId="136"/>
    <tableColumn id="7" name="Structure Line" dataDxfId="135"/>
    <tableColumn id="8" name="Credit Points" dataDxfId="134"/>
    <tableColumn id="14" name="Effective" dataDxfId="133"/>
    <tableColumn id="15" name="Discont." dataDxfId="132"/>
  </tableColumns>
  <tableStyleInfo name="TableStyleLight1" showFirstColumn="0" showLastColumn="0" showRowStripes="1" showColumnStripes="0"/>
</table>
</file>

<file path=xl/tables/table16.xml><?xml version="1.0" encoding="utf-8"?>
<table xmlns="http://schemas.openxmlformats.org/spreadsheetml/2006/main" id="14" name="TableOCTESOL" displayName="TableOCTESOL" ref="A105:O111" totalsRowShown="0">
  <autoFilter ref="A105:O111"/>
  <sortState ref="A106:M137">
    <sortCondition ref="F10:F42"/>
  </sortState>
  <tableColumns count="15">
    <tableColumn id="9" name="UDC" dataDxfId="131">
      <calculatedColumnFormula>TableOCTESOL[[#This Row],[Study Package Code]]</calculatedColumnFormula>
    </tableColumn>
    <tableColumn id="10" name="Version" dataDxfId="130">
      <calculatedColumnFormula>TableOCTESOL[[#This Row],[Ver]]</calculatedColumnFormula>
    </tableColumn>
    <tableColumn id="11" name="OUA Code" dataDxfId="129">
      <calculatedColumnFormula>LEFT(TableOCTESOL[[#This Row],[Structure Line]],8)</calculatedColumnFormula>
    </tableColumn>
    <tableColumn id="12" name="Unit Title" dataDxfId="128">
      <calculatedColumnFormula>TableOCTESOL[[#This Row],[Structure Line]]</calculatedColumnFormula>
    </tableColumn>
    <tableColumn id="13" name="CPs" dataDxfId="127">
      <calculatedColumnFormula>TableOCTESOL[[#This Row],[Credit Points]]</calculatedColumnFormula>
    </tableColumn>
    <tableColumn id="1" name="No." dataDxfId="126"/>
    <tableColumn id="2" name="Component Type" dataDxfId="125"/>
    <tableColumn id="3" name="Year Level" dataDxfId="124"/>
    <tableColumn id="4" name="Study Period" dataDxfId="123"/>
    <tableColumn id="5" name="Study Package Code" dataDxfId="122"/>
    <tableColumn id="6" name="Ver" dataDxfId="121"/>
    <tableColumn id="7" name="Structure Line" dataDxfId="120"/>
    <tableColumn id="8" name="Credit Points" dataDxfId="119"/>
    <tableColumn id="14" name="Effective" dataDxfId="118"/>
    <tableColumn id="15" name="Discont." dataDxfId="117"/>
  </tableColumns>
  <tableStyleInfo name="TableStyleLight1" showFirstColumn="0" showLastColumn="0" showRowStripes="1" showColumnStripes="0"/>
</table>
</file>

<file path=xl/tables/table17.xml><?xml version="1.0" encoding="utf-8"?>
<table xmlns="http://schemas.openxmlformats.org/spreadsheetml/2006/main" id="15" name="TableOMEDUC" displayName="TableOMEDUC" ref="A114:O130" totalsRowShown="0">
  <autoFilter ref="A114:O130"/>
  <sortState ref="A115:R125">
    <sortCondition ref="M42:M53"/>
  </sortState>
  <tableColumns count="15">
    <tableColumn id="9" name="UDC" dataDxfId="116">
      <calculatedColumnFormula>TableOMEDUC[[#This Row],[Study Package Code]]</calculatedColumnFormula>
    </tableColumn>
    <tableColumn id="10" name="Version" dataDxfId="115">
      <calculatedColumnFormula>TableOMEDUC[[#This Row],[Ver]]</calculatedColumnFormula>
    </tableColumn>
    <tableColumn id="11" name="OUA Code" dataDxfId="114">
      <calculatedColumnFormula>LEFT(TableOMEDUC[[#This Row],[Structure Line]],7)</calculatedColumnFormula>
    </tableColumn>
    <tableColumn id="12" name="Unit Title" dataDxfId="113">
      <calculatedColumnFormula>MID(TableOMEDUC[[#This Row],[Structure Line]],9,LEN(TableOMEDUC[[#This Row],[Structure Line]]))</calculatedColumnFormula>
    </tableColumn>
    <tableColumn id="13" name="CPs" dataDxfId="112">
      <calculatedColumnFormula>TableOMEDUC[[#This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11"/>
    <tableColumn id="15" name="Discont." dataDxfId="110"/>
  </tableColumns>
  <tableStyleInfo name="TableStyleLight1" showFirstColumn="0" showLastColumn="0" showRowStripes="1" showColumnStripes="0"/>
</table>
</file>

<file path=xl/tables/table18.xml><?xml version="1.0" encoding="utf-8"?>
<table xmlns="http://schemas.openxmlformats.org/spreadsheetml/2006/main" id="17" name="TableOSEPCULIN" displayName="TableOSEPCULIN" ref="A132:O136" totalsRowShown="0">
  <autoFilter ref="A132:O136"/>
  <sortState ref="A133:M164">
    <sortCondition ref="F10:F42"/>
  </sortState>
  <tableColumns count="15">
    <tableColumn id="9" name="UDC" dataDxfId="109">
      <calculatedColumnFormula>TableOSEPCULIN[[#This Row],[Study Package Code]]</calculatedColumnFormula>
    </tableColumn>
    <tableColumn id="10" name="Version" dataDxfId="108">
      <calculatedColumnFormula>TableOSEPCULIN[[#This Row],[Ver]]</calculatedColumnFormula>
    </tableColumn>
    <tableColumn id="11" name="OUA Code" dataDxfId="107">
      <calculatedColumnFormula>LEFT(TableOSEPCULIN[[#This Row],[Structure Line]],8)</calculatedColumnFormula>
    </tableColumn>
    <tableColumn id="12" name="Unit Title" dataDxfId="106">
      <calculatedColumnFormula>MID(TableOSEPCULIN[[#This Row],[Structure Line]],9,LEN(TableOSEPCULIN[[#This Row],[Structure Line]]))</calculatedColumnFormula>
    </tableColumn>
    <tableColumn id="13" name="CPs" dataDxfId="105">
      <calculatedColumnFormula>TableOSEPCULIN[[#This Row],[Credit Points]]</calculatedColumnFormula>
    </tableColumn>
    <tableColumn id="1" name="No." dataDxfId="104"/>
    <tableColumn id="2" name="Component Type" dataDxfId="103"/>
    <tableColumn id="3" name="Year Level" dataDxfId="102"/>
    <tableColumn id="4" name="Study Period" dataDxfId="101"/>
    <tableColumn id="5" name="Study Package Code" dataDxfId="100"/>
    <tableColumn id="6" name="Ver" dataDxfId="99"/>
    <tableColumn id="7" name="Structure Line" dataDxfId="98"/>
    <tableColumn id="8" name="Credit Points" dataDxfId="97"/>
    <tableColumn id="14" name="Effective" dataDxfId="96"/>
    <tableColumn id="15" name="Discont." dataDxfId="95"/>
  </tableColumns>
  <tableStyleInfo name="TableStyleLight1" showFirstColumn="0" showLastColumn="0" showRowStripes="1" showColumnStripes="0"/>
</table>
</file>

<file path=xl/tables/table19.xml><?xml version="1.0" encoding="utf-8"?>
<table xmlns="http://schemas.openxmlformats.org/spreadsheetml/2006/main" id="18" name="TableOSEPLNTCH" displayName="TableOSEPLNTCH" ref="A138:O142" totalsRowShown="0">
  <autoFilter ref="A138:O142"/>
  <sortState ref="A139:M170">
    <sortCondition ref="F10:F42"/>
  </sortState>
  <tableColumns count="15">
    <tableColumn id="9" name="UDC" dataDxfId="94">
      <calculatedColumnFormula>TableOSEPLNTCH[[#This Row],[Study Package Code]]</calculatedColumnFormula>
    </tableColumn>
    <tableColumn id="10" name="Version" dataDxfId="93">
      <calculatedColumnFormula>TableOSEPLNTCH[[#This Row],[Ver]]</calculatedColumnFormula>
    </tableColumn>
    <tableColumn id="11" name="OUA Code" dataDxfId="92">
      <calculatedColumnFormula>LEFT(TableOSEPLNTCH[[#This Row],[Structure Line]],8)</calculatedColumnFormula>
    </tableColumn>
    <tableColumn id="12" name="Unit Title" dataDxfId="91">
      <calculatedColumnFormula>MID(TableOSEPLNTCH[[#This Row],[Structure Line]],9,LEN(TableOSEPLNTCH[[#This Row],[Structure Line]]))</calculatedColumnFormula>
    </tableColumn>
    <tableColumn id="13" name="CPs" dataDxfId="90">
      <calculatedColumnFormula>TableOSEPLNTCH[[#This Row],[Credit Points]]</calculatedColumnFormula>
    </tableColumn>
    <tableColumn id="1" name="No." dataDxfId="89"/>
    <tableColumn id="2" name="Component Type" dataDxfId="88"/>
    <tableColumn id="3" name="Year Level" dataDxfId="87"/>
    <tableColumn id="4" name="Study Period" dataDxfId="86"/>
    <tableColumn id="5" name="Study Package Code" dataDxfId="85"/>
    <tableColumn id="6" name="Ver" dataDxfId="84"/>
    <tableColumn id="7" name="Structure Line" dataDxfId="83"/>
    <tableColumn id="8" name="Credit Points" dataDxfId="82"/>
    <tableColumn id="14" name="Effective" dataDxfId="81"/>
    <tableColumn id="15" name="Discont." dataDxfId="80"/>
  </tableColumns>
  <tableStyleInfo name="TableStyleLight1" showFirstColumn="0" showLastColumn="0" showRowStripes="1" showColumnStripes="0"/>
</table>
</file>

<file path=xl/tables/table2.xml><?xml version="1.0" encoding="utf-8"?>
<table xmlns="http://schemas.openxmlformats.org/spreadsheetml/2006/main" id="4" name="TableStudyPeriods" displayName="TableStudyPeriods" ref="A22:E26" totalsRowShown="0" headerRowDxfId="329" dataDxfId="328">
  <autoFilter ref="A22:E26"/>
  <tableColumns count="5">
    <tableColumn id="1" name="Choose your commencing study period (drop-down list)" dataDxfId="327"/>
    <tableColumn id="2" name="START" dataDxfId="326"/>
    <tableColumn id="3" name="Next" dataDxfId="325"/>
    <tableColumn id="4" name="Next2" dataDxfId="324"/>
    <tableColumn id="5" name="Next3" dataDxfId="323"/>
  </tableColumns>
  <tableStyleInfo name="TableStyleLight8" showFirstColumn="0" showLastColumn="0" showRowStripes="1" showColumnStripes="0"/>
</table>
</file>

<file path=xl/tables/table20.xml><?xml version="1.0" encoding="utf-8"?>
<table xmlns="http://schemas.openxmlformats.org/spreadsheetml/2006/main" id="19" name="TableOSEPSTEME" displayName="TableOSEPSTEME" ref="A144:O148" totalsRowShown="0">
  <autoFilter ref="A144:O148"/>
  <sortState ref="A145:M176">
    <sortCondition ref="F10:F42"/>
  </sortState>
  <tableColumns count="15">
    <tableColumn id="9" name="UDC" dataDxfId="79">
      <calculatedColumnFormula>TableOSEPSTEME[[#This Row],[Study Package Code]]</calculatedColumnFormula>
    </tableColumn>
    <tableColumn id="10" name="Version" dataDxfId="78">
      <calculatedColumnFormula>TableOSEPSTEME[[#This Row],[Ver]]</calculatedColumnFormula>
    </tableColumn>
    <tableColumn id="11" name="OUA Code" dataDxfId="77">
      <calculatedColumnFormula>LEFT(TableOSEPSTEME[[#This Row],[Structure Line]],8)</calculatedColumnFormula>
    </tableColumn>
    <tableColumn id="12" name="Unit Title" dataDxfId="76">
      <calculatedColumnFormula>MID(TableOSEPSTEME[[#This Row],[Structure Line]],9,LEN(TableOSEPSTEME[[#This Row],[Structure Line]]))</calculatedColumnFormula>
    </tableColumn>
    <tableColumn id="13" name="CPs" dataDxfId="75">
      <calculatedColumnFormula>TableOSEPSTEME[[#This Row],[Credit Points]]</calculatedColumnFormula>
    </tableColumn>
    <tableColumn id="1" name="No." dataDxfId="74"/>
    <tableColumn id="2" name="Component Type" dataDxfId="73"/>
    <tableColumn id="3" name="Year Level" dataDxfId="72"/>
    <tableColumn id="4" name="Study Period" dataDxfId="71"/>
    <tableColumn id="5" name="Study Package Code" dataDxfId="70"/>
    <tableColumn id="6" name="Ver" dataDxfId="69"/>
    <tableColumn id="7" name="Structure Line" dataDxfId="68"/>
    <tableColumn id="8" name="Credit Points" dataDxfId="67"/>
    <tableColumn id="14" name="Effective" dataDxfId="66"/>
    <tableColumn id="15" name="Discont." dataDxfId="65"/>
  </tableColumns>
  <tableStyleInfo name="TableStyleLight1" showFirstColumn="0" showLastColumn="0" showRowStripes="1" showColumnStripes="0"/>
</table>
</file>

<file path=xl/tables/table21.xml><?xml version="1.0" encoding="utf-8"?>
<table xmlns="http://schemas.openxmlformats.org/spreadsheetml/2006/main" id="20" name="TableOCEDUCS1" displayName="TableOCEDUCS1" ref="A186:O200" totalsRowShown="0">
  <autoFilter ref="A186:O200"/>
  <sortState ref="A151:R161">
    <sortCondition ref="M42:M53"/>
  </sortState>
  <tableColumns count="15">
    <tableColumn id="9" name="UDC" dataDxfId="64">
      <calculatedColumnFormula>TableOCEDUCS1[[#This Row],[Study Package Code]]</calculatedColumnFormula>
    </tableColumn>
    <tableColumn id="10" name="Version" dataDxfId="63">
      <calculatedColumnFormula>TableOCEDUCS1[[#This Row],[Ver]]</calculatedColumnFormula>
    </tableColumn>
    <tableColumn id="11" name="OUA Code" dataDxfId="62">
      <calculatedColumnFormula>LEFT(TableOCEDUCS1[[#This Row],[Structure Line]],7)</calculatedColumnFormula>
    </tableColumn>
    <tableColumn id="12" name="Unit Title" dataDxfId="61">
      <calculatedColumnFormula>MID(TableOCEDUCS1[[#This Row],[Structure Line]],9,LEN(TableOCEDUCS1[[#This Row],[Structure Line]]))</calculatedColumnFormula>
    </tableColumn>
    <tableColumn id="13" name="CPs" dataDxfId="60">
      <calculatedColumnFormula>TableOCEDUCS1[[#This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9"/>
    <tableColumn id="15" name="Discont." dataDxfId="58"/>
  </tableColumns>
  <tableStyleInfo name="TableStyleLight1" showFirstColumn="0" showLastColumn="0" showRowStripes="1" showColumnStripes="0"/>
</table>
</file>

<file path=xl/tables/table22.xml><?xml version="1.0" encoding="utf-8"?>
<table xmlns="http://schemas.openxmlformats.org/spreadsheetml/2006/main" id="21" name="TableOCEDUC" displayName="TableOCEDUC" ref="A202:O216" totalsRowShown="0">
  <autoFilter ref="A202:O216"/>
  <sortState ref="A167:R177">
    <sortCondition ref="M42:M53"/>
  </sortState>
  <tableColumns count="15">
    <tableColumn id="9" name="UDC" dataDxfId="57">
      <calculatedColumnFormula>TableOCEDUC[[#This Row],[Study Package Code]]</calculatedColumnFormula>
    </tableColumn>
    <tableColumn id="10" name="Version" dataDxfId="56">
      <calculatedColumnFormula>TableOCEDUC[[#This Row],[Ver]]</calculatedColumnFormula>
    </tableColumn>
    <tableColumn id="11" name="OUA Code" dataDxfId="55">
      <calculatedColumnFormula>LEFT(TableOCEDUC[[#This Row],[Structure Line]],7)</calculatedColumnFormula>
    </tableColumn>
    <tableColumn id="12" name="Unit Title" dataDxfId="54">
      <calculatedColumnFormula>MID(TableOCEDUC[[#This Row],[Structure Line]],9,LEN(TableOCEDUC[[#This Row],[Structure Line]]))</calculatedColumnFormula>
    </tableColumn>
    <tableColumn id="13" name="CPs" dataDxfId="53">
      <calculatedColumnFormula>TableOCEDUC[[#This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2"/>
    <tableColumn id="15" name="Discont." dataDxfId="51"/>
  </tableColumns>
  <tableStyleInfo name="TableStyleLight1" showFirstColumn="0" showLastColumn="0" showRowStripes="1" showColumnStripes="0"/>
</table>
</file>

<file path=xl/tables/table23.xml><?xml version="1.0" encoding="utf-8"?>
<table xmlns="http://schemas.openxmlformats.org/spreadsheetml/2006/main" id="22" name="TableOCEDHE1" displayName="TableOCEDHE1" ref="A219:O223" totalsRowShown="0">
  <autoFilter ref="A219:O223"/>
  <sortState ref="A184:M215">
    <sortCondition ref="F10:F42"/>
  </sortState>
  <tableColumns count="15">
    <tableColumn id="9" name="UDC" dataDxfId="50">
      <calculatedColumnFormula>TableOCEDHE1[[#This Row],[Study Package Code]]</calculatedColumnFormula>
    </tableColumn>
    <tableColumn id="10" name="Version" dataDxfId="49">
      <calculatedColumnFormula>TableOCEDHE1[[#This Row],[Ver]]</calculatedColumnFormula>
    </tableColumn>
    <tableColumn id="11" name="OUA Code" dataDxfId="48">
      <calculatedColumnFormula>LEFT(TableOCEDHE1[[#This Row],[Structure Line]],8)</calculatedColumnFormula>
    </tableColumn>
    <tableColumn id="12" name="Unit Title" dataDxfId="47">
      <calculatedColumnFormula>MID(TableOCEDHE1[[#This Row],[Structure Line]],9,LEN(TableOCEDHE1[[#This Row],[Structure Line]]))</calculatedColumnFormula>
    </tableColumn>
    <tableColumn id="13" name="CPs" dataDxfId="46">
      <calculatedColumnFormula>TableOCEDHE1[[#This Row],[Credit Points]]</calculatedColumnFormula>
    </tableColumn>
    <tableColumn id="1"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24.xml><?xml version="1.0" encoding="utf-8"?>
<table xmlns="http://schemas.openxmlformats.org/spreadsheetml/2006/main" id="23" name="TableOCEDHE" displayName="TableOCEDHE" ref="A225:O229" totalsRowShown="0">
  <autoFilter ref="A225:O229"/>
  <sortState ref="A190:M221">
    <sortCondition ref="F10:F42"/>
  </sortState>
  <tableColumns count="15">
    <tableColumn id="9" name="UDC" dataDxfId="35">
      <calculatedColumnFormula>TableOCEDHE[[#This Row],[Study Package Code]]</calculatedColumnFormula>
    </tableColumn>
    <tableColumn id="10" name="Version" dataDxfId="34">
      <calculatedColumnFormula>TableOCEDHE[[#This Row],[Ver]]</calculatedColumnFormula>
    </tableColumn>
    <tableColumn id="11" name="OUA Code" dataDxfId="33">
      <calculatedColumnFormula>LEFT(TableOCEDHE[[#This Row],[Structure Line]],8)</calculatedColumnFormula>
    </tableColumn>
    <tableColumn id="12" name="Unit Title" dataDxfId="32">
      <calculatedColumnFormula>MID(TableOCEDHE[[#This Row],[Structure Line]],9,LEN(TableOCEDHE[[#This Row],[Structure Line]]))</calculatedColumnFormula>
    </tableColumn>
    <tableColumn id="13" name="CPs" dataDxfId="31">
      <calculatedColumnFormula>TableOCEDHE[[#This Row],[Credit Points]]</calculatedColumnFormula>
    </tableColumn>
    <tableColumn id="1" name="No." dataDxfId="30"/>
    <tableColumn id="2" name="Component Type" dataDxfId="29"/>
    <tableColumn id="3" name="Year Level" dataDxfId="28"/>
    <tableColumn id="4" name="Study Period" dataDxfId="27"/>
    <tableColumn id="5" name="Study Package Code" dataDxfId="26"/>
    <tableColumn id="6" name="Ver" dataDxfId="25"/>
    <tableColumn id="7" name="Structure Line" dataDxfId="24"/>
    <tableColumn id="8" name="Credit Points" dataDxfId="23"/>
    <tableColumn id="14" name="Effective" dataDxfId="22"/>
    <tableColumn id="15" name="Discont." dataDxfId="21"/>
  </tableColumns>
  <tableStyleInfo name="TableStyleLight1" showFirstColumn="0" showLastColumn="0" showRowStripes="1" showColumnStripes="0"/>
</table>
</file>

<file path=xl/tables/table25.xml><?xml version="1.0" encoding="utf-8"?>
<table xmlns="http://schemas.openxmlformats.org/spreadsheetml/2006/main" id="24"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26.xml><?xml version="1.0" encoding="utf-8"?>
<table xmlns="http://schemas.openxmlformats.org/spreadsheetml/2006/main" id="25" name="Table5356575426" displayName="Table5356575426" ref="Q9:R25" totalsRowShown="0">
  <autoFilter ref="Q9:R25"/>
  <tableColumns count="2">
    <tableColumn id="1" name="Column1"/>
    <tableColumn id="2" name="Column2"/>
  </tableColumns>
  <tableStyleInfo name="TableStyleLight4" showFirstColumn="0" showLastColumn="0" showRowStripes="1" showColumnStripes="0"/>
</table>
</file>

<file path=xl/tables/table27.xml><?xml version="1.0" encoding="utf-8"?>
<table xmlns="http://schemas.openxmlformats.org/spreadsheetml/2006/main" id="26" name="Table5356575427" displayName="Table5356575427" ref="Q27:R43" totalsRowShown="0">
  <autoFilter ref="Q27:R43"/>
  <tableColumns count="2">
    <tableColumn id="1" name="Column1"/>
    <tableColumn id="2" name="Column2"/>
  </tableColumns>
  <tableStyleInfo name="TableStyleLight4" showFirstColumn="0" showLastColumn="0" showRowStripes="1" showColumnStripes="0"/>
</table>
</file>

<file path=xl/tables/table28.xml><?xml version="1.0" encoding="utf-8"?>
<table xmlns="http://schemas.openxmlformats.org/spreadsheetml/2006/main" id="27" name="Table5356575428" displayName="Table5356575428" ref="Q45:R85" totalsRowShown="0">
  <autoFilter ref="Q45:R85"/>
  <tableColumns count="2">
    <tableColumn id="1" name="Column1"/>
    <tableColumn id="2" name="Column2"/>
  </tableColumns>
  <tableStyleInfo name="TableStyleLight4" showFirstColumn="0" showLastColumn="0" showRowStripes="1" showColumnStripes="0"/>
</table>
</file>

<file path=xl/tables/table29.xml><?xml version="1.0" encoding="utf-8"?>
<table xmlns="http://schemas.openxmlformats.org/spreadsheetml/2006/main" id="28" name="Table5356575429" displayName="Table5356575429" ref="Q88:R95" totalsRowShown="0">
  <autoFilter ref="Q88:R95"/>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5" name="TableMajorsMTeach" displayName="TableMajorsMTeach" ref="A29:F32" totalsRowShown="0" headerRowDxfId="322" dataDxfId="321">
  <autoFilter ref="A29:F32"/>
  <tableColumns count="6">
    <tableColumn id="1" name="Choose your Major" dataDxfId="320"/>
    <tableColumn id="2" name="UDC" dataDxfId="319"/>
    <tableColumn id="3" name="Version" dataDxfId="318"/>
    <tableColumn id="4" name="Credit Points" dataDxfId="317"/>
    <tableColumn id="5" name="Effective Date" dataDxfId="316"/>
    <tableColumn id="6" name="Akari Update" dataDxfId="315"/>
  </tableColumns>
  <tableStyleInfo name="TableStyleLight8" showFirstColumn="0" showLastColumn="0" showRowStripes="1" showColumnStripes="0"/>
</table>
</file>

<file path=xl/tables/table30.xml><?xml version="1.0" encoding="utf-8"?>
<table xmlns="http://schemas.openxmlformats.org/spreadsheetml/2006/main" id="29" name="Table5356575430" displayName="Table5356575430" ref="Q97:R103" totalsRowShown="0">
  <autoFilter ref="Q97:R103"/>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30" name="Table5356575431" displayName="Table5356575431" ref="Q105:R111" totalsRowShown="0">
  <autoFilter ref="Q105:R111"/>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31" name="Table5356575432" displayName="Table5356575432" ref="Q114:R130" totalsRowShown="0">
  <autoFilter ref="Q114:R130"/>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2" name="Table5356575433" displayName="Table5356575433" ref="Q132:R136" totalsRowShown="0">
  <autoFilter ref="Q132:R13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3" name="Table5356575434" displayName="Table5356575434" ref="Q138:R142" totalsRowShown="0">
  <autoFilter ref="Q138:R142"/>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4" name="Table5356575435" displayName="Table5356575435" ref="Q144:R148" totalsRowShown="0">
  <autoFilter ref="Q144:R148"/>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6" displayName="Table5356575436" ref="Q186:R200" totalsRowShown="0">
  <autoFilter ref="Q186:R200"/>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6" name="Table5356575437" displayName="Table5356575437" ref="Q202:R216" totalsRowShown="0">
  <autoFilter ref="Q202:R216"/>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7" name="Table5356575438" displayName="Table5356575438" ref="Q219:R223" totalsRowShown="0">
  <autoFilter ref="Q219:R223"/>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8" name="Table5356575439" displayName="Table5356575439" ref="Q225:R229" totalsRowShown="0">
  <autoFilter ref="Q225:R229"/>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16" name="TableSpecialisationsOMEDUC" displayName="TableSpecialisationsOMEDUC" ref="A40:F44" totalsRowShown="0" headerRowDxfId="314" dataDxfId="313">
  <autoFilter ref="A40:F44"/>
  <tableColumns count="6">
    <tableColumn id="1" name="Choose your MEd Specialisation (drop-down list)" dataDxfId="312"/>
    <tableColumn id="2" name="UDC" dataDxfId="311"/>
    <tableColumn id="3" name="Version" dataDxfId="310"/>
    <tableColumn id="4" name="Credit Points" dataDxfId="309"/>
    <tableColumn id="5" name="Effective Date" dataDxfId="308"/>
    <tableColumn id="6" name="Akari Update" dataDxfId="307"/>
  </tableColumns>
  <tableStyleInfo name="TableStyleLight8" showFirstColumn="0" showLastColumn="0" showRowStripes="1" showColumnStripes="0"/>
</table>
</file>

<file path=xl/tables/table40.xml><?xml version="1.0" encoding="utf-8"?>
<table xmlns="http://schemas.openxmlformats.org/spreadsheetml/2006/main" id="39" name="TableOGEDUC" displayName="TableOGEDUC" ref="A150:O153" totalsRowShown="0">
  <autoFilter ref="A150:O153"/>
  <sortState ref="A151:R161">
    <sortCondition ref="M42:M53"/>
  </sortState>
  <tableColumns count="15">
    <tableColumn id="9" name="UDC" dataDxfId="20">
      <calculatedColumnFormula>TableOGEDUC[[#This Row],[Study Package Code]]</calculatedColumnFormula>
    </tableColumn>
    <tableColumn id="10" name="Version" dataDxfId="19">
      <calculatedColumnFormula>TableOGEDUC[[#This Row],[Ver]]</calculatedColumnFormula>
    </tableColumn>
    <tableColumn id="11" name="OUA Code" dataDxfId="18">
      <calculatedColumnFormula>LEFT(TableOGEDUC[[#This Row],[Structure Line]],7)</calculatedColumnFormula>
    </tableColumn>
    <tableColumn id="12" name="Unit Title" dataDxfId="17">
      <calculatedColumnFormula>MID(TableOGEDUC[[#This Row],[Structure Line]],9,LEN(TableOGEDUC[[#This Row],[Structure Line]]))</calculatedColumnFormula>
    </tableColumn>
    <tableColumn id="13" name="CPs" dataDxfId="16">
      <calculatedColumnFormula>TableOGEDUC[[#This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41.xml><?xml version="1.0" encoding="utf-8"?>
<table xmlns="http://schemas.openxmlformats.org/spreadsheetml/2006/main" id="40" name="Table535657543241" displayName="Table535657543241" ref="Q150:R153" totalsRowShown="0">
  <autoFilter ref="Q150:R153"/>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OUMPEDUPR" displayName="TableOUMPEDUPR" ref="A155:O163" totalsRowShown="0">
  <autoFilter ref="A155:O163"/>
  <sortState ref="A156:R166">
    <sortCondition ref="M42:M53"/>
  </sortState>
  <tableColumns count="15">
    <tableColumn id="9" name="UDC" dataDxfId="13">
      <calculatedColumnFormula>TableOUMPEDUPR[[#This Row],[Study Package Code]]</calculatedColumnFormula>
    </tableColumn>
    <tableColumn id="10" name="Version" dataDxfId="12">
      <calculatedColumnFormula>TableOUMPEDUPR[[#This Row],[Ver]]</calculatedColumnFormula>
    </tableColumn>
    <tableColumn id="11" name="OUA Code" dataDxfId="11">
      <calculatedColumnFormula>LEFT(TableOUMPEDUPR[[#This Row],[Structure Line]],7)</calculatedColumnFormula>
    </tableColumn>
    <tableColumn id="12" name="Unit Title" dataDxfId="10">
      <calculatedColumnFormula>MID(TableOUMPEDUPR[[#This Row],[Structure Line]],9,LEN(TableOUMPEDUPR[[#This Row],[Structure Line]]))</calculatedColumnFormula>
    </tableColumn>
    <tableColumn id="13" name="CPs" dataDxfId="9">
      <calculatedColumnFormula>TableOUMPEDUPR[[#This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
    <tableColumn id="15" name="Discont." dataDxfId="7"/>
  </tableColumns>
  <tableStyleInfo name="TableStyleLight1" showFirstColumn="0" showLastColumn="0" showRowStripes="1" showColumnStripes="0"/>
</table>
</file>

<file path=xl/tables/table43.xml><?xml version="1.0" encoding="utf-8"?>
<table xmlns="http://schemas.openxmlformats.org/spreadsheetml/2006/main" id="43" name="Table535657543644" displayName="Table535657543644" ref="Q155:R163" totalsRowShown="0">
  <autoFilter ref="Q155:R163"/>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OUMPEDUSC" displayName="TableOUMPEDUSC" ref="A165:O184" totalsRowShown="0">
  <autoFilter ref="A165:O184"/>
  <sortState ref="A166:R176">
    <sortCondition ref="M42:M53"/>
  </sortState>
  <tableColumns count="15">
    <tableColumn id="9" name="UDC" dataDxfId="6">
      <calculatedColumnFormula>TableOUMPEDUSC[[#This Row],[Study Package Code]]</calculatedColumnFormula>
    </tableColumn>
    <tableColumn id="10" name="Version" dataDxfId="5">
      <calculatedColumnFormula>TableOUMPEDUSC[[#This Row],[Ver]]</calculatedColumnFormula>
    </tableColumn>
    <tableColumn id="11" name="OUA Code" dataDxfId="4">
      <calculatedColumnFormula>LEFT(TableOUMPEDUSC[[#This Row],[Structure Line]],7)</calculatedColumnFormula>
    </tableColumn>
    <tableColumn id="12" name="Unit Title" dataDxfId="3">
      <calculatedColumnFormula>MID(TableOUMPEDUSC[[#This Row],[Structure Line]],9,LEN(TableOUMPEDUSC[[#This Row],[Structure Line]]))</calculatedColumnFormula>
    </tableColumn>
    <tableColumn id="13" name="CPs" dataDxfId="2">
      <calculatedColumnFormula>TableOUMPEDUSC[[#This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45.xml><?xml version="1.0" encoding="utf-8"?>
<table xmlns="http://schemas.openxmlformats.org/spreadsheetml/2006/main" id="45" name="Table53565754364446" displayName="Table53565754364446" ref="Q165:R184" totalsRowShown="0">
  <autoFilter ref="Q165:R18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13" name="TableAvailabilities" displayName="TableAvailabilities" ref="A4:E75" totalsRowShown="0">
  <autoFilter ref="A4:E75"/>
  <sortState ref="A5:I30">
    <sortCondition ref="A4:A30"/>
  </sortState>
  <tableColumns count="5">
    <tableColumn id="1" name="Row Labels"/>
    <tableColumn id="2" name="OpenUnis SP 1"/>
    <tableColumn id="3" name="OpenUnis SP 2"/>
    <tableColumn id="6" name="OpenUnis SP 3"/>
    <tableColumn id="7" name="OpenUnis SP 4"/>
  </tableColumns>
  <tableStyleInfo name="TableStyleLight7" showFirstColumn="0" showLastColumn="0" showRowStripes="1" showColumnStripes="0"/>
</table>
</file>

<file path=xl/tables/table5.xml><?xml version="1.0" encoding="utf-8"?>
<table xmlns="http://schemas.openxmlformats.org/spreadsheetml/2006/main" id="41" name="TableMajorsGradDip" displayName="TableMajorsGradDip" ref="A35:F37" totalsRowShown="0" headerRowDxfId="306" dataDxfId="305">
  <autoFilter ref="A35:F37"/>
  <tableColumns count="6">
    <tableColumn id="1" name="Choose your Major" dataDxfId="304"/>
    <tableColumn id="2" name="UDC" dataDxfId="303"/>
    <tableColumn id="3" name="Version" dataDxfId="302"/>
    <tableColumn id="4" name="Credit Points" dataDxfId="301"/>
    <tableColumn id="5" name="Effective Date" dataDxfId="300"/>
    <tableColumn id="6" name="Akari Update" dataDxfId="299"/>
  </tableColumns>
  <tableStyleInfo name="TableStyleLight8" showFirstColumn="0" showLastColumn="0" showRowStripes="1" showColumnStripes="0"/>
</table>
</file>

<file path=xl/tables/table6.xml><?xml version="1.0" encoding="utf-8"?>
<table xmlns="http://schemas.openxmlformats.org/spreadsheetml/2006/main" id="10" name="TableFirstTeachingArea" displayName="TableFirstTeachingArea" ref="A6:B12" totalsRowShown="0">
  <autoFilter ref="A6:B12"/>
  <tableColumns count="2">
    <tableColumn id="1" name="First Teaching Area"/>
    <tableColumn id="2" name="Code"/>
  </tableColumns>
  <tableStyleInfo name="TableStyleLight8" showFirstColumn="0" showLastColumn="0" showRowStripes="1" showColumnStripes="0"/>
</table>
</file>

<file path=xl/tables/table7.xml><?xml version="1.0" encoding="utf-8"?>
<table xmlns="http://schemas.openxmlformats.org/spreadsheetml/2006/main" id="11" name="TableSecondTeachingArea" displayName="TableSecondTeachingArea" ref="A15:B27" totalsRowShown="0">
  <autoFilter ref="A15:B27"/>
  <sortState ref="A15:B26">
    <sortCondition ref="A32:A44"/>
  </sortState>
  <tableColumns count="2">
    <tableColumn id="1" name="Teaching Area"/>
    <tableColumn id="2" name="Code"/>
  </tableColumns>
  <tableStyleInfo name="TableStyleLight8" showFirstColumn="0" showLastColumn="0" showRowStripes="1" showColumnStripes="0"/>
</table>
</file>

<file path=xl/tables/table8.xml><?xml version="1.0" encoding="utf-8"?>
<table xmlns="http://schemas.openxmlformats.org/spreadsheetml/2006/main" id="46" name="TableOGEDUCTeachingArea" displayName="TableOGEDUCTeachingArea" ref="A30:B36" totalsRowShown="0">
  <autoFilter ref="A30:B36"/>
  <tableColumns count="2">
    <tableColumn id="1" name="Choose your Approved Teaching Area (drop-down list)"/>
    <tableColumn id="2" name="Code"/>
  </tableColumns>
  <tableStyleInfo name="TableStyleLight8" showFirstColumn="0" showLastColumn="0" showRowStripes="1" showColumnStripes="0"/>
</table>
</file>

<file path=xl/tables/table9.xml><?xml version="1.0" encoding="utf-8"?>
<table xmlns="http://schemas.openxmlformats.org/spreadsheetml/2006/main" id="2" name="TableHandbook" displayName="TableHandbook" ref="A3:AC100" totalsRowShown="0" headerRowDxfId="281" dataDxfId="279" headerRowBorderDxfId="280" tableBorderDxfId="278">
  <autoFilter ref="A3:AC100"/>
  <sortState ref="A4:AC100">
    <sortCondition ref="A3:A100"/>
  </sortState>
  <tableColumns count="29">
    <tableColumn id="1" name="UDC" dataDxfId="277"/>
    <tableColumn id="2" name="Ver" dataDxfId="276"/>
    <tableColumn id="3" name="OUA Cd" dataDxfId="275"/>
    <tableColumn id="4" name="Title" dataDxfId="274"/>
    <tableColumn id="5" name="Credits" dataDxfId="273"/>
    <tableColumn id="6" name="Pre-reqs" dataDxfId="272"/>
    <tableColumn id="12" name="SP1" dataDxfId="271">
      <calculatedColumnFormula>IFERROR(IF(VLOOKUP(TableHandbook[[#This Row],[UDC]],TableAvailabilities[],2,FALSE)&gt;0,"Y",""),"")</calculatedColumnFormula>
    </tableColumn>
    <tableColumn id="17" name="SP2" dataDxfId="270">
      <calculatedColumnFormula>IFERROR(IF(VLOOKUP(TableHandbook[[#This Row],[UDC]],TableAvailabilities[],3,FALSE)&gt;0,"Y",""),"")</calculatedColumnFormula>
    </tableColumn>
    <tableColumn id="18" name="SP3" dataDxfId="269">
      <calculatedColumnFormula>IFERROR(IF(VLOOKUP(TableHandbook[[#This Row],[UDC]],TableAvailabilities[],4,FALSE)&gt;0,"Y",""),"")</calculatedColumnFormula>
    </tableColumn>
    <tableColumn id="7" name="SP4" dataDxfId="268">
      <calculatedColumnFormula>IFERROR(IF(VLOOKUP(TableHandbook[[#This Row],[UDC]],TableAvailabilities[],5,FALSE)&gt;0,"Y",""),"")</calculatedColumnFormula>
    </tableColumn>
    <tableColumn id="16" name="Notes" dataDxfId="267"/>
    <tableColumn id="8" name="OM-TEACH1" dataDxfId="266">
      <calculatedColumnFormula>IFERROR(VLOOKUP(TableHandbook[[#This Row],[UDC]],TableOMTEACH1[],7,FALSE),"")</calculatedColumnFormula>
    </tableColumn>
    <tableColumn id="9" name="OUMP-TCHEC" dataDxfId="265">
      <calculatedColumnFormula>IFERROR(VLOOKUP(TableHandbook[[#This Row],[UDC]],TableOUMPTCHEC[],7,FALSE),"")</calculatedColumnFormula>
    </tableColumn>
    <tableColumn id="10" name="OUMP-TCHPE" dataDxfId="264">
      <calculatedColumnFormula>IFERROR(VLOOKUP(TableHandbook[[#This Row],[UDC]],TableOUMPTCHPE[],7,FALSE),"")</calculatedColumnFormula>
    </tableColumn>
    <tableColumn id="20" name="OUMP-TCHSE" dataDxfId="263">
      <calculatedColumnFormula>IFERROR(VLOOKUP(TableHandbook[[#This Row],[UDC]],TableOUMPTCHSE[],7,FALSE),"")</calculatedColumnFormula>
    </tableColumn>
    <tableColumn id="11" name="OC-TESOL1" dataDxfId="262">
      <calculatedColumnFormula>IFERROR(VLOOKUP(TableHandbook[[#This Row],[UDC]],TableOCTESOL1[],7,FALSE),"")</calculatedColumnFormula>
    </tableColumn>
    <tableColumn id="13" name="OC-TESOL" dataDxfId="261">
      <calculatedColumnFormula>IFERROR(VLOOKUP(TableHandbook[[#This Row],[UDC]],TableOCTESOL[],7,FALSE),"")</calculatedColumnFormula>
    </tableColumn>
    <tableColumn id="14" name="OM-APLING" dataDxfId="260">
      <calculatedColumnFormula>IFERROR(VLOOKUP(TableHandbook[[#This Row],[UDC]],TableOMAPLING[],7,FALSE),"")</calculatedColumnFormula>
    </tableColumn>
    <tableColumn id="15" name="OC-EDHE1" dataDxfId="259">
      <calculatedColumnFormula>IFERROR(VLOOKUP(TableHandbook[[#This Row],[UDC]],TableOCEDHE1[],7,FALSE),"")</calculatedColumnFormula>
    </tableColumn>
    <tableColumn id="19" name="OC-EDHE" dataDxfId="258">
      <calculatedColumnFormula>IFERROR(VLOOKUP(TableHandbook[[#This Row],[UDC]],TableOCEDHE[],7,FALSE),"")</calculatedColumnFormula>
    </tableColumn>
    <tableColumn id="21" name="OC-EDUCS1" dataDxfId="257">
      <calculatedColumnFormula>IFERROR(VLOOKUP(TableHandbook[[#This Row],[UDC]],TableOCEDUCS1[],7,FALSE),"")</calculatedColumnFormula>
    </tableColumn>
    <tableColumn id="22" name="OC-EDUC" dataDxfId="256">
      <calculatedColumnFormula>IFERROR(VLOOKUP(TableHandbook[[#This Row],[UDC]],TableOCEDUC[],7,FALSE),"")</calculatedColumnFormula>
    </tableColumn>
    <tableColumn id="27" name="OG-EDUC" dataDxfId="255">
      <calculatedColumnFormula>IFERROR(VLOOKUP(TableHandbook[[#This Row],[UDC]],TableOGEDUC[],7,FALSE),"")</calculatedColumnFormula>
    </tableColumn>
    <tableColumn id="30" name="OUMP-EDUPR" dataDxfId="254">
      <calculatedColumnFormula>IFERROR(VLOOKUP(TableHandbook[[#This Row],[UDC]],TableOUMPEDUPR[],7,FALSE),"")</calculatedColumnFormula>
    </tableColumn>
    <tableColumn id="31" name="OUMP-EDUSC" dataDxfId="253">
      <calculatedColumnFormula>IFERROR(VLOOKUP(TableHandbook[[#This Row],[UDC]],TableOUMPEDUSC[],7,FALSE),"")</calculatedColumnFormula>
    </tableColumn>
    <tableColumn id="23" name="OM-EDUC" dataDxfId="252">
      <calculatedColumnFormula>IFERROR(VLOOKUP(TableHandbook[[#This Row],[UDC]],TableOMEDUC[],7,FALSE),"")</calculatedColumnFormula>
    </tableColumn>
    <tableColumn id="24" name="OSEP-CULIN" dataDxfId="251">
      <calculatedColumnFormula>IFERROR(VLOOKUP(TableHandbook[[#This Row],[UDC]],TableOSEPCULIN[],7,FALSE),"")</calculatedColumnFormula>
    </tableColumn>
    <tableColumn id="25" name="OSEP-LNTCH" dataDxfId="250">
      <calculatedColumnFormula>IFERROR(VLOOKUP(TableHandbook[[#This Row],[UDC]],TableOSEPLNTCH[],7,FALSE),"")</calculatedColumnFormula>
    </tableColumn>
    <tableColumn id="26"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16.xml"/><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 Type="http://schemas.openxmlformats.org/officeDocument/2006/relationships/table" Target="../tables/table11.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4.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1.875" style="16" bestFit="1" customWidth="1"/>
    <col min="4" max="4" width="62.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176"/>
      <c r="B2" s="178">
        <v>2</v>
      </c>
      <c r="C2" s="178">
        <v>3</v>
      </c>
      <c r="D2" s="178">
        <v>4</v>
      </c>
      <c r="E2" s="178"/>
      <c r="F2" s="178">
        <v>6</v>
      </c>
      <c r="G2" s="178">
        <v>5</v>
      </c>
      <c r="H2" s="178">
        <v>7</v>
      </c>
      <c r="I2" s="178">
        <v>8</v>
      </c>
      <c r="J2" s="178">
        <v>9</v>
      </c>
      <c r="K2" s="178">
        <v>10</v>
      </c>
      <c r="L2" s="177"/>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11</v>
      </c>
      <c r="E5" s="18"/>
      <c r="F5" s="190" t="s">
        <v>12</v>
      </c>
      <c r="G5" s="18" t="str">
        <f>IFERROR(CONCATENATE(VLOOKUP(D5,TableCourses[],2,FALSE)," ",VLOOKUP(D5,TableCourses[],3,FALSE)),"")</f>
        <v>OM-TEACH1 v.2</v>
      </c>
      <c r="H5" s="18"/>
      <c r="I5" s="18"/>
      <c r="J5" s="18"/>
      <c r="K5" s="18"/>
      <c r="L5" s="19"/>
    </row>
    <row r="6" spans="1:23" ht="20.100000000000001" customHeight="1" x14ac:dyDescent="0.25">
      <c r="B6" s="17"/>
      <c r="C6" s="190" t="s">
        <v>13</v>
      </c>
      <c r="D6" s="170" t="s">
        <v>14</v>
      </c>
      <c r="E6" s="18"/>
      <c r="F6" s="190" t="s">
        <v>15</v>
      </c>
      <c r="G6" s="18" t="str">
        <f>IFERROR(CONCATENATE(VLOOKUP(D6,TableMajorsMTeach[],2,FALSE)," ",VLOOKUP(D6,TableMajorsMTeach[],3,FALSE)),"")</f>
        <v>OUMP-TCHEC v.2</v>
      </c>
      <c r="H6" s="18"/>
      <c r="I6" s="18"/>
      <c r="J6" s="18"/>
      <c r="K6" s="18"/>
      <c r="L6" s="301" t="e">
        <f>CONCATENATE(VLOOKUP(D6,TableMajorsMTeach[],2,FALSE),VLOOKUP(D7,TableStudyPeriods[],2,FALSE))</f>
        <v>#N/A</v>
      </c>
    </row>
    <row r="7" spans="1:23" ht="20.100000000000001" customHeight="1" x14ac:dyDescent="0.2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15">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15">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15">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15">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15">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15">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15">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15">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15">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15">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1" x14ac:dyDescent="0.2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15">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15">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15">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15">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15">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15">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15">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15">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15">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15">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38" customFormat="1" ht="21" customHeight="1" x14ac:dyDescent="0.15">
      <c r="A32" s="64" t="str">
        <f>IFERROR(IF(HLOOKUP($L$6,RangeUnitsetsECEPR,M32,FALSE)=0,"",HLOOKUP($L$6,RangeUnitsetsECEPR,M32,FALSE)),"")</f>
        <v/>
      </c>
      <c r="B32" s="60" t="str">
        <f>IFERROR(IF(VLOOKUP($A32,TableHandbook[],2,FALSE)=0,"",VLOOKUP($A32,TableHandbook[],2,FALSE)),"")</f>
        <v/>
      </c>
      <c r="C32" s="60" t="str">
        <f>IFERROR(IF(VLOOKUP($A32,TableHandbook[],3,FALSE)=0,"",VLOOKUP($A32,TableHandbook[],3,FALSE)),"")</f>
        <v/>
      </c>
      <c r="D32" s="63" t="str">
        <f>IFERROR(IF(VLOOKUP($A32,TableHandbook[],4,FALSE)=0,"",VLOOKUP($A32,TableHandbook[],4,FALSE)),"")</f>
        <v/>
      </c>
      <c r="E32" s="58" t="str">
        <f>IF(A32="","",E31)</f>
        <v/>
      </c>
      <c r="F32" s="57" t="str">
        <f>IFERROR(IF(VLOOKUP($A32,TableHandbook[],6,FALSE)=0,"",VLOOKUP($A32,TableHandbook[],6,FALSE)),"")</f>
        <v/>
      </c>
      <c r="G32" s="58" t="str">
        <f>IFERROR(IF(VLOOKUP($A32,TableHandbook[],5,FALSE)=0,"",VLOOKUP($A32,TableHandbook[],5,FALSE)),"")</f>
        <v/>
      </c>
      <c r="H32" s="70" t="str">
        <f>IFERROR(VLOOKUP($A32,TableHandbook[],H$2,FALSE),"")</f>
        <v/>
      </c>
      <c r="I32" s="60" t="str">
        <f>IFERROR(VLOOKUP($A32,TableHandbook[],I$2,FALSE),"")</f>
        <v/>
      </c>
      <c r="J32" s="60" t="str">
        <f>IFERROR(VLOOKUP($A32,TableHandbook[],J$2,FALSE),"")</f>
        <v/>
      </c>
      <c r="K32" s="185" t="str">
        <f>IFERROR(VLOOKUP($A32,TableHandbook[],K$2,FALSE),"")</f>
        <v/>
      </c>
      <c r="L32" s="62"/>
      <c r="M32" s="74">
        <v>17</v>
      </c>
      <c r="N32" s="36"/>
      <c r="O32" s="36"/>
      <c r="P32" s="37"/>
      <c r="Q32" s="37"/>
      <c r="R32" s="37"/>
      <c r="S32" s="37"/>
      <c r="T32" s="37"/>
      <c r="U32" s="37"/>
      <c r="V32" s="37"/>
      <c r="W32" s="37"/>
    </row>
    <row r="33" spans="1:23" s="26" customFormat="1" ht="21" x14ac:dyDescent="0.2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15">
      <c r="A34" s="64" t="str">
        <f>IFERROR(IF(HLOOKUP($L$6,RangeUnitsetsECEPR,M34,FALSE)=0,"",HLOOKUP($L$6,RangeUnitsetsECEPR,M34,FALSE)),"")</f>
        <v/>
      </c>
      <c r="B34" s="60" t="str">
        <f>IFERROR(IF(VLOOKUP($A34,TableHandbook[],2,FALSE)=0,"",VLOOKUP($A34,TableHandbook[],2,FALSE)),"")</f>
        <v/>
      </c>
      <c r="C34" s="60" t="str">
        <f>IFERROR(IF(VLOOKUP($A34,TableHandbook[],3,FALSE)=0,"",VLOOKUP($A34,TableHandbook[],3,FALSE)),"")</f>
        <v/>
      </c>
      <c r="D34" s="61" t="str">
        <f>IFERROR(IF(VLOOKUP($A34,TableHandbook[],4,FALSE)=0,"",VLOOKUP($A34,TableHandbook[],4,FALSE)),"")</f>
        <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15">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18" x14ac:dyDescent="0.25">
      <c r="A36" s="75" t="s">
        <v>32</v>
      </c>
      <c r="B36" s="75"/>
      <c r="C36" s="75"/>
      <c r="D36" s="75"/>
      <c r="E36" s="75"/>
      <c r="F36" s="75"/>
      <c r="G36" s="75"/>
      <c r="H36" s="75"/>
      <c r="I36" s="75"/>
      <c r="J36" s="75"/>
      <c r="K36" s="75"/>
      <c r="L36" s="75"/>
    </row>
    <row r="37" spans="1:23" s="45" customFormat="1" ht="17.25" x14ac:dyDescent="0.2">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2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8" priority="6" operator="containsText" text="Choose">
      <formula>NOT(ISERROR(SEARCH("Choose",D5)))</formula>
    </cfRule>
  </conditionalFormatting>
  <dataValidations count="1">
    <dataValidation type="list" allowBlank="1" showInputMessage="1" showErrorMessage="1" sqref="L27 L15 L12 L18 L24 L30"/>
  </dataValidations>
  <hyperlinks>
    <hyperlink ref="A37:L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23"/>
  <sheetViews>
    <sheetView showGridLines="0" topLeftCell="A3" workbookViewId="0">
      <selection activeCell="A19" sqref="A1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606</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188</v>
      </c>
      <c r="E6" s="18"/>
      <c r="F6" s="17" t="s">
        <v>15</v>
      </c>
      <c r="G6" s="18" t="str">
        <f>IFERROR(CONCATENATE(VLOOKUP(D6,TableMajorsGradDip[],2,FALSE)," ",VLOOKUP(D6,TableMajorsGradDip[],3,FALSE)),"")</f>
        <v>OUMP-EDUPR v.1</v>
      </c>
      <c r="H6" s="18"/>
      <c r="I6" s="18"/>
      <c r="J6" s="18"/>
      <c r="K6" s="18"/>
      <c r="L6" s="302" t="str">
        <f>CONCATENATE(VLOOKUP(D6,TableMajorsGradDip[],2,FALSE),VLOOKUP(D7,TableStudyPeriods[],2,FALSE))</f>
        <v>OUMP-EDUPRSP1</v>
      </c>
    </row>
    <row r="7" spans="1:23" ht="20.100000000000001" customHeight="1" x14ac:dyDescent="0.2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1" x14ac:dyDescent="0.2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15">
      <c r="A10" s="64" t="str">
        <f>IFERROR(IF(HLOOKUP($L$6,RangeUnitsetsOGEDUCAcc,M10,FALSE)=0,"",HLOOKUP($L$6,RangeUnitsetsOGEDUCAcc,M10,FALSE)),"")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IFERROR(IF(HLOOKUP($L$6,RangeUnitsetsOGEDUCAcc,M11,FALSE)=0,"",HLOOKUP($L$6,RangeUnitsetsOGEDUCAcc,M11,FALSE)),"")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21" customHeight="1" x14ac:dyDescent="0.15">
      <c r="A12" s="64" t="str">
        <f>IFERROR(IF(HLOOKUP($L$6,RangeUnitsetsOGEDUCAcc,M12,FALSE)=0,"",HLOOKUP($L$6,RangeUnitsetsOGEDUCAcc,M12,FALSE)),"")</f>
        <v>EDUC5032</v>
      </c>
      <c r="B12" s="58">
        <f>IFERROR(IF(VLOOKUP($A12,TableHandbook[],2,FALSE)=0,"",VLOOKUP($A12,TableHandbook[],2,FALSE)),"")</f>
        <v>1</v>
      </c>
      <c r="C12" s="58" t="str">
        <f>IFERROR(IF(VLOOKUP($A12,TableHandbook[],3,FALSE)=0,"",VLOOKUP($A12,TableHandbook[],3,FALSE)),"")</f>
        <v>MTC510</v>
      </c>
      <c r="D12" s="65" t="str">
        <f>IFERROR(IF(VLOOKUP($A12,TableHandbook[],4,FALSE)=0,"",VLOOKUP($A12,TableHandbook[],4,FALSE)),"")</f>
        <v>Introduction to English: Reading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
      </c>
      <c r="J12" s="58" t="str">
        <f>IFERROR(VLOOKUP($A12,TableHandbook[],J$2,FALSE),"")</f>
        <v>Y</v>
      </c>
      <c r="K12" s="69" t="str">
        <f>IFERROR(VLOOKUP($A12,TableHandbook[],K$2,FALSE),"")</f>
        <v/>
      </c>
      <c r="L12" s="67"/>
      <c r="M12" s="226">
        <v>4</v>
      </c>
      <c r="N12" s="27"/>
      <c r="O12" s="27"/>
      <c r="P12" s="28"/>
      <c r="Q12" s="28"/>
      <c r="R12" s="28"/>
      <c r="S12" s="28"/>
      <c r="T12" s="28"/>
      <c r="U12" s="28"/>
      <c r="V12" s="28"/>
      <c r="W12" s="28"/>
    </row>
    <row r="13" spans="1:23" s="29" customFormat="1" ht="6" customHeight="1" x14ac:dyDescent="0.15">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15">
      <c r="A14" s="64" t="str">
        <f>IFERROR(IF(HLOOKUP($L$6,RangeUnitsetsOGEDUCAcc,M14,FALSE)=0,"",HLOOKUP($L$6,RangeUnitsetsOGEDUCAcc,M14,FALSE)),"")</f>
        <v>EDPR5012</v>
      </c>
      <c r="B14" s="58">
        <f>IFERROR(IF(VLOOKUP($A14,TableHandbook[],2,FALSE)=0,"",VLOOKUP($A14,TableHandbook[],2,FALSE)),"")</f>
        <v>1</v>
      </c>
      <c r="C14" s="58" t="str">
        <f>IFERROR(IF(VLOOKUP($A14,TableHandbook[],3,FALSE)=0,"",VLOOKUP($A14,TableHandbook[],3,FALSE)),"")</f>
        <v>MTP505</v>
      </c>
      <c r="D14" s="65" t="str">
        <f>IFERROR(IF(VLOOKUP($A14,TableHandbook[],4,FALSE)=0,"",VLOOKUP($A14,TableHandbook[],4,FALSE)),"")</f>
        <v>Teaching Science in the Primary Years</v>
      </c>
      <c r="E14" s="58" t="str">
        <f>IF(OR(A14="",A14="--"),"",VLOOKUP($D$7,TableStudyPeriods[],3,FALSE))</f>
        <v>SP2</v>
      </c>
      <c r="F14" s="57" t="str">
        <f>IFERROR(IF(VLOOKUP($A14,TableHandbook[],6,FALSE)=0,"",VLOOKUP($A14,TableHandbook[],6,FALSE)),"")</f>
        <v>Nil</v>
      </c>
      <c r="G14" s="58">
        <f>IFERROR(IF(VLOOKUP($A14,TableHandbook[],5,FALSE)=0,"",VLOOKUP($A14,TableHandbook[],5,FALSE)),"")</f>
        <v>25</v>
      </c>
      <c r="H14" s="68" t="str">
        <f>IFERROR(VLOOKUP($A14,TableHandbook[],H$2,FALSE),"")</f>
        <v>Y</v>
      </c>
      <c r="I14" s="58" t="str">
        <f>IFERROR(VLOOKUP($A14,TableHandbook[],I$2,FALSE),"")</f>
        <v>Y</v>
      </c>
      <c r="J14" s="58" t="str">
        <f>IFERROR(VLOOKUP($A14,TableHandbook[],J$2,FALSE),"")</f>
        <v/>
      </c>
      <c r="K14" s="69" t="str">
        <f>IFERROR(VLOOKUP($A14,TableHandbook[],K$2,FALSE),"")</f>
        <v/>
      </c>
      <c r="L14" s="66"/>
      <c r="M14" s="226">
        <v>5</v>
      </c>
      <c r="N14" s="27"/>
      <c r="O14" s="27"/>
      <c r="P14" s="28"/>
      <c r="Q14" s="28"/>
      <c r="R14" s="28"/>
      <c r="S14" s="28"/>
      <c r="T14" s="28"/>
      <c r="U14" s="28"/>
      <c r="V14" s="28"/>
      <c r="W14" s="28"/>
    </row>
    <row r="15" spans="1:23" s="29" customFormat="1" ht="21" customHeight="1" x14ac:dyDescent="0.15">
      <c r="A15" s="64" t="str">
        <f>IFERROR(IF(HLOOKUP($L$6,RangeUnitsetsOGEDUCAcc,M15,FALSE)=0,"",HLOOKUP($L$6,RangeUnitsetsOGEDUCAcc,M15,FALSE)),"")</f>
        <v>EDPR5013</v>
      </c>
      <c r="B15" s="60">
        <f>IFERROR(IF(VLOOKUP($A15,TableHandbook[],2,FALSE)=0,"",VLOOKUP($A15,TableHandbook[],2,FALSE)),"")</f>
        <v>1</v>
      </c>
      <c r="C15" s="60" t="str">
        <f>IFERROR(IF(VLOOKUP($A15,TableHandbook[],3,FALSE)=0,"",VLOOKUP($A15,TableHandbook[],3,FALSE)),"")</f>
        <v>MTP506</v>
      </c>
      <c r="D15" s="65" t="str">
        <f>IFERROR(IF(VLOOKUP($A15,TableHandbook[],4,FALSE)=0,"",VLOOKUP($A15,TableHandbook[],4,FALSE)),"")</f>
        <v>Primary Professional Experience 2: Assessment and Reporting</v>
      </c>
      <c r="E15" s="58" t="str">
        <f>IF(A15="","",E14)</f>
        <v>SP2</v>
      </c>
      <c r="F15" s="57" t="str">
        <f>IFERROR(IF(VLOOKUP($A15,TableHandbook[],6,FALSE)=0,"",VLOOKUP($A15,TableHandbook[],6,FALSE)),"")</f>
        <v>MTP502</v>
      </c>
      <c r="G15" s="60">
        <f>IFERROR(IF(VLOOKUP($A15,TableHandbook[],5,FALSE)=0,"",VLOOKUP($A15,TableHandbook[],5,FALSE)),"")</f>
        <v>25</v>
      </c>
      <c r="H15" s="70" t="str">
        <f>IFERROR(VLOOKUP($A15,TableHandbook[],H$2,FALSE),"")</f>
        <v/>
      </c>
      <c r="I15" s="60" t="str">
        <f>IFERROR(VLOOKUP($A15,TableHandbook[],I$2,FALSE),"")</f>
        <v>Y</v>
      </c>
      <c r="J15" s="60" t="str">
        <f>IFERROR(VLOOKUP($A15,TableHandbook[],J$2,FALSE),"")</f>
        <v>Y</v>
      </c>
      <c r="K15" s="71" t="str">
        <f>IFERROR(VLOOKUP($A15,TableHandbook[],K$2,FALSE),"")</f>
        <v/>
      </c>
      <c r="L15" s="67"/>
      <c r="M15" s="226">
        <v>6</v>
      </c>
      <c r="N15" s="27"/>
      <c r="O15" s="27"/>
      <c r="P15" s="28"/>
      <c r="Q15" s="28"/>
      <c r="R15" s="28"/>
      <c r="S15" s="28"/>
      <c r="T15" s="28"/>
      <c r="U15" s="28"/>
      <c r="V15" s="28"/>
      <c r="W15" s="28"/>
    </row>
    <row r="16" spans="1:23" s="38" customFormat="1" ht="21" customHeight="1" x14ac:dyDescent="0.15">
      <c r="A16" s="64" t="str">
        <f>IFERROR(IF(HLOOKUP($L$6,RangeUnitsetsOGEDUCAcc,M16,FALSE)=0,"",HLOOKUP($L$6,RangeUnitsetsOGEDUCAcc,M16,FALSE)),"")</f>
        <v>EDPR5010</v>
      </c>
      <c r="B16" s="60">
        <f>IFERROR(IF(VLOOKUP($A16,TableHandbook[],2,FALSE)=0,"",VLOOKUP($A16,TableHandbook[],2,FALSE)),"")</f>
        <v>1</v>
      </c>
      <c r="C16" s="60" t="str">
        <f>IFERROR(IF(VLOOKUP($A16,TableHandbook[],3,FALSE)=0,"",VLOOKUP($A16,TableHandbook[],3,FALSE)),"")</f>
        <v>MTP501</v>
      </c>
      <c r="D16" s="65" t="str">
        <f>IFERROR(IF(VLOOKUP($A16,TableHandbook[],4,FALSE)=0,"",VLOOKUP($A16,TableHandbook[],4,FALSE)),"")</f>
        <v>Teaching Number, Algebra and Probability in the Primary Years</v>
      </c>
      <c r="E16" s="58" t="str">
        <f>IF(A16="","",E15)</f>
        <v>SP2</v>
      </c>
      <c r="F16" s="57" t="str">
        <f>IFERROR(IF(VLOOKUP($A16,TableHandbook[],6,FALSE)=0,"",VLOOKUP($A16,TableHandbook[],6,FALSE)),"")</f>
        <v>Nil</v>
      </c>
      <c r="G16" s="60">
        <f>IFERROR(IF(VLOOKUP($A16,TableHandbook[],5,FALSE)=0,"",VLOOKUP($A16,TableHandbook[],5,FALSE)),"")</f>
        <v>25</v>
      </c>
      <c r="H16" s="70" t="str">
        <f>IFERROR(VLOOKUP($A16,TableHandbook[],H$2,FALSE),"")</f>
        <v/>
      </c>
      <c r="I16" s="60" t="str">
        <f>IFERROR(VLOOKUP($A16,TableHandbook[],I$2,FALSE),"")</f>
        <v>Y</v>
      </c>
      <c r="J16" s="60" t="str">
        <f>IFERROR(VLOOKUP($A16,TableHandbook[],J$2,FALSE),"")</f>
        <v/>
      </c>
      <c r="K16" s="71" t="str">
        <f>IFERROR(VLOOKUP($A16,TableHandbook[],K$2,FALSE),"")</f>
        <v>Y</v>
      </c>
      <c r="L16" s="67"/>
      <c r="M16" s="226">
        <v>7</v>
      </c>
      <c r="N16" s="36"/>
      <c r="O16" s="36"/>
      <c r="P16" s="37"/>
      <c r="Q16" s="37"/>
      <c r="R16" s="37"/>
      <c r="S16" s="37"/>
      <c r="T16" s="37"/>
      <c r="U16" s="37"/>
      <c r="V16" s="37"/>
      <c r="W16" s="37"/>
    </row>
    <row r="17" spans="1:23" s="29" customFormat="1" ht="6" customHeight="1" x14ac:dyDescent="0.15">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38" customFormat="1" ht="21" customHeight="1" x14ac:dyDescent="0.15">
      <c r="A18" s="64" t="str">
        <f>IFERROR(IF(HLOOKUP($L$6,RangeUnitsetsOGEDUCAcc,M18,FALSE)=0,"",HLOOKUP($L$6,RangeUnitsetsOGEDUCAcc,M18,FALSE)),"")</f>
        <v>EDUC6063</v>
      </c>
      <c r="B18" s="60">
        <f>IFERROR(IF(VLOOKUP($A18,TableHandbook[],2,FALSE)=0,"",VLOOKUP($A18,TableHandbook[],2,FALSE)),"")</f>
        <v>1</v>
      </c>
      <c r="C18" s="60" t="str">
        <f>IFERROR(IF(VLOOKUP($A18,TableHandbook[],3,FALSE)=0,"",VLOOKUP($A18,TableHandbook[],3,FALSE)),"")</f>
        <v>MTC600</v>
      </c>
      <c r="D18" s="65" t="str">
        <f>IFERROR(IF(VLOOKUP($A18,TableHandbook[],4,FALSE)=0,"",VLOOKUP($A18,TableHandbook[],4,FALSE)),"")</f>
        <v>Professional Experience 3: Using Data to Inform Teaching and Learning</v>
      </c>
      <c r="E18" s="58" t="str">
        <f>IF(OR(A18="",A18="--"),"",VLOOKUP($D$7,TableStudyPeriods[],4,FALSE))</f>
        <v>SP3</v>
      </c>
      <c r="F18" s="57" t="str">
        <f>IFERROR(IF(VLOOKUP($A18,TableHandbook[],6,FALSE)=0,"",VLOOKUP($A18,TableHandbook[],6,FALSE)),"")</f>
        <v>MTEC502 or MTP506 or MTS504</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8</v>
      </c>
      <c r="N18" s="36"/>
      <c r="O18" s="36"/>
      <c r="P18" s="37"/>
      <c r="Q18" s="37"/>
      <c r="R18" s="37"/>
      <c r="S18" s="37"/>
      <c r="T18" s="37"/>
      <c r="U18" s="37"/>
      <c r="V18" s="37"/>
      <c r="W18" s="37"/>
    </row>
    <row r="19" spans="1:23" s="38" customFormat="1" ht="21" customHeight="1" x14ac:dyDescent="0.15">
      <c r="A19" s="64" t="str">
        <f>IFERROR(IF(HLOOKUP($L$6,RangeUnitsetsOGEDUCAcc,M19,FALSE)=0,"",HLOOKUP($L$6,RangeUnitsetsOGEDUCAcc,M19,FALSE)),"")</f>
        <v>EDUC5017</v>
      </c>
      <c r="B19" s="60">
        <f>IFERROR(IF(VLOOKUP($A19,TableHandbook[],2,FALSE)=0,"",VLOOKUP($A19,TableHandbook[],2,FALSE)),"")</f>
        <v>1</v>
      </c>
      <c r="C19" s="60" t="str">
        <f>IFERROR(IF(VLOOKUP($A19,TableHandbook[],3,FALSE)=0,"",VLOOKUP($A19,TableHandbook[],3,FALSE)),"")</f>
        <v>MTPS504</v>
      </c>
      <c r="D19" s="63" t="str">
        <f>IFERROR(IF(VLOOKUP($A19,TableHandbook[],4,FALSE)=0,"",VLOOKUP($A19,TableHandbook[],4,FALSE)),"")</f>
        <v>Creative Technologies</v>
      </c>
      <c r="E19" s="60" t="str">
        <f>IF(A19="","",E18)</f>
        <v>SP3</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Y</v>
      </c>
      <c r="J19" s="60" t="str">
        <f>IFERROR(VLOOKUP($A19,TableHandbook[],J$2,FALSE),"")</f>
        <v>Y</v>
      </c>
      <c r="K19" s="71" t="str">
        <f>IFERROR(VLOOKUP($A19,TableHandbook[],K$2,FALSE),"")</f>
        <v>Y</v>
      </c>
      <c r="L19" s="67"/>
      <c r="M19" s="226">
        <v>9</v>
      </c>
      <c r="N19" s="36"/>
      <c r="O19" s="36"/>
      <c r="P19" s="37"/>
      <c r="Q19" s="37"/>
      <c r="R19" s="37"/>
      <c r="S19" s="37"/>
      <c r="T19" s="37"/>
      <c r="U19" s="37"/>
      <c r="V19" s="37"/>
      <c r="W19" s="37"/>
    </row>
    <row r="20" spans="1:23" ht="16.5" customHeight="1" x14ac:dyDescent="0.25">
      <c r="A20" s="46"/>
      <c r="B20" s="46"/>
      <c r="C20" s="46"/>
      <c r="D20" s="47"/>
      <c r="E20" s="47"/>
      <c r="F20" s="42"/>
      <c r="G20" s="42"/>
      <c r="H20" s="42"/>
      <c r="I20" s="42"/>
      <c r="J20" s="42"/>
      <c r="K20" s="42"/>
      <c r="L20" s="42"/>
      <c r="M20" s="23"/>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A10:M19">
    <cfRule type="expression" dxfId="292" priority="2">
      <formula>LEFT($A10,3)="STA"</formula>
    </cfRule>
    <cfRule type="expression" dxfId="291" priority="3">
      <formula>LEFT($A10,3)="FTA"</formula>
    </cfRule>
  </conditionalFormatting>
  <conditionalFormatting sqref="D5:D7">
    <cfRule type="containsText" dxfId="290" priority="4" operator="containsText" text="Choose">
      <formula>NOT(ISERROR(SEARCH("Choose",D5)))</formula>
    </cfRule>
  </conditionalFormatting>
  <dataValidations count="1">
    <dataValidation type="list" allowBlank="1" showInputMessage="1" showErrorMessage="1" sqref="L13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31"/>
  <sheetViews>
    <sheetView showGridLines="0" tabSelected="1" topLeftCell="A3" workbookViewId="0">
      <selection activeCell="D7" sqref="D7"/>
    </sheetView>
  </sheetViews>
  <sheetFormatPr defaultColWidth="9" defaultRowHeight="15" x14ac:dyDescent="0.25"/>
  <cols>
    <col min="1" max="1" width="8.5" style="327" customWidth="1"/>
    <col min="2" max="2" width="3.25" style="327" customWidth="1"/>
    <col min="3" max="3" width="10.375" style="327" customWidth="1"/>
    <col min="4" max="4" width="48.25" style="317" customWidth="1"/>
    <col min="5" max="5" width="8.75" style="317" customWidth="1"/>
    <col min="6" max="6" width="18.125" style="317" customWidth="1"/>
    <col min="7" max="7" width="5.625" style="317" customWidth="1"/>
    <col min="8" max="11" width="3.875" style="317" customWidth="1"/>
    <col min="12" max="12" width="15.625" style="317" customWidth="1"/>
    <col min="13" max="13" width="2.5" style="317" hidden="1" customWidth="1"/>
    <col min="14" max="16384" width="9" style="317"/>
  </cols>
  <sheetData>
    <row r="1" spans="1:16" hidden="1" x14ac:dyDescent="0.25">
      <c r="A1" s="313" t="s">
        <v>0</v>
      </c>
      <c r="B1" s="314" t="s">
        <v>1</v>
      </c>
      <c r="C1" s="314" t="s">
        <v>2</v>
      </c>
      <c r="D1" s="315" t="s">
        <v>3</v>
      </c>
      <c r="E1" s="315"/>
      <c r="F1" s="315" t="s">
        <v>4</v>
      </c>
      <c r="G1" s="315" t="s">
        <v>5</v>
      </c>
      <c r="H1" s="316" t="s">
        <v>6</v>
      </c>
      <c r="I1" s="316"/>
      <c r="J1" s="315"/>
      <c r="K1" s="315"/>
      <c r="L1" s="315" t="s">
        <v>7</v>
      </c>
    </row>
    <row r="2" spans="1:16" hidden="1" x14ac:dyDescent="0.25">
      <c r="A2" s="318"/>
      <c r="B2" s="319">
        <v>2</v>
      </c>
      <c r="C2" s="319">
        <v>3</v>
      </c>
      <c r="D2" s="319">
        <v>4</v>
      </c>
      <c r="E2" s="319"/>
      <c r="F2" s="319">
        <v>6</v>
      </c>
      <c r="G2" s="319">
        <v>5</v>
      </c>
      <c r="H2" s="319">
        <v>7</v>
      </c>
      <c r="I2" s="319">
        <v>8</v>
      </c>
      <c r="J2" s="319">
        <v>9</v>
      </c>
      <c r="K2" s="319">
        <v>10</v>
      </c>
      <c r="L2" s="320"/>
    </row>
    <row r="3" spans="1:16" ht="39.950000000000003" customHeight="1" x14ac:dyDescent="0.25">
      <c r="A3" s="423" t="s">
        <v>8</v>
      </c>
      <c r="B3" s="423"/>
      <c r="C3" s="423"/>
      <c r="D3" s="423"/>
      <c r="E3" s="321"/>
      <c r="F3" s="321"/>
      <c r="G3" s="321"/>
      <c r="H3" s="321"/>
      <c r="I3" s="321"/>
      <c r="J3" s="321"/>
      <c r="K3" s="321"/>
      <c r="L3" s="321"/>
    </row>
    <row r="4" spans="1:16" ht="25.5" x14ac:dyDescent="0.25">
      <c r="A4" s="322"/>
      <c r="B4" s="323"/>
      <c r="C4" s="323"/>
      <c r="D4" s="324" t="s">
        <v>9</v>
      </c>
      <c r="E4" s="325"/>
      <c r="F4" s="323"/>
      <c r="G4" s="326"/>
      <c r="H4" s="326"/>
      <c r="I4" s="326"/>
      <c r="J4" s="326"/>
      <c r="K4" s="326"/>
      <c r="L4" s="326"/>
    </row>
    <row r="5" spans="1:16" ht="20.100000000000001" customHeight="1" x14ac:dyDescent="0.25">
      <c r="B5" s="328"/>
      <c r="C5" s="329" t="s">
        <v>10</v>
      </c>
      <c r="D5" s="330" t="s">
        <v>113</v>
      </c>
      <c r="E5" s="331"/>
      <c r="F5" s="328" t="s">
        <v>12</v>
      </c>
      <c r="G5" s="332" t="str">
        <f>IFERROR(CONCATENATE(VLOOKUP(D5,TableCourses[],2,FALSE)," ",VLOOKUP(D5,TableCourses[],3,FALSE)),"")</f>
        <v>OG-EDUC v.1</v>
      </c>
      <c r="H5" s="331"/>
      <c r="I5" s="331"/>
      <c r="J5" s="331"/>
      <c r="K5" s="331"/>
      <c r="L5" s="333"/>
    </row>
    <row r="6" spans="1:16" ht="20.100000000000001" customHeight="1" x14ac:dyDescent="0.25">
      <c r="B6" s="328"/>
      <c r="C6" s="329" t="s">
        <v>13</v>
      </c>
      <c r="D6" s="330" t="s">
        <v>191</v>
      </c>
      <c r="E6" s="331"/>
      <c r="F6" s="328" t="s">
        <v>15</v>
      </c>
      <c r="G6" s="331" t="str">
        <f>IFERROR(CONCATENATE(VLOOKUP(D6,TableMajorsGradDip[],2,FALSE)," ",VLOOKUP(D6,TableMajorsGradDip[],3,FALSE)),"")</f>
        <v>OUMP-EDUSC v.1</v>
      </c>
      <c r="H6" s="331"/>
      <c r="I6" s="331"/>
      <c r="J6" s="331"/>
      <c r="K6" s="331"/>
      <c r="L6" s="334" t="str">
        <f>CONCATENATE(VLOOKUP(D6,TableMajorsGradDip[],2,FALSE),VLOOKUP(D8,TableStudyPeriods[],2,FALSE))</f>
        <v>OUMP-EDUSCSP1</v>
      </c>
    </row>
    <row r="7" spans="1:16" ht="20.100000000000001" customHeight="1" x14ac:dyDescent="0.25">
      <c r="B7" s="328"/>
      <c r="C7" s="329" t="s">
        <v>247</v>
      </c>
      <c r="D7" s="421" t="s">
        <v>248</v>
      </c>
      <c r="E7" s="331"/>
      <c r="F7" s="328"/>
      <c r="G7" s="331"/>
      <c r="H7" s="331"/>
      <c r="I7" s="331"/>
      <c r="J7" s="331"/>
      <c r="K7" s="331"/>
      <c r="L7" s="334" t="e">
        <f>VLOOKUP(D7,TableFirstTeachingArea[],2,FALSE)</f>
        <v>#N/A</v>
      </c>
    </row>
    <row r="8" spans="1:16" ht="20.100000000000001" customHeight="1" x14ac:dyDescent="0.25">
      <c r="A8" s="335"/>
      <c r="B8" s="336"/>
      <c r="C8" s="329" t="s">
        <v>16</v>
      </c>
      <c r="D8" s="337" t="s">
        <v>140</v>
      </c>
      <c r="E8" s="338"/>
      <c r="F8" s="328" t="s">
        <v>18</v>
      </c>
      <c r="G8" s="331" t="str">
        <f>IFERROR(VLOOKUP($D$5,TableCourses[],4,FALSE),"")</f>
        <v>200 credit points required</v>
      </c>
      <c r="H8" s="339"/>
      <c r="I8" s="339"/>
      <c r="J8" s="339"/>
      <c r="K8" s="339"/>
      <c r="L8" s="339"/>
    </row>
    <row r="9" spans="1:16" s="347" customFormat="1" ht="14.1" customHeight="1" x14ac:dyDescent="0.25">
      <c r="A9" s="340"/>
      <c r="B9" s="340"/>
      <c r="C9" s="340"/>
      <c r="D9" s="341"/>
      <c r="E9" s="342"/>
      <c r="F9" s="340"/>
      <c r="G9" s="340"/>
      <c r="H9" s="343" t="s">
        <v>19</v>
      </c>
      <c r="I9" s="344"/>
      <c r="J9" s="344"/>
      <c r="K9" s="345"/>
      <c r="L9" s="342"/>
      <c r="M9" s="346"/>
      <c r="N9" s="346"/>
      <c r="O9" s="346"/>
    </row>
    <row r="10" spans="1:16" s="347" customFormat="1" ht="21" x14ac:dyDescent="0.25">
      <c r="A10" s="340" t="s">
        <v>20</v>
      </c>
      <c r="B10" s="340"/>
      <c r="C10" s="348" t="s">
        <v>21</v>
      </c>
      <c r="D10" s="341" t="s">
        <v>3</v>
      </c>
      <c r="E10" s="348" t="s">
        <v>22</v>
      </c>
      <c r="F10" s="340" t="s">
        <v>23</v>
      </c>
      <c r="G10" s="340" t="s">
        <v>24</v>
      </c>
      <c r="H10" s="349" t="s">
        <v>25</v>
      </c>
      <c r="I10" s="350" t="s">
        <v>26</v>
      </c>
      <c r="J10" s="350" t="s">
        <v>27</v>
      </c>
      <c r="K10" s="351" t="s">
        <v>28</v>
      </c>
      <c r="L10" s="340" t="s">
        <v>29</v>
      </c>
      <c r="M10" s="346"/>
      <c r="N10" s="346"/>
      <c r="O10" s="346"/>
    </row>
    <row r="11" spans="1:16" s="360" customFormat="1" ht="21" customHeight="1" x14ac:dyDescent="0.15">
      <c r="A11" s="424" t="str">
        <f>IFERROR(IF(HLOOKUP($L$6,RangeUnitsetsOGEDUC,M11,FALSE)=0,"",HLOOKUP($L$6,RangeUnitsetsOGEDUC,M11,FALSE)),"")</f>
        <v>EDSC5037</v>
      </c>
      <c r="B11" s="406">
        <f>IFERROR(IF(VLOOKUP($A11,TableHandbook[],2,FALSE)=0,"",VLOOKUP($A11,TableHandbook[],2,FALSE)),"")</f>
        <v>1</v>
      </c>
      <c r="C11" s="406" t="str">
        <f>IFERROR(IF(VLOOKUP($A11,TableHandbook[],3,FALSE)=0,"",VLOOKUP($A11,TableHandbook[],3,FALSE)),"")</f>
        <v>MTS500</v>
      </c>
      <c r="D11" s="425" t="str">
        <f>IFERROR(IF(VLOOKUP($A11,TableHandbook[],4,FALSE)=0,"",VLOOKUP($A11,TableHandbook[],4,FALSE)),"")</f>
        <v>Teaching in the Secondary School</v>
      </c>
      <c r="E11" s="406" t="str">
        <f>IF(OR(A11="",A11="--"),"",VLOOKUP($D$8,TableStudyPeriods[],2,FALSE))</f>
        <v>SP1</v>
      </c>
      <c r="F11" s="426" t="str">
        <f>IFERROR(IF(VLOOKUP($A11,TableHandbook[],6,FALSE)=0,"",VLOOKUP($A11,TableHandbook[],6,FALSE)),"")</f>
        <v>Nil</v>
      </c>
      <c r="G11" s="406">
        <f>IFERROR(IF(VLOOKUP($A11,TableHandbook[],5,FALSE)=0,"",VLOOKUP($A11,TableHandbook[],5,FALSE)),"")</f>
        <v>25</v>
      </c>
      <c r="H11" s="405" t="str">
        <f>IFERROR(VLOOKUP($A11,TableHandbook[],H$2,FALSE),"")</f>
        <v>Y</v>
      </c>
      <c r="I11" s="406" t="str">
        <f>IFERROR(VLOOKUP($A11,TableHandbook[],I$2,FALSE),"")</f>
        <v>Y</v>
      </c>
      <c r="J11" s="406" t="str">
        <f>IFERROR(VLOOKUP($A11,TableHandbook[],J$2,FALSE),"")</f>
        <v/>
      </c>
      <c r="K11" s="407" t="str">
        <f>IFERROR(VLOOKUP($A11,TableHandbook[],K$2,FALSE),"")</f>
        <v/>
      </c>
      <c r="L11" s="66"/>
      <c r="M11" s="358">
        <v>2</v>
      </c>
      <c r="N11" s="359"/>
      <c r="O11" s="359"/>
    </row>
    <row r="12" spans="1:16" s="360" customFormat="1" ht="21" customHeight="1" x14ac:dyDescent="0.15">
      <c r="A12" s="424" t="str">
        <f>IFERROR(IF(HLOOKUP($L$6,RangeUnitsetsOGEDUC,M12,FALSE)=0,"",HLOOKUP($L$6,RangeUnitsetsOGEDUC,M12,FALSE)),"")</f>
        <v>EDSC5039</v>
      </c>
      <c r="B12" s="406">
        <f>IFERROR(IF(VLOOKUP($A12,TableHandbook[],2,FALSE)=0,"",VLOOKUP($A12,TableHandbook[],2,FALSE)),"")</f>
        <v>1</v>
      </c>
      <c r="C12" s="406" t="str">
        <f>IFERROR(IF(VLOOKUP($A12,TableHandbook[],3,FALSE)=0,"",VLOOKUP($A12,TableHandbook[],3,FALSE)),"")</f>
        <v>MTS502</v>
      </c>
      <c r="D12" s="425" t="str">
        <f>IFERROR(IF(VLOOKUP($A12,TableHandbook[],4,FALSE)=0,"",VLOOKUP($A12,TableHandbook[],4,FALSE)),"")</f>
        <v>Secondary Professional Experience 1: Planning</v>
      </c>
      <c r="E12" s="406" t="str">
        <f>IF(A12="","",E11)</f>
        <v>SP1</v>
      </c>
      <c r="F12" s="426" t="str">
        <f>IFERROR(IF(VLOOKUP($A12,TableHandbook[],6,FALSE)=0,"",VLOOKUP($A12,TableHandbook[],6,FALSE)),"")</f>
        <v>Nil</v>
      </c>
      <c r="G12" s="406">
        <f>IFERROR(IF(VLOOKUP($A12,TableHandbook[],5,FALSE)=0,"",VLOOKUP($A12,TableHandbook[],5,FALSE)),"")</f>
        <v>25</v>
      </c>
      <c r="H12" s="405" t="str">
        <f>IFERROR(VLOOKUP($A12,TableHandbook[],H$2,FALSE),"")</f>
        <v>Y</v>
      </c>
      <c r="I12" s="406" t="str">
        <f>IFERROR(VLOOKUP($A12,TableHandbook[],I$2,FALSE),"")</f>
        <v>Y</v>
      </c>
      <c r="J12" s="406" t="str">
        <f>IFERROR(VLOOKUP($A12,TableHandbook[],J$2,FALSE),"")</f>
        <v/>
      </c>
      <c r="K12" s="407" t="str">
        <f>IFERROR(VLOOKUP($A12,TableHandbook[],K$2,FALSE),"")</f>
        <v/>
      </c>
      <c r="L12" s="66"/>
      <c r="M12" s="358">
        <v>3</v>
      </c>
      <c r="N12" s="359"/>
      <c r="O12" s="359"/>
    </row>
    <row r="13" spans="1:16" s="360" customFormat="1" ht="6" customHeight="1" x14ac:dyDescent="0.15">
      <c r="A13" s="361"/>
      <c r="B13" s="362"/>
      <c r="C13" s="362"/>
      <c r="D13" s="363"/>
      <c r="E13" s="362"/>
      <c r="F13" s="364"/>
      <c r="G13" s="362"/>
      <c r="H13" s="365"/>
      <c r="I13" s="366"/>
      <c r="J13" s="366"/>
      <c r="K13" s="367"/>
      <c r="L13" s="291"/>
      <c r="M13" s="358"/>
      <c r="N13" s="359"/>
      <c r="O13" s="359"/>
      <c r="P13" s="359"/>
    </row>
    <row r="14" spans="1:16" s="360" customFormat="1" ht="21" customHeight="1" x14ac:dyDescent="0.15">
      <c r="A14" s="424" t="str">
        <f>IFERROR(IF(HLOOKUP($L$6,RangeUnitsetsOGEDUC,M14,FALSE)=0,"",HLOOKUP($L$6,RangeUnitsetsOGEDUC,M14,FALSE)),"")</f>
        <v>EDSC5051</v>
      </c>
      <c r="B14" s="406">
        <f>IFERROR(IF(VLOOKUP($A14,TableHandbook[],2,FALSE)=0,"",VLOOKUP($A14,TableHandbook[],2,FALSE)),"")</f>
        <v>1</v>
      </c>
      <c r="C14" s="406" t="str">
        <f>IFERROR(IF(VLOOKUP($A14,TableHandbook[],3,FALSE)=0,"",VLOOKUP($A14,TableHandbook[],3,FALSE)),"")</f>
        <v>MTS504</v>
      </c>
      <c r="D14" s="425" t="str">
        <f>IFERROR(IF(VLOOKUP($A14,TableHandbook[],4,FALSE)=0,"",VLOOKUP($A14,TableHandbook[],4,FALSE)),"")</f>
        <v>Secondary Professional Experience 2: Assessment and Reporting</v>
      </c>
      <c r="E14" s="406" t="str">
        <f>IF(OR(A14="",A14="--"),"",VLOOKUP($D$8,TableStudyPeriods[],3,FALSE))</f>
        <v>SP2</v>
      </c>
      <c r="F14" s="426" t="str">
        <f>IFERROR(IF(VLOOKUP($A14,TableHandbook[],6,FALSE)=0,"",VLOOKUP($A14,TableHandbook[],6,FALSE)),"")</f>
        <v>MTS502</v>
      </c>
      <c r="G14" s="406">
        <f>IFERROR(IF(VLOOKUP($A14,TableHandbook[],5,FALSE)=0,"",VLOOKUP($A14,TableHandbook[],5,FALSE)),"")</f>
        <v>25</v>
      </c>
      <c r="H14" s="405" t="str">
        <f>IFERROR(VLOOKUP($A14,TableHandbook[],H$2,FALSE),"")</f>
        <v/>
      </c>
      <c r="I14" s="406" t="str">
        <f>IFERROR(VLOOKUP($A14,TableHandbook[],I$2,FALSE),"")</f>
        <v>Y</v>
      </c>
      <c r="J14" s="406" t="str">
        <f>IFERROR(VLOOKUP($A14,TableHandbook[],J$2,FALSE),"")</f>
        <v>Y</v>
      </c>
      <c r="K14" s="407" t="str">
        <f>IFERROR(VLOOKUP($A14,TableHandbook[],K$2,FALSE),"")</f>
        <v/>
      </c>
      <c r="L14" s="67"/>
      <c r="M14" s="358">
        <v>4</v>
      </c>
      <c r="N14" s="359"/>
      <c r="O14" s="359"/>
    </row>
    <row r="15" spans="1:16" s="360" customFormat="1" ht="21" customHeight="1" x14ac:dyDescent="0.15">
      <c r="A15" s="369" t="str">
        <f>IFERROR(IF(HLOOKUP($L$6,RangeUnitsetsOGEDUC,M15,FALSE)=0,"",HLOOKUP($L$6,RangeUnitsetsOGEDUC,M15,FALSE)),"")</f>
        <v>GDTAL</v>
      </c>
      <c r="B15" s="370" t="str">
        <f>IFERROR(IF(VLOOKUP($A15,TableHandbook[],2,FALSE)=0,"",VLOOKUP($A15,TableHandbook[],2,FALSE)),"")</f>
        <v/>
      </c>
      <c r="C15" s="370" t="str">
        <f>IFERROR(IF(VLOOKUP($A15,TableHandbook[],3,FALSE)=0,"",VLOOKUP($A15,TableHandbook[],3,FALSE)),"")</f>
        <v/>
      </c>
      <c r="D15" s="371" t="str">
        <f>IFERROR(IF(VLOOKUP($A15,TableHandbook[],4,FALSE)=0,"",VLOOKUP($A15,TableHandbook[],4,FALSE)),"")</f>
        <v>Teaching Area LOWER subject (see below)</v>
      </c>
      <c r="E15" s="370" t="str">
        <f>IF(A15="","",E14)</f>
        <v>SP2</v>
      </c>
      <c r="F15" s="372" t="str">
        <f>IFERROR(IF(VLOOKUP($A15,TableHandbook[],6,FALSE)=0,"",VLOOKUP($A15,TableHandbook[],6,FALSE)),"")</f>
        <v>See below</v>
      </c>
      <c r="G15" s="370">
        <f>IFERROR(IF(VLOOKUP($A15,TableHandbook[],5,FALSE)=0,"",VLOOKUP($A15,TableHandbook[],5,FALSE)),"")</f>
        <v>25</v>
      </c>
      <c r="H15" s="373" t="str">
        <f>IFERROR(VLOOKUP($A15,TableHandbook[],H$2,FALSE),"")</f>
        <v/>
      </c>
      <c r="I15" s="370" t="str">
        <f>IFERROR(VLOOKUP($A15,TableHandbook[],I$2,FALSE),"")</f>
        <v/>
      </c>
      <c r="J15" s="370" t="str">
        <f>IFERROR(VLOOKUP($A15,TableHandbook[],J$2,FALSE),"")</f>
        <v/>
      </c>
      <c r="K15" s="374" t="str">
        <f>IFERROR(VLOOKUP($A15,TableHandbook[],K$2,FALSE),"")</f>
        <v/>
      </c>
      <c r="L15" s="299"/>
      <c r="M15" s="368">
        <v>5</v>
      </c>
      <c r="N15" s="359"/>
      <c r="O15" s="359"/>
    </row>
    <row r="16" spans="1:16" s="360" customFormat="1" ht="6" customHeight="1" x14ac:dyDescent="0.15">
      <c r="A16" s="361"/>
      <c r="B16" s="362"/>
      <c r="C16" s="362"/>
      <c r="D16" s="363"/>
      <c r="E16" s="362"/>
      <c r="F16" s="364"/>
      <c r="G16" s="362"/>
      <c r="H16" s="365"/>
      <c r="I16" s="366"/>
      <c r="J16" s="366"/>
      <c r="K16" s="367"/>
      <c r="L16" s="291"/>
      <c r="M16" s="358"/>
      <c r="N16" s="359"/>
      <c r="O16" s="359"/>
      <c r="P16" s="359"/>
    </row>
    <row r="17" spans="1:16" s="360" customFormat="1" ht="21" customHeight="1" x14ac:dyDescent="0.15">
      <c r="A17" s="424" t="str">
        <f>IFERROR(IF(HLOOKUP($L$6,RangeUnitsetsOGEDUC,M17,FALSE)=0,"",HLOOKUP($L$6,RangeUnitsetsOGEDUC,M17,FALSE)),"")</f>
        <v>EDUC6063</v>
      </c>
      <c r="B17" s="427">
        <f>IFERROR(IF(VLOOKUP($A17,TableHandbook[],2,FALSE)=0,"",VLOOKUP($A17,TableHandbook[],2,FALSE)),"")</f>
        <v>1</v>
      </c>
      <c r="C17" s="427" t="str">
        <f>IFERROR(IF(VLOOKUP($A17,TableHandbook[],3,FALSE)=0,"",VLOOKUP($A17,TableHandbook[],3,FALSE)),"")</f>
        <v>MTC600</v>
      </c>
      <c r="D17" s="425" t="str">
        <f>IFERROR(IF(VLOOKUP($A17,TableHandbook[],4,FALSE)=0,"",VLOOKUP($A17,TableHandbook[],4,FALSE)),"")</f>
        <v>Professional Experience 3: Using Data to Inform Teaching and Learning</v>
      </c>
      <c r="E17" s="406" t="str">
        <f>IF(OR(A17="",A17="--"),"",VLOOKUP($D$8,TableStudyPeriods[],4,FALSE))</f>
        <v>SP3</v>
      </c>
      <c r="F17" s="426" t="str">
        <f>IFERROR(IF(VLOOKUP($A17,TableHandbook[],6,FALSE)=0,"",VLOOKUP($A17,TableHandbook[],6,FALSE)),"")</f>
        <v>MTEC502 or MTP506 or MTS504</v>
      </c>
      <c r="G17" s="427">
        <f>IFERROR(IF(VLOOKUP($A17,TableHandbook[],5,FALSE)=0,"",VLOOKUP($A17,TableHandbook[],5,FALSE)),"")</f>
        <v>25</v>
      </c>
      <c r="H17" s="428" t="str">
        <f>IFERROR(VLOOKUP($A17,TableHandbook[],H$2,FALSE),"")</f>
        <v>Y</v>
      </c>
      <c r="I17" s="427" t="str">
        <f>IFERROR(VLOOKUP($A17,TableHandbook[],I$2,FALSE),"")</f>
        <v/>
      </c>
      <c r="J17" s="427" t="str">
        <f>IFERROR(VLOOKUP($A17,TableHandbook[],J$2,FALSE),"")</f>
        <v>Y</v>
      </c>
      <c r="K17" s="429" t="str">
        <f>IFERROR(VLOOKUP($A17,TableHandbook[],K$2,FALSE),"")</f>
        <v/>
      </c>
      <c r="L17" s="67"/>
      <c r="M17" s="358">
        <v>6</v>
      </c>
      <c r="N17" s="359"/>
      <c r="O17" s="359"/>
    </row>
    <row r="18" spans="1:16" s="376" customFormat="1" ht="21" customHeight="1" x14ac:dyDescent="0.15">
      <c r="A18" s="424" t="str">
        <f>IFERROR(IF(HLOOKUP($L$6,RangeUnitsetsOGEDUC,M18,FALSE)=0,"",HLOOKUP($L$6,RangeUnitsetsOGEDUC,M18,FALSE)),"")</f>
        <v>EDUC5014</v>
      </c>
      <c r="B18" s="427">
        <f>IFERROR(IF(VLOOKUP($A18,TableHandbook[],2,FALSE)=0,"",VLOOKUP($A18,TableHandbook[],2,FALSE)),"")</f>
        <v>1</v>
      </c>
      <c r="C18" s="427" t="str">
        <f>IFERROR(IF(VLOOKUP($A18,TableHandbook[],3,FALSE)=0,"",VLOOKUP($A18,TableHandbook[],3,FALSE)),"")</f>
        <v>MTPS501</v>
      </c>
      <c r="D18" s="425" t="str">
        <f>IFERROR(IF(VLOOKUP($A18,TableHandbook[],4,FALSE)=0,"",VLOOKUP($A18,TableHandbook[],4,FALSE)),"")</f>
        <v>Pedagogies for Diversity</v>
      </c>
      <c r="E18" s="406" t="str">
        <f>IF(A18="","",E17)</f>
        <v>SP3</v>
      </c>
      <c r="F18" s="426" t="str">
        <f>IFERROR(IF(VLOOKUP($A18,TableHandbook[],6,FALSE)=0,"",VLOOKUP($A18,TableHandbook[],6,FALSE)),"")</f>
        <v>Nil</v>
      </c>
      <c r="G18" s="427">
        <f>IFERROR(IF(VLOOKUP($A18,TableHandbook[],5,FALSE)=0,"",VLOOKUP($A18,TableHandbook[],5,FALSE)),"")</f>
        <v>25</v>
      </c>
      <c r="H18" s="428" t="str">
        <f>IFERROR(VLOOKUP($A18,TableHandbook[],H$2,FALSE),"")</f>
        <v>Y</v>
      </c>
      <c r="I18" s="427" t="str">
        <f>IFERROR(VLOOKUP($A18,TableHandbook[],I$2,FALSE),"")</f>
        <v/>
      </c>
      <c r="J18" s="427" t="str">
        <f>IFERROR(VLOOKUP($A18,TableHandbook[],J$2,FALSE),"")</f>
        <v>Y</v>
      </c>
      <c r="K18" s="429" t="str">
        <f>IFERROR(VLOOKUP($A18,TableHandbook[],K$2,FALSE),"")</f>
        <v/>
      </c>
      <c r="L18" s="67"/>
      <c r="M18" s="358">
        <v>7</v>
      </c>
      <c r="N18" s="375"/>
      <c r="O18" s="375"/>
    </row>
    <row r="19" spans="1:16" s="360" customFormat="1" ht="6" customHeight="1" x14ac:dyDescent="0.15">
      <c r="A19" s="361"/>
      <c r="B19" s="362"/>
      <c r="C19" s="362"/>
      <c r="D19" s="363"/>
      <c r="E19" s="362"/>
      <c r="F19" s="364"/>
      <c r="G19" s="362"/>
      <c r="H19" s="365"/>
      <c r="I19" s="366"/>
      <c r="J19" s="366"/>
      <c r="K19" s="367"/>
      <c r="L19" s="291"/>
      <c r="M19" s="358"/>
      <c r="N19" s="359"/>
      <c r="O19" s="359"/>
      <c r="P19" s="359"/>
    </row>
    <row r="20" spans="1:16" s="376" customFormat="1" ht="21" customHeight="1" x14ac:dyDescent="0.15">
      <c r="A20" s="424" t="str">
        <f>IFERROR(IF(HLOOKUP($L$6,RangeUnitsetsOGEDUC,M20,FALSE)=0,"",HLOOKUP($L$6,RangeUnitsetsOGEDUC,M20,FALSE)),"")</f>
        <v>EDUC5017</v>
      </c>
      <c r="B20" s="427">
        <f>IFERROR(IF(VLOOKUP($A20,TableHandbook[],2,FALSE)=0,"",VLOOKUP($A20,TableHandbook[],2,FALSE)),"")</f>
        <v>1</v>
      </c>
      <c r="C20" s="427" t="str">
        <f>IFERROR(IF(VLOOKUP($A20,TableHandbook[],3,FALSE)=0,"",VLOOKUP($A20,TableHandbook[],3,FALSE)),"")</f>
        <v>MTPS504</v>
      </c>
      <c r="D20" s="425" t="str">
        <f>IFERROR(IF(VLOOKUP($A20,TableHandbook[],4,FALSE)=0,"",VLOOKUP($A20,TableHandbook[],4,FALSE)),"")</f>
        <v>Creative Technologies</v>
      </c>
      <c r="E20" s="406" t="str">
        <f>IF(OR(A20="",A20="--"),"",VLOOKUP($D$8,TableStudyPeriods[],5,FALSE))</f>
        <v>SP4</v>
      </c>
      <c r="F20" s="426" t="str">
        <f>IFERROR(IF(VLOOKUP($A20,TableHandbook[],6,FALSE)=0,"",VLOOKUP($A20,TableHandbook[],6,FALSE)),"")</f>
        <v>Nil</v>
      </c>
      <c r="G20" s="427">
        <f>IFERROR(IF(VLOOKUP($A20,TableHandbook[],5,FALSE)=0,"",VLOOKUP($A20,TableHandbook[],5,FALSE)),"")</f>
        <v>25</v>
      </c>
      <c r="H20" s="428" t="str">
        <f>IFERROR(VLOOKUP($A20,TableHandbook[],H$2,FALSE),"")</f>
        <v/>
      </c>
      <c r="I20" s="427" t="str">
        <f>IFERROR(VLOOKUP($A20,TableHandbook[],I$2,FALSE),"")</f>
        <v>Y</v>
      </c>
      <c r="J20" s="427" t="str">
        <f>IFERROR(VLOOKUP($A20,TableHandbook[],J$2,FALSE),"")</f>
        <v>Y</v>
      </c>
      <c r="K20" s="429" t="str">
        <f>IFERROR(VLOOKUP($A20,TableHandbook[],K$2,FALSE),"")</f>
        <v>Y</v>
      </c>
      <c r="L20" s="67"/>
      <c r="M20" s="358">
        <v>8</v>
      </c>
      <c r="N20" s="375"/>
      <c r="O20" s="375"/>
    </row>
    <row r="21" spans="1:16" s="376" customFormat="1" ht="21" customHeight="1" x14ac:dyDescent="0.15">
      <c r="A21" s="369" t="str">
        <f>IFERROR(IF(HLOOKUP($L$6,RangeUnitsetsOGEDUC,M21,FALSE)=0,"",HLOOKUP($L$6,RangeUnitsetsOGEDUC,M21,FALSE)),"")</f>
        <v>GDTAS</v>
      </c>
      <c r="B21" s="370" t="str">
        <f>IFERROR(IF(VLOOKUP($A21,TableHandbook[],2,FALSE)=0,"",VLOOKUP($A21,TableHandbook[],2,FALSE)),"")</f>
        <v/>
      </c>
      <c r="C21" s="370" t="str">
        <f>IFERROR(IF(VLOOKUP($A21,TableHandbook[],3,FALSE)=0,"",VLOOKUP($A21,TableHandbook[],3,FALSE)),"")</f>
        <v/>
      </c>
      <c r="D21" s="377" t="str">
        <f>IFERROR(IF(VLOOKUP($A21,TableHandbook[],4,FALSE)=0,"",VLOOKUP($A21,TableHandbook[],4,FALSE)),"")</f>
        <v>Teaching Area SENIOR subject (see below)</v>
      </c>
      <c r="E21" s="370" t="str">
        <f>IF(A21="","",E20)</f>
        <v>SP4</v>
      </c>
      <c r="F21" s="372" t="str">
        <f>IFERROR(IF(VLOOKUP($A21,TableHandbook[],6,FALSE)=0,"",VLOOKUP($A21,TableHandbook[],6,FALSE)),"")</f>
        <v>See below</v>
      </c>
      <c r="G21" s="370">
        <f>IFERROR(IF(VLOOKUP($A21,TableHandbook[],5,FALSE)=0,"",VLOOKUP($A21,TableHandbook[],5,FALSE)),"")</f>
        <v>25</v>
      </c>
      <c r="H21" s="373" t="str">
        <f>IFERROR(VLOOKUP($A21,TableHandbook[],H$2,FALSE),"")</f>
        <v/>
      </c>
      <c r="I21" s="370" t="str">
        <f>IFERROR(VLOOKUP($A21,TableHandbook[],I$2,FALSE),"")</f>
        <v/>
      </c>
      <c r="J21" s="370" t="str">
        <f>IFERROR(VLOOKUP($A21,TableHandbook[],J$2,FALSE),"")</f>
        <v/>
      </c>
      <c r="K21" s="374" t="str">
        <f>IFERROR(VLOOKUP($A21,TableHandbook[],K$2,FALSE),"")</f>
        <v/>
      </c>
      <c r="L21" s="299"/>
      <c r="M21" s="368">
        <v>9</v>
      </c>
      <c r="N21" s="375"/>
      <c r="O21" s="375"/>
    </row>
    <row r="22" spans="1:16" ht="16.5" customHeight="1" x14ac:dyDescent="0.25">
      <c r="A22" s="378"/>
      <c r="B22" s="378"/>
      <c r="C22" s="378"/>
      <c r="D22" s="379"/>
      <c r="E22" s="379"/>
      <c r="F22" s="380"/>
      <c r="G22" s="380"/>
      <c r="H22" s="380"/>
      <c r="I22" s="380"/>
      <c r="J22" s="380"/>
      <c r="K22" s="380"/>
      <c r="L22" s="380"/>
    </row>
    <row r="23" spans="1:16" s="390" customFormat="1" ht="25.5" x14ac:dyDescent="0.25">
      <c r="A23" s="381" t="s">
        <v>246</v>
      </c>
      <c r="B23" s="382"/>
      <c r="C23" s="382"/>
      <c r="D23" s="383"/>
      <c r="E23" s="384"/>
      <c r="F23" s="384"/>
      <c r="G23" s="384"/>
      <c r="H23" s="385" t="s">
        <v>19</v>
      </c>
      <c r="I23" s="386"/>
      <c r="J23" s="387"/>
      <c r="K23" s="388"/>
      <c r="L23" s="389"/>
    </row>
    <row r="24" spans="1:16" ht="21" customHeight="1" x14ac:dyDescent="0.25">
      <c r="A24" s="340"/>
      <c r="B24" s="340"/>
      <c r="C24" s="348" t="s">
        <v>21</v>
      </c>
      <c r="D24" s="341" t="s">
        <v>3</v>
      </c>
      <c r="E24" s="348"/>
      <c r="F24" s="340" t="s">
        <v>23</v>
      </c>
      <c r="G24" s="340" t="s">
        <v>24</v>
      </c>
      <c r="H24" s="349" t="s">
        <v>25</v>
      </c>
      <c r="I24" s="350" t="s">
        <v>26</v>
      </c>
      <c r="J24" s="350" t="s">
        <v>27</v>
      </c>
      <c r="K24" s="351" t="s">
        <v>28</v>
      </c>
      <c r="L24" s="340" t="s">
        <v>29</v>
      </c>
      <c r="M24" s="391"/>
    </row>
    <row r="25" spans="1:16" ht="21" customHeight="1" x14ac:dyDescent="0.25">
      <c r="A25" s="392"/>
      <c r="B25" s="393"/>
      <c r="C25" s="394"/>
      <c r="D25" s="395" t="s">
        <v>249</v>
      </c>
      <c r="E25" s="396"/>
      <c r="F25" s="397"/>
      <c r="G25" s="397"/>
      <c r="H25" s="373"/>
      <c r="I25" s="370"/>
      <c r="J25" s="370"/>
      <c r="K25" s="374"/>
      <c r="L25" s="299"/>
      <c r="M25" s="398">
        <v>2</v>
      </c>
    </row>
    <row r="26" spans="1:16" ht="21" customHeight="1" x14ac:dyDescent="0.25">
      <c r="A26" s="399" t="str">
        <f>IFERROR(IF(HLOOKUP($L$7,RangeTeachingAreas,M26,FALSE)=0,"",HLOOKUP($L$7,RangeTeachingAreas,M26,FALSE)),"")</f>
        <v/>
      </c>
      <c r="B26" s="400" t="str">
        <f>IFERROR(IF(VLOOKUP($A26,TableHandbook[],2,FALSE)=0,"",VLOOKUP($A26,TableHandbook[],2,FALSE)),"")</f>
        <v/>
      </c>
      <c r="C26" s="401" t="str">
        <f>IFERROR(IF(VLOOKUP($A26,TableHandbook[],3,FALSE)=0,"",VLOOKUP($A26,TableHandbook[],3,FALSE)),"")</f>
        <v/>
      </c>
      <c r="D26" s="402" t="str">
        <f>IFERROR(IF(VLOOKUP($A26,TableHandbook[],4,FALSE)=0,"",VLOOKUP($A26,TableHandbook[],4,FALSE)),"")</f>
        <v/>
      </c>
      <c r="E26" s="403"/>
      <c r="F26" s="404" t="str">
        <f>IFERROR(IF(VLOOKUP($A26,TableHandbook[],6,FALSE)=0,"",VLOOKUP($A26,TableHandbook[],6,FALSE)),"")</f>
        <v/>
      </c>
      <c r="G26" s="404" t="str">
        <f>IFERROR(IF(VLOOKUP($A26,TableHandbook[],5,FALSE)=0,"",VLOOKUP($A26,TableHandbook[],5,FALSE)),"")</f>
        <v/>
      </c>
      <c r="H26" s="405" t="str">
        <f>IFERROR(VLOOKUP($A26,TableHandbook[],H$2,FALSE),"")</f>
        <v/>
      </c>
      <c r="I26" s="406" t="str">
        <f>IFERROR(VLOOKUP($A26,TableHandbook[],I$2,FALSE),"")</f>
        <v/>
      </c>
      <c r="J26" s="406" t="str">
        <f>IFERROR(VLOOKUP($A26,TableHandbook[],J$2,FALSE),"")</f>
        <v/>
      </c>
      <c r="K26" s="407" t="str">
        <f>IFERROR(VLOOKUP($A26,TableHandbook[],K$2,FALSE),"")</f>
        <v/>
      </c>
      <c r="L26" s="67"/>
      <c r="M26" s="391">
        <v>3</v>
      </c>
    </row>
    <row r="27" spans="1:16" ht="21" customHeight="1" x14ac:dyDescent="0.25">
      <c r="A27" s="399" t="str">
        <f>IFERROR(IF(HLOOKUP($L$7,RangeTeachingAreas,M27,FALSE)=0,"",HLOOKUP($L$7,RangeTeachingAreas,M27,FALSE)),"")</f>
        <v/>
      </c>
      <c r="B27" s="400" t="str">
        <f>IFERROR(IF(VLOOKUP($A27,TableHandbook[],2,FALSE)=0,"",VLOOKUP($A27,TableHandbook[],2,FALSE)),"")</f>
        <v/>
      </c>
      <c r="C27" s="401" t="str">
        <f>IFERROR(IF(VLOOKUP($A27,TableHandbook[],3,FALSE)=0,"",VLOOKUP($A27,TableHandbook[],3,FALSE)),"")</f>
        <v/>
      </c>
      <c r="D27" s="402" t="str">
        <f>IFERROR(IF(VLOOKUP($A27,TableHandbook[],4,FALSE)=0,"",VLOOKUP($A27,TableHandbook[],4,FALSE)),"")</f>
        <v/>
      </c>
      <c r="E27" s="403"/>
      <c r="F27" s="404" t="str">
        <f>IFERROR(IF(VLOOKUP($A27,TableHandbook[],6,FALSE)=0,"",VLOOKUP($A27,TableHandbook[],6,FALSE)),"")</f>
        <v/>
      </c>
      <c r="G27" s="404" t="str">
        <f>IFERROR(IF(VLOOKUP($A27,TableHandbook[],5,FALSE)=0,"",VLOOKUP($A27,TableHandbook[],5,FALSE)),"")</f>
        <v/>
      </c>
      <c r="H27" s="405" t="str">
        <f>IFERROR(VLOOKUP($A27,TableHandbook[],H$2,FALSE),"")</f>
        <v/>
      </c>
      <c r="I27" s="406" t="str">
        <f>IFERROR(VLOOKUP($A27,TableHandbook[],I$2,FALSE),"")</f>
        <v/>
      </c>
      <c r="J27" s="406" t="str">
        <f>IFERROR(VLOOKUP($A27,TableHandbook[],J$2,FALSE),"")</f>
        <v/>
      </c>
      <c r="K27" s="407" t="str">
        <f>IFERROR(VLOOKUP($A27,TableHandbook[],K$2,FALSE),"")</f>
        <v/>
      </c>
      <c r="L27" s="67"/>
      <c r="M27" s="391">
        <v>4</v>
      </c>
    </row>
    <row r="28" spans="1:16" ht="13.5" customHeight="1" x14ac:dyDescent="0.25">
      <c r="A28" s="408"/>
      <c r="B28" s="409"/>
      <c r="C28" s="410"/>
      <c r="D28" s="410"/>
      <c r="E28" s="411"/>
      <c r="F28" s="412"/>
      <c r="G28" s="412"/>
      <c r="H28" s="413"/>
      <c r="I28" s="413"/>
      <c r="J28" s="413"/>
      <c r="K28" s="413"/>
      <c r="L28" s="414"/>
      <c r="M28" s="391"/>
    </row>
    <row r="29" spans="1:16" ht="18" x14ac:dyDescent="0.25">
      <c r="A29" s="415" t="s">
        <v>32</v>
      </c>
      <c r="B29" s="415"/>
      <c r="C29" s="415"/>
      <c r="D29" s="415"/>
      <c r="E29" s="415"/>
      <c r="F29" s="415"/>
      <c r="G29" s="415"/>
      <c r="H29" s="415"/>
      <c r="I29" s="415"/>
      <c r="J29" s="415"/>
      <c r="K29" s="415"/>
      <c r="L29" s="415"/>
    </row>
    <row r="30" spans="1:16" s="417" customFormat="1" ht="17.25" x14ac:dyDescent="0.2">
      <c r="A30" s="39" t="s">
        <v>33</v>
      </c>
      <c r="B30" s="39"/>
      <c r="C30" s="39"/>
      <c r="D30" s="40"/>
      <c r="E30" s="40"/>
      <c r="F30" s="40"/>
      <c r="G30" s="40"/>
      <c r="H30" s="40"/>
      <c r="I30" s="40"/>
      <c r="J30" s="40"/>
      <c r="K30" s="40"/>
      <c r="L30" s="40"/>
      <c r="M30" s="416"/>
      <c r="N30" s="416"/>
      <c r="O30" s="416"/>
    </row>
    <row r="31" spans="1:16" x14ac:dyDescent="0.25">
      <c r="A31" s="418" t="s">
        <v>34</v>
      </c>
      <c r="B31" s="418"/>
      <c r="C31" s="418"/>
      <c r="D31" s="418"/>
      <c r="E31" s="419"/>
      <c r="F31" s="380"/>
      <c r="G31" s="420"/>
      <c r="H31" s="420"/>
      <c r="I31" s="420"/>
      <c r="J31" s="420"/>
      <c r="K31" s="420"/>
      <c r="L31" s="420" t="s">
        <v>35</v>
      </c>
    </row>
  </sheetData>
  <sheetProtection algorithmName="SHA-512" hashValue="JXGxpFETj0LEcjITn0d1OJ27XTNKtCWJoK2MO/M5Y7Fvpc0dYlu4mZF/jsJc1JOH+HITxhnBmc5j+rf2Yk5epA==" saltValue="20UZhPxQsuNBb80kp2Fjww==" spinCount="100000" sheet="1" objects="1" scenarios="1" formatCells="0"/>
  <mergeCells count="1">
    <mergeCell ref="A3:D3"/>
  </mergeCells>
  <conditionalFormatting sqref="A11:M21">
    <cfRule type="expression" dxfId="289" priority="1">
      <formula>LEFT($A11,3)="STA"</formula>
    </cfRule>
    <cfRule type="expression" dxfId="288" priority="2">
      <formula>LEFT($A11,3)="FTA"</formula>
    </cfRule>
  </conditionalFormatting>
  <conditionalFormatting sqref="D5:D8">
    <cfRule type="containsText" dxfId="287" priority="3" operator="containsText" text="Choose">
      <formula>NOT(ISERROR(SEARCH("Choose",D5)))</formula>
    </cfRule>
  </conditionalFormatting>
  <dataValidations count="1">
    <dataValidation type="list" allowBlank="1" showInputMessage="1" showErrorMessage="1" sqref="L16 L13 L19"/>
  </dataValidations>
  <hyperlinks>
    <hyperlink ref="A30:L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327" customWidth="1"/>
    <col min="2" max="2" width="3.25" style="327" customWidth="1"/>
    <col min="3" max="3" width="10.375" style="327" customWidth="1"/>
    <col min="4" max="4" width="48.25" style="317" customWidth="1"/>
    <col min="5" max="5" width="8.75" style="317" customWidth="1"/>
    <col min="6" max="6" width="18.125" style="317" customWidth="1"/>
    <col min="7" max="7" width="5.625" style="317" customWidth="1"/>
    <col min="8" max="11" width="3.875" style="317" customWidth="1"/>
    <col min="12" max="12" width="15.625" style="317" customWidth="1"/>
    <col min="13" max="13" width="2.5" style="317" hidden="1" customWidth="1"/>
    <col min="14" max="16384" width="9" style="317"/>
  </cols>
  <sheetData>
    <row r="1" spans="1:16" hidden="1" x14ac:dyDescent="0.25">
      <c r="A1" s="313" t="s">
        <v>0</v>
      </c>
      <c r="B1" s="314" t="s">
        <v>1</v>
      </c>
      <c r="C1" s="314" t="s">
        <v>2</v>
      </c>
      <c r="D1" s="315" t="s">
        <v>3</v>
      </c>
      <c r="E1" s="315"/>
      <c r="F1" s="315" t="s">
        <v>4</v>
      </c>
      <c r="G1" s="315" t="s">
        <v>5</v>
      </c>
      <c r="H1" s="316" t="s">
        <v>6</v>
      </c>
      <c r="I1" s="316"/>
      <c r="J1" s="315"/>
      <c r="K1" s="315"/>
      <c r="L1" s="315" t="s">
        <v>7</v>
      </c>
    </row>
    <row r="2" spans="1:16" hidden="1" x14ac:dyDescent="0.25">
      <c r="A2" s="318"/>
      <c r="B2" s="319">
        <v>2</v>
      </c>
      <c r="C2" s="319">
        <v>3</v>
      </c>
      <c r="D2" s="319">
        <v>4</v>
      </c>
      <c r="E2" s="319"/>
      <c r="F2" s="319">
        <v>6</v>
      </c>
      <c r="G2" s="319">
        <v>5</v>
      </c>
      <c r="H2" s="319">
        <v>7</v>
      </c>
      <c r="I2" s="319">
        <v>8</v>
      </c>
      <c r="J2" s="319">
        <v>9</v>
      </c>
      <c r="K2" s="319">
        <v>10</v>
      </c>
      <c r="L2" s="320"/>
    </row>
    <row r="3" spans="1:16" ht="39.950000000000003" customHeight="1" x14ac:dyDescent="0.25">
      <c r="A3" s="423" t="s">
        <v>8</v>
      </c>
      <c r="B3" s="423"/>
      <c r="C3" s="423"/>
      <c r="D3" s="423"/>
      <c r="E3" s="321"/>
      <c r="F3" s="321"/>
      <c r="G3" s="321"/>
      <c r="H3" s="321"/>
      <c r="I3" s="321"/>
      <c r="J3" s="321"/>
      <c r="K3" s="321"/>
      <c r="L3" s="321"/>
    </row>
    <row r="4" spans="1:16" ht="25.5" x14ac:dyDescent="0.25">
      <c r="A4" s="322"/>
      <c r="B4" s="323"/>
      <c r="C4" s="323"/>
      <c r="D4" s="324" t="s">
        <v>9</v>
      </c>
      <c r="E4" s="325"/>
      <c r="F4" s="323"/>
      <c r="G4" s="326"/>
      <c r="H4" s="326"/>
      <c r="I4" s="326"/>
      <c r="J4" s="326"/>
      <c r="K4" s="326"/>
      <c r="L4" s="326"/>
    </row>
    <row r="5" spans="1:16" ht="20.100000000000001" customHeight="1" x14ac:dyDescent="0.25">
      <c r="B5" s="328"/>
      <c r="C5" s="329" t="s">
        <v>10</v>
      </c>
      <c r="D5" s="430" t="s">
        <v>606</v>
      </c>
      <c r="E5" s="331"/>
      <c r="F5" s="328" t="s">
        <v>12</v>
      </c>
      <c r="G5" s="332" t="str">
        <f>IFERROR(CONCATENATE(VLOOKUP(D5,TableCourses[],2,FALSE)," ",VLOOKUP(D5,TableCourses[],3,FALSE)),"")</f>
        <v>OG-EDUC v.1</v>
      </c>
      <c r="H5" s="331"/>
      <c r="I5" s="331"/>
      <c r="J5" s="331"/>
      <c r="K5" s="331"/>
      <c r="L5" s="333"/>
    </row>
    <row r="6" spans="1:16" ht="20.100000000000001" customHeight="1" x14ac:dyDescent="0.25">
      <c r="B6" s="328"/>
      <c r="C6" s="329" t="s">
        <v>13</v>
      </c>
      <c r="D6" s="330" t="s">
        <v>191</v>
      </c>
      <c r="E6" s="331"/>
      <c r="F6" s="328" t="s">
        <v>15</v>
      </c>
      <c r="G6" s="331" t="str">
        <f>IFERROR(CONCATENATE(VLOOKUP(D6,TableMajorsGradDip[],2,FALSE)," ",VLOOKUP(D6,TableMajorsGradDip[],3,FALSE)),"")</f>
        <v>OUMP-EDUSC v.1</v>
      </c>
      <c r="H6" s="331"/>
      <c r="I6" s="331"/>
      <c r="J6" s="331"/>
      <c r="K6" s="331"/>
      <c r="L6" s="334" t="str">
        <f>CONCATENATE(VLOOKUP(D6,TableMajorsGradDip[],2,FALSE),VLOOKUP(D8,TableStudyPeriods[],2,FALSE))</f>
        <v>OUMP-EDUSCSP1</v>
      </c>
    </row>
    <row r="7" spans="1:16" ht="20.100000000000001" customHeight="1" x14ac:dyDescent="0.25">
      <c r="B7" s="328"/>
      <c r="C7" s="329" t="s">
        <v>247</v>
      </c>
      <c r="D7" s="421" t="s">
        <v>248</v>
      </c>
      <c r="E7" s="331"/>
      <c r="F7" s="328"/>
      <c r="G7" s="331"/>
      <c r="H7" s="331"/>
      <c r="I7" s="331"/>
      <c r="J7" s="331"/>
      <c r="K7" s="331"/>
      <c r="L7" s="334" t="e">
        <f>VLOOKUP(D7,TableFirstTeachingArea[],2,FALSE)</f>
        <v>#N/A</v>
      </c>
    </row>
    <row r="8" spans="1:16" ht="20.100000000000001" customHeight="1" x14ac:dyDescent="0.25">
      <c r="A8" s="335"/>
      <c r="B8" s="336"/>
      <c r="C8" s="329" t="s">
        <v>16</v>
      </c>
      <c r="D8" s="337" t="s">
        <v>140</v>
      </c>
      <c r="E8" s="338"/>
      <c r="F8" s="328" t="s">
        <v>18</v>
      </c>
      <c r="G8" s="331" t="str">
        <f>IFERROR(VLOOKUP($D$5,TableCourses[],4,FALSE),"")</f>
        <v>200 credit points required</v>
      </c>
      <c r="H8" s="339"/>
      <c r="I8" s="339"/>
      <c r="J8" s="339"/>
      <c r="K8" s="339"/>
      <c r="L8" s="339"/>
    </row>
    <row r="9" spans="1:16" s="347" customFormat="1" ht="14.1" customHeight="1" x14ac:dyDescent="0.25">
      <c r="A9" s="340"/>
      <c r="B9" s="340"/>
      <c r="C9" s="340"/>
      <c r="D9" s="341"/>
      <c r="E9" s="342"/>
      <c r="F9" s="340"/>
      <c r="G9" s="340"/>
      <c r="H9" s="343" t="s">
        <v>19</v>
      </c>
      <c r="I9" s="344"/>
      <c r="J9" s="344"/>
      <c r="K9" s="345"/>
      <c r="L9" s="342"/>
      <c r="M9" s="346"/>
      <c r="N9" s="346"/>
      <c r="O9" s="346"/>
    </row>
    <row r="10" spans="1:16" s="347" customFormat="1" ht="21" x14ac:dyDescent="0.25">
      <c r="A10" s="340" t="s">
        <v>20</v>
      </c>
      <c r="B10" s="340"/>
      <c r="C10" s="348" t="s">
        <v>21</v>
      </c>
      <c r="D10" s="341" t="s">
        <v>3</v>
      </c>
      <c r="E10" s="348" t="s">
        <v>22</v>
      </c>
      <c r="F10" s="340" t="s">
        <v>23</v>
      </c>
      <c r="G10" s="340" t="s">
        <v>24</v>
      </c>
      <c r="H10" s="349" t="s">
        <v>25</v>
      </c>
      <c r="I10" s="350" t="s">
        <v>26</v>
      </c>
      <c r="J10" s="350" t="s">
        <v>27</v>
      </c>
      <c r="K10" s="351" t="s">
        <v>28</v>
      </c>
      <c r="L10" s="340" t="s">
        <v>29</v>
      </c>
      <c r="M10" s="346"/>
      <c r="N10" s="346"/>
      <c r="O10" s="346"/>
    </row>
    <row r="11" spans="1:16" s="360" customFormat="1" ht="21" customHeight="1" x14ac:dyDescent="0.15">
      <c r="A11" s="352" t="str">
        <f>IFERROR(IF(HLOOKUP($L$6,RangeUnitsetsOGEDUCAcc,M11,FALSE)=0,"",HLOOKUP($L$6,RangeUnitsetsOGEDUCAcc,M11,FALSE)),"")</f>
        <v>EDSC5037</v>
      </c>
      <c r="B11" s="353">
        <f>IFERROR(IF(VLOOKUP($A11,TableHandbook[],2,FALSE)=0,"",VLOOKUP($A11,TableHandbook[],2,FALSE)),"")</f>
        <v>1</v>
      </c>
      <c r="C11" s="353" t="str">
        <f>IFERROR(IF(VLOOKUP($A11,TableHandbook[],3,FALSE)=0,"",VLOOKUP($A11,TableHandbook[],3,FALSE)),"")</f>
        <v>MTS500</v>
      </c>
      <c r="D11" s="354" t="str">
        <f>IFERROR(IF(VLOOKUP($A11,TableHandbook[],4,FALSE)=0,"",VLOOKUP($A11,TableHandbook[],4,FALSE)),"")</f>
        <v>Teaching in the Secondary School</v>
      </c>
      <c r="E11" s="353" t="str">
        <f>IF(OR(A11="",A11="--"),"",VLOOKUP($D$8,TableStudyPeriods[],2,FALSE))</f>
        <v>SP1</v>
      </c>
      <c r="F11" s="355" t="str">
        <f>IFERROR(IF(VLOOKUP($A11,TableHandbook[],6,FALSE)=0,"",VLOOKUP($A11,TableHandbook[],6,FALSE)),"")</f>
        <v>Nil</v>
      </c>
      <c r="G11" s="353">
        <f>IFERROR(IF(VLOOKUP($A11,TableHandbook[],5,FALSE)=0,"",VLOOKUP($A11,TableHandbook[],5,FALSE)),"")</f>
        <v>25</v>
      </c>
      <c r="H11" s="356" t="str">
        <f>IFERROR(VLOOKUP($A11,TableHandbook[],H$2,FALSE),"")</f>
        <v>Y</v>
      </c>
      <c r="I11" s="353" t="str">
        <f>IFERROR(VLOOKUP($A11,TableHandbook[],I$2,FALSE),"")</f>
        <v>Y</v>
      </c>
      <c r="J11" s="353" t="str">
        <f>IFERROR(VLOOKUP($A11,TableHandbook[],J$2,FALSE),"")</f>
        <v/>
      </c>
      <c r="K11" s="357" t="str">
        <f>IFERROR(VLOOKUP($A11,TableHandbook[],K$2,FALSE),"")</f>
        <v/>
      </c>
      <c r="L11" s="312"/>
      <c r="M11" s="358">
        <v>2</v>
      </c>
      <c r="N11" s="359"/>
      <c r="O11" s="359"/>
    </row>
    <row r="12" spans="1:16" s="360" customFormat="1" ht="21" customHeight="1" x14ac:dyDescent="0.15">
      <c r="A12" s="352" t="str">
        <f>IFERROR(IF(HLOOKUP($L$6,RangeUnitsetsOGEDUCAcc,M12,FALSE)=0,"",HLOOKUP($L$6,RangeUnitsetsOGEDUCAcc,M12,FALSE)),"")</f>
        <v>EDSC5039</v>
      </c>
      <c r="B12" s="353">
        <f>IFERROR(IF(VLOOKUP($A12,TableHandbook[],2,FALSE)=0,"",VLOOKUP($A12,TableHandbook[],2,FALSE)),"")</f>
        <v>1</v>
      </c>
      <c r="C12" s="353" t="str">
        <f>IFERROR(IF(VLOOKUP($A12,TableHandbook[],3,FALSE)=0,"",VLOOKUP($A12,TableHandbook[],3,FALSE)),"")</f>
        <v>MTS502</v>
      </c>
      <c r="D12" s="354" t="str">
        <f>IFERROR(IF(VLOOKUP($A12,TableHandbook[],4,FALSE)=0,"",VLOOKUP($A12,TableHandbook[],4,FALSE)),"")</f>
        <v>Secondary Professional Experience 1: Planning</v>
      </c>
      <c r="E12" s="353" t="str">
        <f>IF(A12="","",E11)</f>
        <v>SP1</v>
      </c>
      <c r="F12" s="355" t="str">
        <f>IFERROR(IF(VLOOKUP($A12,TableHandbook[],6,FALSE)=0,"",VLOOKUP($A12,TableHandbook[],6,FALSE)),"")</f>
        <v>Nil</v>
      </c>
      <c r="G12" s="353">
        <f>IFERROR(IF(VLOOKUP($A12,TableHandbook[],5,FALSE)=0,"",VLOOKUP($A12,TableHandbook[],5,FALSE)),"")</f>
        <v>25</v>
      </c>
      <c r="H12" s="356" t="str">
        <f>IFERROR(VLOOKUP($A12,TableHandbook[],H$2,FALSE),"")</f>
        <v>Y</v>
      </c>
      <c r="I12" s="353" t="str">
        <f>IFERROR(VLOOKUP($A12,TableHandbook[],I$2,FALSE),"")</f>
        <v>Y</v>
      </c>
      <c r="J12" s="353" t="str">
        <f>IFERROR(VLOOKUP($A12,TableHandbook[],J$2,FALSE),"")</f>
        <v/>
      </c>
      <c r="K12" s="357" t="str">
        <f>IFERROR(VLOOKUP($A12,TableHandbook[],K$2,FALSE),"")</f>
        <v/>
      </c>
      <c r="L12" s="312"/>
      <c r="M12" s="358">
        <v>3</v>
      </c>
      <c r="N12" s="359"/>
      <c r="O12" s="359"/>
    </row>
    <row r="13" spans="1:16" s="360" customFormat="1" ht="21" customHeight="1" x14ac:dyDescent="0.15">
      <c r="A13" s="352" t="str">
        <f>IFERROR(IF(HLOOKUP($L$6,RangeUnitsetsOGEDUCAcc,M13,FALSE)=0,"",HLOOKUP($L$6,RangeUnitsetsOGEDUCAcc,M13,FALSE)),"")</f>
        <v>EDUC5014</v>
      </c>
      <c r="B13" s="353">
        <f>IFERROR(IF(VLOOKUP($A13,TableHandbook[],2,FALSE)=0,"",VLOOKUP($A13,TableHandbook[],2,FALSE)),"")</f>
        <v>1</v>
      </c>
      <c r="C13" s="353" t="str">
        <f>IFERROR(IF(VLOOKUP($A13,TableHandbook[],3,FALSE)=0,"",VLOOKUP($A13,TableHandbook[],3,FALSE)),"")</f>
        <v>MTPS501</v>
      </c>
      <c r="D13" s="354" t="str">
        <f>IFERROR(IF(VLOOKUP($A13,TableHandbook[],4,FALSE)=0,"",VLOOKUP($A13,TableHandbook[],4,FALSE)),"")</f>
        <v>Pedagogies for Diversity</v>
      </c>
      <c r="E13" s="353" t="str">
        <f>IF(A13="","",E12)</f>
        <v>SP1</v>
      </c>
      <c r="F13" s="355" t="str">
        <f>IFERROR(IF(VLOOKUP($A13,TableHandbook[],6,FALSE)=0,"",VLOOKUP($A13,TableHandbook[],6,FALSE)),"")</f>
        <v>Nil</v>
      </c>
      <c r="G13" s="353">
        <f>IFERROR(IF(VLOOKUP($A13,TableHandbook[],5,FALSE)=0,"",VLOOKUP($A13,TableHandbook[],5,FALSE)),"")</f>
        <v>25</v>
      </c>
      <c r="H13" s="356" t="str">
        <f>IFERROR(VLOOKUP($A13,TableHandbook[],H$2,FALSE),"")</f>
        <v>Y</v>
      </c>
      <c r="I13" s="353" t="str">
        <f>IFERROR(VLOOKUP($A13,TableHandbook[],I$2,FALSE),"")</f>
        <v/>
      </c>
      <c r="J13" s="353" t="str">
        <f>IFERROR(VLOOKUP($A13,TableHandbook[],J$2,FALSE),"")</f>
        <v>Y</v>
      </c>
      <c r="K13" s="357" t="str">
        <f>IFERROR(VLOOKUP($A13,TableHandbook[],K$2,FALSE),"")</f>
        <v/>
      </c>
      <c r="L13" s="312"/>
      <c r="M13" s="358">
        <v>4</v>
      </c>
      <c r="N13" s="359"/>
      <c r="O13" s="359"/>
    </row>
    <row r="14" spans="1:16" s="360" customFormat="1" ht="6" customHeight="1" x14ac:dyDescent="0.15">
      <c r="A14" s="361"/>
      <c r="B14" s="362"/>
      <c r="C14" s="362"/>
      <c r="D14" s="363"/>
      <c r="E14" s="362"/>
      <c r="F14" s="364"/>
      <c r="G14" s="362"/>
      <c r="H14" s="365"/>
      <c r="I14" s="366"/>
      <c r="J14" s="366"/>
      <c r="K14" s="367"/>
      <c r="L14" s="291"/>
      <c r="M14" s="358"/>
      <c r="N14" s="359"/>
      <c r="O14" s="359"/>
      <c r="P14" s="359"/>
    </row>
    <row r="15" spans="1:16" s="360" customFormat="1" ht="21" customHeight="1" x14ac:dyDescent="0.15">
      <c r="A15" s="352" t="str">
        <f>IFERROR(IF(HLOOKUP($L$6,RangeUnitsetsOGEDUCAcc,M15,FALSE)=0,"",HLOOKUP($L$6,RangeUnitsetsOGEDUCAcc,M15,FALSE)),"")</f>
        <v>EDSC5051</v>
      </c>
      <c r="B15" s="353">
        <f>IFERROR(IF(VLOOKUP($A15,TableHandbook[],2,FALSE)=0,"",VLOOKUP($A15,TableHandbook[],2,FALSE)),"")</f>
        <v>1</v>
      </c>
      <c r="C15" s="353" t="str">
        <f>IFERROR(IF(VLOOKUP($A15,TableHandbook[],3,FALSE)=0,"",VLOOKUP($A15,TableHandbook[],3,FALSE)),"")</f>
        <v>MTS504</v>
      </c>
      <c r="D15" s="354" t="str">
        <f>IFERROR(IF(VLOOKUP($A15,TableHandbook[],4,FALSE)=0,"",VLOOKUP($A15,TableHandbook[],4,FALSE)),"")</f>
        <v>Secondary Professional Experience 2: Assessment and Reporting</v>
      </c>
      <c r="E15" s="353" t="str">
        <f>IF(OR(A15="",A15="--"),"",VLOOKUP($D$8,TableStudyPeriods[],3,FALSE))</f>
        <v>SP2</v>
      </c>
      <c r="F15" s="355" t="str">
        <f>IFERROR(IF(VLOOKUP($A15,TableHandbook[],6,FALSE)=0,"",VLOOKUP($A15,TableHandbook[],6,FALSE)),"")</f>
        <v>MTS502</v>
      </c>
      <c r="G15" s="353">
        <f>IFERROR(IF(VLOOKUP($A15,TableHandbook[],5,FALSE)=0,"",VLOOKUP($A15,TableHandbook[],5,FALSE)),"")</f>
        <v>25</v>
      </c>
      <c r="H15" s="356" t="str">
        <f>IFERROR(VLOOKUP($A15,TableHandbook[],H$2,FALSE),"")</f>
        <v/>
      </c>
      <c r="I15" s="353" t="str">
        <f>IFERROR(VLOOKUP($A15,TableHandbook[],I$2,FALSE),"")</f>
        <v>Y</v>
      </c>
      <c r="J15" s="353" t="str">
        <f>IFERROR(VLOOKUP($A15,TableHandbook[],J$2,FALSE),"")</f>
        <v>Y</v>
      </c>
      <c r="K15" s="357" t="str">
        <f>IFERROR(VLOOKUP($A15,TableHandbook[],K$2,FALSE),"")</f>
        <v/>
      </c>
      <c r="L15" s="312"/>
      <c r="M15" s="368">
        <v>5</v>
      </c>
      <c r="N15" s="359"/>
      <c r="O15" s="359"/>
    </row>
    <row r="16" spans="1:16" s="360" customFormat="1" ht="21" customHeight="1" x14ac:dyDescent="0.15">
      <c r="A16" s="352" t="str">
        <f>IFERROR(IF(HLOOKUP($L$6,RangeUnitsetsOGEDUCAcc,M16,FALSE)=0,"",HLOOKUP($L$6,RangeUnitsetsOGEDUCAcc,M16,FALSE)),"")</f>
        <v>EDUC5017</v>
      </c>
      <c r="B16" s="353">
        <f>IFERROR(IF(VLOOKUP($A16,TableHandbook[],2,FALSE)=0,"",VLOOKUP($A16,TableHandbook[],2,FALSE)),"")</f>
        <v>1</v>
      </c>
      <c r="C16" s="353" t="str">
        <f>IFERROR(IF(VLOOKUP($A16,TableHandbook[],3,FALSE)=0,"",VLOOKUP($A16,TableHandbook[],3,FALSE)),"")</f>
        <v>MTPS504</v>
      </c>
      <c r="D16" s="354" t="str">
        <f>IFERROR(IF(VLOOKUP($A16,TableHandbook[],4,FALSE)=0,"",VLOOKUP($A16,TableHandbook[],4,FALSE)),"")</f>
        <v>Creative Technologies</v>
      </c>
      <c r="E16" s="353" t="str">
        <f>IF(A16="","",E15)</f>
        <v>SP2</v>
      </c>
      <c r="F16" s="355" t="str">
        <f>IFERROR(IF(VLOOKUP($A16,TableHandbook[],6,FALSE)=0,"",VLOOKUP($A16,TableHandbook[],6,FALSE)),"")</f>
        <v>Nil</v>
      </c>
      <c r="G16" s="353">
        <f>IFERROR(IF(VLOOKUP($A16,TableHandbook[],5,FALSE)=0,"",VLOOKUP($A16,TableHandbook[],5,FALSE)),"")</f>
        <v>25</v>
      </c>
      <c r="H16" s="356" t="str">
        <f>IFERROR(VLOOKUP($A16,TableHandbook[],H$2,FALSE),"")</f>
        <v/>
      </c>
      <c r="I16" s="353" t="str">
        <f>IFERROR(VLOOKUP($A16,TableHandbook[],I$2,FALSE),"")</f>
        <v>Y</v>
      </c>
      <c r="J16" s="353" t="str">
        <f>IFERROR(VLOOKUP($A16,TableHandbook[],J$2,FALSE),"")</f>
        <v>Y</v>
      </c>
      <c r="K16" s="357" t="str">
        <f>IFERROR(VLOOKUP($A16,TableHandbook[],K$2,FALSE),"")</f>
        <v>Y</v>
      </c>
      <c r="L16" s="312"/>
      <c r="M16" s="358">
        <v>6</v>
      </c>
      <c r="N16" s="359"/>
      <c r="O16" s="359"/>
    </row>
    <row r="17" spans="1:16" s="376" customFormat="1" ht="21" customHeight="1" x14ac:dyDescent="0.15">
      <c r="A17" s="369" t="str">
        <f>IFERROR(IF(HLOOKUP($L$6,RangeUnitsetsOGEDUCAcc,M17,FALSE)=0,"",HLOOKUP($L$6,RangeUnitsetsOGEDUCAcc,M17,FALSE)),"")</f>
        <v>GDTAL</v>
      </c>
      <c r="B17" s="370" t="str">
        <f>IFERROR(IF(VLOOKUP($A17,TableHandbook[],2,FALSE)=0,"",VLOOKUP($A17,TableHandbook[],2,FALSE)),"")</f>
        <v/>
      </c>
      <c r="C17" s="370" t="str">
        <f>IFERROR(IF(VLOOKUP($A17,TableHandbook[],3,FALSE)=0,"",VLOOKUP($A17,TableHandbook[],3,FALSE)),"")</f>
        <v/>
      </c>
      <c r="D17" s="371" t="str">
        <f>IFERROR(IF(VLOOKUP($A17,TableHandbook[],4,FALSE)=0,"",VLOOKUP($A17,TableHandbook[],4,FALSE)),"")</f>
        <v>Teaching Area LOWER subject (see below)</v>
      </c>
      <c r="E17" s="370" t="str">
        <f>IF(A17="","",E16)</f>
        <v>SP2</v>
      </c>
      <c r="F17" s="372" t="str">
        <f>IFERROR(IF(VLOOKUP($A17,TableHandbook[],6,FALSE)=0,"",VLOOKUP($A17,TableHandbook[],6,FALSE)),"")</f>
        <v>See below</v>
      </c>
      <c r="G17" s="370">
        <f>IFERROR(IF(VLOOKUP($A17,TableHandbook[],5,FALSE)=0,"",VLOOKUP($A17,TableHandbook[],5,FALSE)),"")</f>
        <v>25</v>
      </c>
      <c r="H17" s="373" t="str">
        <f>IFERROR(VLOOKUP($A17,TableHandbook[],H$2,FALSE),"")</f>
        <v/>
      </c>
      <c r="I17" s="370" t="str">
        <f>IFERROR(VLOOKUP($A17,TableHandbook[],I$2,FALSE),"")</f>
        <v/>
      </c>
      <c r="J17" s="370" t="str">
        <f>IFERROR(VLOOKUP($A17,TableHandbook[],J$2,FALSE),"")</f>
        <v/>
      </c>
      <c r="K17" s="374" t="str">
        <f>IFERROR(VLOOKUP($A17,TableHandbook[],K$2,FALSE),"")</f>
        <v/>
      </c>
      <c r="L17" s="299"/>
      <c r="M17" s="358">
        <v>7</v>
      </c>
      <c r="N17" s="375"/>
      <c r="O17" s="375"/>
    </row>
    <row r="18" spans="1:16" s="360" customFormat="1" ht="6" customHeight="1" x14ac:dyDescent="0.15">
      <c r="A18" s="361"/>
      <c r="B18" s="362"/>
      <c r="C18" s="362"/>
      <c r="D18" s="363"/>
      <c r="E18" s="362"/>
      <c r="F18" s="364"/>
      <c r="G18" s="362"/>
      <c r="H18" s="365"/>
      <c r="I18" s="366"/>
      <c r="J18" s="366"/>
      <c r="K18" s="367"/>
      <c r="L18" s="291"/>
      <c r="M18" s="358"/>
      <c r="N18" s="359"/>
      <c r="O18" s="359"/>
      <c r="P18" s="359"/>
    </row>
    <row r="19" spans="1:16" s="376" customFormat="1" ht="21" customHeight="1" x14ac:dyDescent="0.15">
      <c r="A19" s="352" t="str">
        <f>IFERROR(IF(HLOOKUP($L$6,RangeUnitsetsOGEDUCAcc,M19,FALSE)=0,"",HLOOKUP($L$6,RangeUnitsetsOGEDUCAcc,M19,FALSE)),"")</f>
        <v>EDUC6063</v>
      </c>
      <c r="B19" s="353">
        <f>IFERROR(IF(VLOOKUP($A19,TableHandbook[],2,FALSE)=0,"",VLOOKUP($A19,TableHandbook[],2,FALSE)),"")</f>
        <v>1</v>
      </c>
      <c r="C19" s="353" t="str">
        <f>IFERROR(IF(VLOOKUP($A19,TableHandbook[],3,FALSE)=0,"",VLOOKUP($A19,TableHandbook[],3,FALSE)),"")</f>
        <v>MTC600</v>
      </c>
      <c r="D19" s="354" t="str">
        <f>IFERROR(IF(VLOOKUP($A19,TableHandbook[],4,FALSE)=0,"",VLOOKUP($A19,TableHandbook[],4,FALSE)),"")</f>
        <v>Professional Experience 3: Using Data to Inform Teaching and Learning</v>
      </c>
      <c r="E19" s="353" t="str">
        <f>IF(OR(A19="",A19="--"),"",VLOOKUP($D$8,TableStudyPeriods[],4,FALSE))</f>
        <v>SP3</v>
      </c>
      <c r="F19" s="355" t="str">
        <f>IFERROR(IF(VLOOKUP($A19,TableHandbook[],6,FALSE)=0,"",VLOOKUP($A19,TableHandbook[],6,FALSE)),"")</f>
        <v>MTEC502 or MTP506 or MTS504</v>
      </c>
      <c r="G19" s="353">
        <f>IFERROR(IF(VLOOKUP($A19,TableHandbook[],5,FALSE)=0,"",VLOOKUP($A19,TableHandbook[],5,FALSE)),"")</f>
        <v>25</v>
      </c>
      <c r="H19" s="356" t="str">
        <f>IFERROR(VLOOKUP($A19,TableHandbook[],H$2,FALSE),"")</f>
        <v>Y</v>
      </c>
      <c r="I19" s="353" t="str">
        <f>IFERROR(VLOOKUP($A19,TableHandbook[],I$2,FALSE),"")</f>
        <v/>
      </c>
      <c r="J19" s="353" t="str">
        <f>IFERROR(VLOOKUP($A19,TableHandbook[],J$2,FALSE),"")</f>
        <v>Y</v>
      </c>
      <c r="K19" s="357" t="str">
        <f>IFERROR(VLOOKUP($A19,TableHandbook[],K$2,FALSE),"")</f>
        <v/>
      </c>
      <c r="L19" s="312"/>
      <c r="M19" s="358">
        <v>8</v>
      </c>
      <c r="N19" s="375"/>
      <c r="O19" s="375"/>
    </row>
    <row r="20" spans="1:16" s="376" customFormat="1" ht="21" customHeight="1" x14ac:dyDescent="0.15">
      <c r="A20" s="369" t="str">
        <f>IFERROR(IF(HLOOKUP($L$6,RangeUnitsetsOGEDUCAcc,M20,FALSE)=0,"",HLOOKUP($L$6,RangeUnitsetsOGEDUCAcc,M20,FALSE)),"")</f>
        <v>GDTAS</v>
      </c>
      <c r="B20" s="370" t="str">
        <f>IFERROR(IF(VLOOKUP($A20,TableHandbook[],2,FALSE)=0,"",VLOOKUP($A20,TableHandbook[],2,FALSE)),"")</f>
        <v/>
      </c>
      <c r="C20" s="370" t="str">
        <f>IFERROR(IF(VLOOKUP($A20,TableHandbook[],3,FALSE)=0,"",VLOOKUP($A20,TableHandbook[],3,FALSE)),"")</f>
        <v/>
      </c>
      <c r="D20" s="377" t="str">
        <f>IFERROR(IF(VLOOKUP($A20,TableHandbook[],4,FALSE)=0,"",VLOOKUP($A20,TableHandbook[],4,FALSE)),"")</f>
        <v>Teaching Area SENIOR subject (see below)</v>
      </c>
      <c r="E20" s="370" t="str">
        <f>IF(A20="","",E19)</f>
        <v>SP3</v>
      </c>
      <c r="F20" s="372" t="str">
        <f>IFERROR(IF(VLOOKUP($A20,TableHandbook[],6,FALSE)=0,"",VLOOKUP($A20,TableHandbook[],6,FALSE)),"")</f>
        <v>See below</v>
      </c>
      <c r="G20" s="370">
        <f>IFERROR(IF(VLOOKUP($A20,TableHandbook[],5,FALSE)=0,"",VLOOKUP($A20,TableHandbook[],5,FALSE)),"")</f>
        <v>25</v>
      </c>
      <c r="H20" s="373" t="str">
        <f>IFERROR(VLOOKUP($A20,TableHandbook[],H$2,FALSE),"")</f>
        <v/>
      </c>
      <c r="I20" s="370" t="str">
        <f>IFERROR(VLOOKUP($A20,TableHandbook[],I$2,FALSE),"")</f>
        <v/>
      </c>
      <c r="J20" s="370" t="str">
        <f>IFERROR(VLOOKUP($A20,TableHandbook[],J$2,FALSE),"")</f>
        <v/>
      </c>
      <c r="K20" s="374" t="str">
        <f>IFERROR(VLOOKUP($A20,TableHandbook[],K$2,FALSE),"")</f>
        <v/>
      </c>
      <c r="L20" s="299"/>
      <c r="M20" s="368">
        <v>9</v>
      </c>
      <c r="N20" s="375"/>
      <c r="O20" s="375"/>
    </row>
    <row r="21" spans="1:16" ht="16.5" customHeight="1" x14ac:dyDescent="0.25">
      <c r="A21" s="378"/>
      <c r="B21" s="378"/>
      <c r="C21" s="378"/>
      <c r="D21" s="379"/>
      <c r="E21" s="379"/>
      <c r="F21" s="380"/>
      <c r="G21" s="380"/>
      <c r="H21" s="380"/>
      <c r="I21" s="380"/>
      <c r="J21" s="380"/>
      <c r="K21" s="380"/>
      <c r="L21" s="380"/>
    </row>
    <row r="22" spans="1:16" s="390" customFormat="1" ht="25.5" x14ac:dyDescent="0.25">
      <c r="A22" s="381" t="s">
        <v>246</v>
      </c>
      <c r="B22" s="382"/>
      <c r="C22" s="382"/>
      <c r="D22" s="383"/>
      <c r="E22" s="384"/>
      <c r="F22" s="384"/>
      <c r="G22" s="384"/>
      <c r="H22" s="385" t="s">
        <v>19</v>
      </c>
      <c r="I22" s="386"/>
      <c r="J22" s="387"/>
      <c r="K22" s="388"/>
      <c r="L22" s="389"/>
    </row>
    <row r="23" spans="1:16" ht="21" customHeight="1" x14ac:dyDescent="0.25">
      <c r="A23" s="340"/>
      <c r="B23" s="340"/>
      <c r="C23" s="348" t="s">
        <v>21</v>
      </c>
      <c r="D23" s="341" t="s">
        <v>3</v>
      </c>
      <c r="E23" s="348"/>
      <c r="F23" s="340" t="s">
        <v>23</v>
      </c>
      <c r="G23" s="340" t="s">
        <v>24</v>
      </c>
      <c r="H23" s="349" t="s">
        <v>25</v>
      </c>
      <c r="I23" s="350" t="s">
        <v>26</v>
      </c>
      <c r="J23" s="350" t="s">
        <v>27</v>
      </c>
      <c r="K23" s="351" t="s">
        <v>28</v>
      </c>
      <c r="L23" s="340" t="s">
        <v>29</v>
      </c>
      <c r="M23" s="391"/>
    </row>
    <row r="24" spans="1:16" ht="21" customHeight="1" x14ac:dyDescent="0.25">
      <c r="A24" s="392"/>
      <c r="B24" s="393"/>
      <c r="C24" s="394"/>
      <c r="D24" s="395" t="s">
        <v>249</v>
      </c>
      <c r="E24" s="396"/>
      <c r="F24" s="397"/>
      <c r="G24" s="397"/>
      <c r="H24" s="373"/>
      <c r="I24" s="370"/>
      <c r="J24" s="370"/>
      <c r="K24" s="374"/>
      <c r="L24" s="299"/>
      <c r="M24" s="398">
        <v>2</v>
      </c>
    </row>
    <row r="25" spans="1:16" ht="21" customHeight="1" x14ac:dyDescent="0.25">
      <c r="A25" s="399" t="str">
        <f>IFERROR(IF(HLOOKUP($L$7,RangeTeachingAreas,M25,FALSE)=0,"",HLOOKUP($L$7,RangeTeachingAreas,M25,FALSE)),"")</f>
        <v/>
      </c>
      <c r="B25" s="400" t="str">
        <f>IFERROR(IF(VLOOKUP($A25,TableHandbook[],2,FALSE)=0,"",VLOOKUP($A25,TableHandbook[],2,FALSE)),"")</f>
        <v/>
      </c>
      <c r="C25" s="401" t="str">
        <f>IFERROR(IF(VLOOKUP($A25,TableHandbook[],3,FALSE)=0,"",VLOOKUP($A25,TableHandbook[],3,FALSE)),"")</f>
        <v/>
      </c>
      <c r="D25" s="402" t="str">
        <f>IFERROR(IF(VLOOKUP($A25,TableHandbook[],4,FALSE)=0,"",VLOOKUP($A25,TableHandbook[],4,FALSE)),"")</f>
        <v/>
      </c>
      <c r="E25" s="403"/>
      <c r="F25" s="404" t="str">
        <f>IFERROR(IF(VLOOKUP($A25,TableHandbook[],6,FALSE)=0,"",VLOOKUP($A25,TableHandbook[],6,FALSE)),"")</f>
        <v/>
      </c>
      <c r="G25" s="404" t="str">
        <f>IFERROR(IF(VLOOKUP($A25,TableHandbook[],5,FALSE)=0,"",VLOOKUP($A25,TableHandbook[],5,FALSE)),"")</f>
        <v/>
      </c>
      <c r="H25" s="405" t="str">
        <f>IFERROR(VLOOKUP($A25,TableHandbook[],H$2,FALSE),"")</f>
        <v/>
      </c>
      <c r="I25" s="406" t="str">
        <f>IFERROR(VLOOKUP($A25,TableHandbook[],I$2,FALSE),"")</f>
        <v/>
      </c>
      <c r="J25" s="406" t="str">
        <f>IFERROR(VLOOKUP($A25,TableHandbook[],J$2,FALSE),"")</f>
        <v/>
      </c>
      <c r="K25" s="407" t="str">
        <f>IFERROR(VLOOKUP($A25,TableHandbook[],K$2,FALSE),"")</f>
        <v/>
      </c>
      <c r="L25" s="67"/>
      <c r="M25" s="391">
        <v>3</v>
      </c>
    </row>
    <row r="26" spans="1:16" ht="21" customHeight="1" x14ac:dyDescent="0.25">
      <c r="A26" s="399" t="str">
        <f>IFERROR(IF(HLOOKUP($L$7,RangeTeachingAreas,M26,FALSE)=0,"",HLOOKUP($L$7,RangeTeachingAreas,M26,FALSE)),"")</f>
        <v/>
      </c>
      <c r="B26" s="400" t="str">
        <f>IFERROR(IF(VLOOKUP($A26,TableHandbook[],2,FALSE)=0,"",VLOOKUP($A26,TableHandbook[],2,FALSE)),"")</f>
        <v/>
      </c>
      <c r="C26" s="401" t="str">
        <f>IFERROR(IF(VLOOKUP($A26,TableHandbook[],3,FALSE)=0,"",VLOOKUP($A26,TableHandbook[],3,FALSE)),"")</f>
        <v/>
      </c>
      <c r="D26" s="402" t="str">
        <f>IFERROR(IF(VLOOKUP($A26,TableHandbook[],4,FALSE)=0,"",VLOOKUP($A26,TableHandbook[],4,FALSE)),"")</f>
        <v/>
      </c>
      <c r="E26" s="403"/>
      <c r="F26" s="404" t="str">
        <f>IFERROR(IF(VLOOKUP($A26,TableHandbook[],6,FALSE)=0,"",VLOOKUP($A26,TableHandbook[],6,FALSE)),"")</f>
        <v/>
      </c>
      <c r="G26" s="404" t="str">
        <f>IFERROR(IF(VLOOKUP($A26,TableHandbook[],5,FALSE)=0,"",VLOOKUP($A26,TableHandbook[],5,FALSE)),"")</f>
        <v/>
      </c>
      <c r="H26" s="405" t="str">
        <f>IFERROR(VLOOKUP($A26,TableHandbook[],H$2,FALSE),"")</f>
        <v/>
      </c>
      <c r="I26" s="406" t="str">
        <f>IFERROR(VLOOKUP($A26,TableHandbook[],I$2,FALSE),"")</f>
        <v/>
      </c>
      <c r="J26" s="406" t="str">
        <f>IFERROR(VLOOKUP($A26,TableHandbook[],J$2,FALSE),"")</f>
        <v/>
      </c>
      <c r="K26" s="407" t="str">
        <f>IFERROR(VLOOKUP($A26,TableHandbook[],K$2,FALSE),"")</f>
        <v/>
      </c>
      <c r="L26" s="67"/>
      <c r="M26" s="391">
        <v>4</v>
      </c>
    </row>
    <row r="27" spans="1:16" ht="13.5" customHeight="1" x14ac:dyDescent="0.25">
      <c r="A27" s="408"/>
      <c r="B27" s="409"/>
      <c r="C27" s="410"/>
      <c r="D27" s="410"/>
      <c r="E27" s="411"/>
      <c r="F27" s="412"/>
      <c r="G27" s="412"/>
      <c r="H27" s="413"/>
      <c r="I27" s="413"/>
      <c r="J27" s="413"/>
      <c r="K27" s="413"/>
      <c r="L27" s="414"/>
      <c r="M27" s="391"/>
    </row>
    <row r="28" spans="1:16" ht="18" x14ac:dyDescent="0.25">
      <c r="A28" s="415" t="s">
        <v>32</v>
      </c>
      <c r="B28" s="415"/>
      <c r="C28" s="415"/>
      <c r="D28" s="415"/>
      <c r="E28" s="415"/>
      <c r="F28" s="415"/>
      <c r="G28" s="415"/>
      <c r="H28" s="415"/>
      <c r="I28" s="415"/>
      <c r="J28" s="415"/>
      <c r="K28" s="415"/>
      <c r="L28" s="415"/>
    </row>
    <row r="29" spans="1:16" s="417" customFormat="1" ht="17.25" x14ac:dyDescent="0.2">
      <c r="A29" s="39" t="s">
        <v>33</v>
      </c>
      <c r="B29" s="39"/>
      <c r="C29" s="39"/>
      <c r="D29" s="40"/>
      <c r="E29" s="40"/>
      <c r="F29" s="40"/>
      <c r="G29" s="40"/>
      <c r="H29" s="40"/>
      <c r="I29" s="40"/>
      <c r="J29" s="40"/>
      <c r="K29" s="40"/>
      <c r="L29" s="40"/>
      <c r="M29" s="416"/>
      <c r="N29" s="416"/>
      <c r="O29" s="416"/>
    </row>
    <row r="30" spans="1:16" x14ac:dyDescent="0.25">
      <c r="A30" s="418" t="s">
        <v>34</v>
      </c>
      <c r="B30" s="418"/>
      <c r="C30" s="418"/>
      <c r="D30" s="418"/>
      <c r="E30" s="419"/>
      <c r="F30" s="380"/>
      <c r="G30" s="420"/>
      <c r="H30" s="420"/>
      <c r="I30" s="420"/>
      <c r="J30" s="420"/>
      <c r="K30" s="420"/>
      <c r="L30" s="420" t="s">
        <v>35</v>
      </c>
    </row>
  </sheetData>
  <sheetProtection algorithmName="SHA-512" hashValue="2QfsJ/PkbDFDMJoAStbtekkZ+d2GepIWzUguzbEiq9nvE3Mb0ikGUHlDgIWqFPHoDUmIX3cfTrcRonrYoh09/Q==" saltValue="oa+0iwyfaJhzdBSwaWuulQ==" spinCount="100000" sheet="1" objects="1" scenarios="1" formatCells="0"/>
  <mergeCells count="1">
    <mergeCell ref="A3:D3"/>
  </mergeCells>
  <conditionalFormatting sqref="A11:M20">
    <cfRule type="expression" dxfId="286" priority="2">
      <formula>LEFT($A11,3)="STA"</formula>
    </cfRule>
    <cfRule type="expression" dxfId="285" priority="3">
      <formula>LEFT($A11,3)="FTA"</formula>
    </cfRule>
  </conditionalFormatting>
  <conditionalFormatting sqref="D6:D8">
    <cfRule type="containsText" dxfId="284" priority="4" operator="containsText" text="Choose">
      <formula>NOT(ISERROR(SEARCH("Choose",D6)))</formula>
    </cfRule>
  </conditionalFormatting>
  <conditionalFormatting sqref="D5">
    <cfRule type="containsText" dxfId="283" priority="1" operator="containsText" text="Choose">
      <formula>NOT(ISERROR(SEARCH("Choose",D5)))</formula>
    </cfRule>
  </conditionalFormatting>
  <dataValidations count="1">
    <dataValidation type="list" allowBlank="1" showInputMessage="1" showErrorMessage="1" sqref="L14 L18"/>
  </dataValidations>
  <hyperlinks>
    <hyperlink ref="A29:L2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X53"/>
  <sheetViews>
    <sheetView topLeftCell="E10" zoomScale="85" zoomScaleNormal="85" workbookViewId="0">
      <selection activeCell="T47" sqref="T4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77" t="s">
        <v>250</v>
      </c>
    </row>
    <row r="3" spans="1:16" x14ac:dyDescent="0.25">
      <c r="G3" s="241" t="s">
        <v>251</v>
      </c>
      <c r="H3" s="87">
        <v>1</v>
      </c>
      <c r="I3" s="89"/>
      <c r="J3" s="88" t="s">
        <v>252</v>
      </c>
      <c r="K3" s="89"/>
      <c r="L3" s="88" t="s">
        <v>253</v>
      </c>
      <c r="M3" s="89"/>
      <c r="N3" s="88" t="s">
        <v>254</v>
      </c>
      <c r="O3" s="89"/>
      <c r="P3" s="88" t="s">
        <v>255</v>
      </c>
    </row>
    <row r="4" spans="1:16" x14ac:dyDescent="0.25">
      <c r="D4" s="200" t="s">
        <v>256</v>
      </c>
      <c r="E4" s="200"/>
      <c r="G4" s="78"/>
      <c r="H4" s="91">
        <v>2</v>
      </c>
      <c r="I4" s="122" t="s">
        <v>64</v>
      </c>
      <c r="J4" s="128" t="s">
        <v>257</v>
      </c>
      <c r="K4" s="122" t="s">
        <v>66</v>
      </c>
      <c r="L4" s="128" t="s">
        <v>258</v>
      </c>
      <c r="M4" s="122" t="s">
        <v>68</v>
      </c>
      <c r="N4" s="128" t="s">
        <v>65</v>
      </c>
      <c r="O4" s="122" t="s">
        <v>69</v>
      </c>
      <c r="P4" s="128" t="s">
        <v>258</v>
      </c>
    </row>
    <row r="5" spans="1:16" x14ac:dyDescent="0.2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2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2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2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2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2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2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2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2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2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2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2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2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2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2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25">
      <c r="A20" t="s">
        <v>269</v>
      </c>
      <c r="B20" t="s">
        <v>271</v>
      </c>
      <c r="D20" s="202"/>
      <c r="E20" s="230" t="s">
        <v>286</v>
      </c>
      <c r="G20" s="78"/>
    </row>
    <row r="21" spans="1:24" x14ac:dyDescent="0.25">
      <c r="A21" t="s">
        <v>287</v>
      </c>
      <c r="B21" t="s">
        <v>285</v>
      </c>
      <c r="D21" s="202"/>
      <c r="E21" s="230" t="s">
        <v>264</v>
      </c>
      <c r="G21" s="78"/>
    </row>
    <row r="22" spans="1:24" x14ac:dyDescent="0.2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2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2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2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2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2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2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25">
      <c r="A29" s="80" t="s">
        <v>312</v>
      </c>
      <c r="D29" s="202"/>
      <c r="E29" s="230" t="s">
        <v>266</v>
      </c>
    </row>
    <row r="30" spans="1:24" x14ac:dyDescent="0.25">
      <c r="A30" t="s">
        <v>248</v>
      </c>
      <c r="B30" t="s">
        <v>263</v>
      </c>
      <c r="D30" s="202"/>
      <c r="E30" s="230" t="s">
        <v>272</v>
      </c>
    </row>
    <row r="31" spans="1:24" x14ac:dyDescent="0.2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25">
      <c r="A32" t="s">
        <v>266</v>
      </c>
      <c r="B32" t="s">
        <v>268</v>
      </c>
      <c r="D32" s="203"/>
      <c r="E32" s="231" t="s">
        <v>277</v>
      </c>
      <c r="G32" s="78"/>
      <c r="H32" s="91">
        <v>2</v>
      </c>
      <c r="I32" s="122" t="s">
        <v>64</v>
      </c>
      <c r="J32" s="128" t="s">
        <v>89</v>
      </c>
      <c r="K32" s="122"/>
      <c r="L32" s="252" t="s">
        <v>136</v>
      </c>
      <c r="M32" s="122"/>
      <c r="N32" s="252" t="s">
        <v>136</v>
      </c>
      <c r="O32" s="122"/>
      <c r="P32" s="252" t="s">
        <v>136</v>
      </c>
      <c r="Q32" s="122" t="s">
        <v>64</v>
      </c>
      <c r="R32" s="128" t="s">
        <v>257</v>
      </c>
      <c r="S32" s="122"/>
      <c r="T32" s="252" t="s">
        <v>136</v>
      </c>
      <c r="U32" s="122"/>
      <c r="V32" s="252" t="s">
        <v>136</v>
      </c>
      <c r="W32" s="122"/>
      <c r="X32" s="252" t="s">
        <v>136</v>
      </c>
    </row>
    <row r="33" spans="1:24" x14ac:dyDescent="0.25">
      <c r="A33" t="s">
        <v>269</v>
      </c>
      <c r="B33" t="s">
        <v>271</v>
      </c>
      <c r="D33" s="201" t="s">
        <v>274</v>
      </c>
      <c r="E33" s="229" t="s">
        <v>245</v>
      </c>
      <c r="G33" s="78"/>
      <c r="H33" s="91">
        <v>3</v>
      </c>
      <c r="I33" s="123" t="s">
        <v>64</v>
      </c>
      <c r="J33" s="129" t="s">
        <v>65</v>
      </c>
      <c r="K33" s="123"/>
      <c r="L33" s="144"/>
      <c r="M33" s="123"/>
      <c r="N33" s="129"/>
      <c r="O33" s="123"/>
      <c r="P33" s="129"/>
      <c r="Q33" s="123" t="s">
        <v>64</v>
      </c>
      <c r="R33" s="129" t="s">
        <v>267</v>
      </c>
      <c r="S33" s="123"/>
      <c r="T33" s="129"/>
      <c r="U33" s="123"/>
      <c r="V33" s="129"/>
      <c r="W33" s="123"/>
      <c r="X33" s="129"/>
    </row>
    <row r="34" spans="1:24" x14ac:dyDescent="0.25">
      <c r="A34" t="s">
        <v>272</v>
      </c>
      <c r="B34" t="s">
        <v>274</v>
      </c>
      <c r="D34" s="202"/>
      <c r="E34" s="230" t="s">
        <v>289</v>
      </c>
      <c r="G34" s="78"/>
      <c r="H34" s="91">
        <v>4</v>
      </c>
      <c r="I34" s="123" t="s">
        <v>66</v>
      </c>
      <c r="J34" s="129" t="s">
        <v>76</v>
      </c>
      <c r="K34" s="123"/>
      <c r="L34" s="129"/>
      <c r="M34" s="123"/>
      <c r="N34" s="129"/>
      <c r="O34" s="123"/>
      <c r="P34" s="129"/>
      <c r="Q34" s="123" t="s">
        <v>66</v>
      </c>
      <c r="R34" s="129" t="s">
        <v>273</v>
      </c>
      <c r="S34" s="123"/>
      <c r="T34" s="129"/>
      <c r="U34" s="123"/>
      <c r="V34" s="129"/>
      <c r="W34" s="123"/>
      <c r="X34" s="129"/>
    </row>
    <row r="35" spans="1:24" x14ac:dyDescent="0.25">
      <c r="A35" t="s">
        <v>275</v>
      </c>
      <c r="B35" t="s">
        <v>276</v>
      </c>
      <c r="D35" s="202"/>
      <c r="E35" s="230" t="s">
        <v>264</v>
      </c>
      <c r="G35" s="78"/>
      <c r="H35" s="91">
        <v>5</v>
      </c>
      <c r="I35" s="123" t="s">
        <v>66</v>
      </c>
      <c r="J35" s="129" t="s">
        <v>98</v>
      </c>
      <c r="K35" s="123"/>
      <c r="L35" s="129"/>
      <c r="M35" s="123"/>
      <c r="N35" s="129"/>
      <c r="O35" s="123"/>
      <c r="P35" s="129"/>
      <c r="Q35" s="123" t="s">
        <v>66</v>
      </c>
      <c r="R35" s="129" t="s">
        <v>322</v>
      </c>
      <c r="S35" s="123"/>
      <c r="T35" s="129"/>
      <c r="U35" s="123"/>
      <c r="V35" s="129"/>
      <c r="W35" s="123"/>
      <c r="X35" s="129"/>
    </row>
    <row r="36" spans="1:24" x14ac:dyDescent="0.25">
      <c r="A36" t="s">
        <v>277</v>
      </c>
      <c r="B36" t="s">
        <v>278</v>
      </c>
      <c r="D36" s="202"/>
      <c r="E36" s="230" t="s">
        <v>266</v>
      </c>
      <c r="G36" s="78"/>
      <c r="H36" s="91">
        <v>6</v>
      </c>
      <c r="I36" s="123" t="s">
        <v>68</v>
      </c>
      <c r="J36" s="129" t="s">
        <v>71</v>
      </c>
      <c r="K36" s="123"/>
      <c r="L36" s="129"/>
      <c r="M36" s="123"/>
      <c r="N36" s="129"/>
      <c r="O36" s="123"/>
      <c r="P36" s="129"/>
      <c r="Q36" s="123" t="s">
        <v>68</v>
      </c>
      <c r="R36" s="129" t="s">
        <v>119</v>
      </c>
      <c r="S36" s="123"/>
      <c r="T36" s="129"/>
      <c r="U36" s="123"/>
      <c r="V36" s="129"/>
      <c r="W36" s="123"/>
      <c r="X36" s="129"/>
    </row>
    <row r="37" spans="1:24" x14ac:dyDescent="0.25">
      <c r="D37" s="202"/>
      <c r="E37" s="230" t="s">
        <v>269</v>
      </c>
      <c r="G37" s="78"/>
      <c r="H37" s="91">
        <v>7</v>
      </c>
      <c r="I37" s="123" t="s">
        <v>68</v>
      </c>
      <c r="J37" s="129" t="s">
        <v>119</v>
      </c>
      <c r="K37" s="123"/>
      <c r="L37" s="129"/>
      <c r="M37" s="123"/>
      <c r="N37" s="129"/>
      <c r="O37" s="123"/>
      <c r="P37" s="129"/>
      <c r="Q37" s="123" t="s">
        <v>68</v>
      </c>
      <c r="R37" s="129" t="s">
        <v>94</v>
      </c>
      <c r="S37" s="123"/>
      <c r="T37" s="129"/>
      <c r="U37" s="123"/>
      <c r="V37" s="129"/>
      <c r="W37" s="123"/>
      <c r="X37" s="129"/>
    </row>
    <row r="38" spans="1:24" x14ac:dyDescent="0.25">
      <c r="D38" s="202"/>
      <c r="E38" s="230" t="s">
        <v>275</v>
      </c>
      <c r="G38" s="78"/>
      <c r="H38" s="91">
        <v>8</v>
      </c>
      <c r="I38" s="123" t="s">
        <v>69</v>
      </c>
      <c r="J38" s="129" t="s">
        <v>77</v>
      </c>
      <c r="K38" s="123"/>
      <c r="L38" s="129"/>
      <c r="M38" s="123"/>
      <c r="N38" s="129"/>
      <c r="O38" s="123"/>
      <c r="P38" s="129"/>
      <c r="Q38" s="123" t="s">
        <v>69</v>
      </c>
      <c r="R38" s="129" t="s">
        <v>93</v>
      </c>
      <c r="S38" s="123"/>
      <c r="T38" s="129"/>
      <c r="U38" s="123"/>
      <c r="V38" s="129"/>
      <c r="W38" s="123"/>
      <c r="X38" s="129"/>
    </row>
    <row r="39" spans="1:24" x14ac:dyDescent="0.25">
      <c r="D39" s="203"/>
      <c r="E39" s="231" t="s">
        <v>277</v>
      </c>
      <c r="G39" s="78"/>
      <c r="H39" s="91">
        <v>9</v>
      </c>
      <c r="I39" s="125" t="s">
        <v>69</v>
      </c>
      <c r="J39" s="124" t="s">
        <v>93</v>
      </c>
      <c r="K39" s="125"/>
      <c r="L39" s="124"/>
      <c r="M39" s="125"/>
      <c r="N39" s="124"/>
      <c r="O39" s="125"/>
      <c r="P39" s="124"/>
      <c r="Q39" s="125" t="s">
        <v>69</v>
      </c>
      <c r="R39" s="124" t="s">
        <v>323</v>
      </c>
      <c r="S39" s="125"/>
      <c r="T39" s="124"/>
      <c r="U39" s="125"/>
      <c r="V39" s="124"/>
      <c r="W39" s="125"/>
      <c r="X39" s="124"/>
    </row>
    <row r="40" spans="1:24" x14ac:dyDescent="0.25">
      <c r="D40" s="201" t="s">
        <v>276</v>
      </c>
      <c r="E40" s="229" t="s">
        <v>245</v>
      </c>
    </row>
    <row r="41" spans="1:24" x14ac:dyDescent="0.25">
      <c r="D41" s="202"/>
      <c r="E41" s="230" t="s">
        <v>298</v>
      </c>
    </row>
    <row r="42" spans="1:24" x14ac:dyDescent="0.25">
      <c r="D42" s="202"/>
      <c r="E42" s="230" t="s">
        <v>264</v>
      </c>
      <c r="G42" s="241" t="s">
        <v>605</v>
      </c>
      <c r="H42" s="87">
        <v>1</v>
      </c>
      <c r="I42" s="89"/>
      <c r="J42" s="88" t="s">
        <v>314</v>
      </c>
      <c r="K42" s="89"/>
      <c r="L42" s="88" t="s">
        <v>315</v>
      </c>
      <c r="M42" s="89"/>
      <c r="N42" s="88" t="s">
        <v>316</v>
      </c>
      <c r="O42" s="89"/>
      <c r="P42" s="88" t="s">
        <v>317</v>
      </c>
      <c r="Q42" s="89"/>
      <c r="R42" s="88" t="s">
        <v>318</v>
      </c>
      <c r="S42" s="89"/>
      <c r="T42" s="88" t="s">
        <v>319</v>
      </c>
      <c r="U42" s="89"/>
      <c r="V42" s="88" t="s">
        <v>320</v>
      </c>
      <c r="W42" s="89"/>
      <c r="X42" s="88" t="s">
        <v>321</v>
      </c>
    </row>
    <row r="43" spans="1:24" x14ac:dyDescent="0.25">
      <c r="D43" s="202"/>
      <c r="E43" s="230" t="s">
        <v>266</v>
      </c>
      <c r="G43" s="78"/>
      <c r="H43" s="91">
        <v>2</v>
      </c>
      <c r="I43" s="122" t="s">
        <v>64</v>
      </c>
      <c r="J43" s="128" t="s">
        <v>89</v>
      </c>
      <c r="K43" s="122"/>
      <c r="L43" s="252" t="s">
        <v>136</v>
      </c>
      <c r="M43" s="122"/>
      <c r="N43" s="252" t="s">
        <v>136</v>
      </c>
      <c r="O43" s="122"/>
      <c r="P43" s="252" t="s">
        <v>136</v>
      </c>
      <c r="Q43" s="122" t="s">
        <v>64</v>
      </c>
      <c r="R43" s="128" t="s">
        <v>257</v>
      </c>
      <c r="S43" s="122"/>
      <c r="T43" s="252" t="s">
        <v>136</v>
      </c>
      <c r="U43" s="122"/>
      <c r="V43" s="252" t="s">
        <v>136</v>
      </c>
      <c r="W43" s="122"/>
      <c r="X43" s="252" t="s">
        <v>136</v>
      </c>
    </row>
    <row r="44" spans="1:24" x14ac:dyDescent="0.25">
      <c r="D44" s="202"/>
      <c r="E44" s="230" t="s">
        <v>269</v>
      </c>
      <c r="G44" s="78"/>
      <c r="H44" s="91">
        <v>3</v>
      </c>
      <c r="I44" s="123" t="s">
        <v>64</v>
      </c>
      <c r="J44" s="129" t="s">
        <v>65</v>
      </c>
      <c r="K44" s="123"/>
      <c r="L44" s="144"/>
      <c r="M44" s="123"/>
      <c r="N44" s="129"/>
      <c r="O44" s="123"/>
      <c r="P44" s="129"/>
      <c r="Q44" s="123" t="s">
        <v>64</v>
      </c>
      <c r="R44" s="129" t="s">
        <v>267</v>
      </c>
      <c r="S44" s="123"/>
      <c r="T44" s="129"/>
      <c r="U44" s="123"/>
      <c r="V44" s="129"/>
      <c r="W44" s="123"/>
      <c r="X44" s="129"/>
    </row>
    <row r="45" spans="1:24" x14ac:dyDescent="0.25">
      <c r="D45" s="202"/>
      <c r="E45" s="230" t="s">
        <v>272</v>
      </c>
      <c r="G45" s="78"/>
      <c r="H45" s="91">
        <v>4</v>
      </c>
      <c r="I45" s="123" t="s">
        <v>64</v>
      </c>
      <c r="J45" s="129" t="s">
        <v>71</v>
      </c>
      <c r="K45" s="123"/>
      <c r="L45" s="129"/>
      <c r="M45" s="123"/>
      <c r="N45" s="129"/>
      <c r="O45" s="123"/>
      <c r="P45" s="129"/>
      <c r="Q45" s="123" t="s">
        <v>64</v>
      </c>
      <c r="R45" s="129" t="s">
        <v>94</v>
      </c>
      <c r="S45" s="123"/>
      <c r="T45" s="129"/>
      <c r="U45" s="123"/>
      <c r="V45" s="129"/>
      <c r="W45" s="123"/>
      <c r="X45" s="129"/>
    </row>
    <row r="46" spans="1:24" x14ac:dyDescent="0.25">
      <c r="D46" s="203"/>
      <c r="E46" s="231" t="s">
        <v>277</v>
      </c>
      <c r="G46" s="78"/>
      <c r="H46" s="91">
        <v>5</v>
      </c>
      <c r="I46" s="123" t="s">
        <v>66</v>
      </c>
      <c r="J46" s="129" t="s">
        <v>76</v>
      </c>
      <c r="K46" s="123"/>
      <c r="L46" s="129"/>
      <c r="M46" s="123"/>
      <c r="N46" s="129"/>
      <c r="O46" s="123"/>
      <c r="P46" s="129"/>
      <c r="Q46" s="123" t="s">
        <v>66</v>
      </c>
      <c r="R46" s="129" t="s">
        <v>273</v>
      </c>
      <c r="S46" s="123"/>
      <c r="T46" s="129"/>
      <c r="U46" s="123"/>
      <c r="V46" s="129"/>
      <c r="W46" s="123"/>
      <c r="X46" s="129"/>
    </row>
    <row r="47" spans="1:24" x14ac:dyDescent="0.25">
      <c r="D47" s="201" t="s">
        <v>278</v>
      </c>
      <c r="E47" s="229" t="s">
        <v>245</v>
      </c>
      <c r="G47" s="78"/>
      <c r="H47" s="91">
        <v>6</v>
      </c>
      <c r="I47" s="123" t="s">
        <v>66</v>
      </c>
      <c r="J47" s="129" t="s">
        <v>98</v>
      </c>
      <c r="K47" s="123"/>
      <c r="L47" s="129"/>
      <c r="M47" s="123"/>
      <c r="N47" s="129"/>
      <c r="O47" s="123"/>
      <c r="P47" s="129"/>
      <c r="Q47" s="123" t="s">
        <v>66</v>
      </c>
      <c r="R47" s="129" t="s">
        <v>93</v>
      </c>
      <c r="S47" s="123"/>
      <c r="T47" s="129"/>
      <c r="U47" s="123"/>
      <c r="V47" s="129"/>
      <c r="W47" s="123"/>
      <c r="X47" s="129"/>
    </row>
    <row r="48" spans="1:24" x14ac:dyDescent="0.25">
      <c r="D48" s="202"/>
      <c r="E48" s="230" t="s">
        <v>307</v>
      </c>
      <c r="G48" s="78"/>
      <c r="H48" s="91">
        <v>7</v>
      </c>
      <c r="I48" s="123" t="s">
        <v>66</v>
      </c>
      <c r="J48" s="129" t="s">
        <v>77</v>
      </c>
      <c r="K48" s="123"/>
      <c r="L48" s="129"/>
      <c r="M48" s="123"/>
      <c r="N48" s="129"/>
      <c r="O48" s="123"/>
      <c r="P48" s="129"/>
      <c r="Q48" s="123" t="s">
        <v>66</v>
      </c>
      <c r="R48" s="129" t="s">
        <v>322</v>
      </c>
      <c r="S48" s="123"/>
      <c r="T48" s="129"/>
      <c r="U48" s="123"/>
      <c r="V48" s="129"/>
      <c r="W48" s="123"/>
      <c r="X48" s="129"/>
    </row>
    <row r="49" spans="4:24" x14ac:dyDescent="0.25">
      <c r="D49" s="202"/>
      <c r="E49" s="230" t="s">
        <v>264</v>
      </c>
      <c r="G49" s="78"/>
      <c r="H49" s="91">
        <v>8</v>
      </c>
      <c r="I49" s="123" t="s">
        <v>68</v>
      </c>
      <c r="J49" s="129" t="s">
        <v>119</v>
      </c>
      <c r="K49" s="123"/>
      <c r="L49" s="129"/>
      <c r="M49" s="123"/>
      <c r="N49" s="129"/>
      <c r="O49" s="123"/>
      <c r="P49" s="129"/>
      <c r="Q49" s="123" t="s">
        <v>68</v>
      </c>
      <c r="R49" s="129" t="s">
        <v>119</v>
      </c>
      <c r="S49" s="123"/>
      <c r="T49" s="129"/>
      <c r="U49" s="123"/>
      <c r="V49" s="129"/>
      <c r="W49" s="123"/>
      <c r="X49" s="129"/>
    </row>
    <row r="50" spans="4:24" x14ac:dyDescent="0.25">
      <c r="D50" s="202"/>
      <c r="E50" s="230" t="s">
        <v>266</v>
      </c>
      <c r="G50" s="78"/>
      <c r="H50" s="91">
        <v>9</v>
      </c>
      <c r="I50" s="125" t="s">
        <v>68</v>
      </c>
      <c r="J50" s="124" t="s">
        <v>93</v>
      </c>
      <c r="K50" s="125"/>
      <c r="L50" s="124"/>
      <c r="M50" s="125"/>
      <c r="N50" s="124"/>
      <c r="O50" s="125"/>
      <c r="P50" s="124"/>
      <c r="Q50" s="125" t="s">
        <v>68</v>
      </c>
      <c r="R50" s="124" t="s">
        <v>323</v>
      </c>
      <c r="S50" s="125"/>
      <c r="T50" s="124"/>
      <c r="U50" s="125"/>
      <c r="V50" s="124"/>
      <c r="W50" s="125"/>
      <c r="X50" s="124"/>
    </row>
    <row r="51" spans="4:24" x14ac:dyDescent="0.25">
      <c r="D51" s="202"/>
      <c r="E51" s="230" t="s">
        <v>269</v>
      </c>
    </row>
    <row r="52" spans="4:24" x14ac:dyDescent="0.25">
      <c r="D52" s="202"/>
      <c r="E52" s="230" t="s">
        <v>272</v>
      </c>
    </row>
    <row r="53" spans="4:24" x14ac:dyDescent="0.25">
      <c r="D53" s="203"/>
      <c r="E53" s="231" t="s">
        <v>275</v>
      </c>
    </row>
  </sheetData>
  <pageMargins left="0.7" right="0.7" top="0.75" bottom="0.75" header="0.3" footer="0.3"/>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100"/>
  <sheetViews>
    <sheetView zoomScale="85" zoomScaleNormal="85" workbookViewId="0">
      <pane xSplit="5" ySplit="3" topLeftCell="I4" activePane="bottomRight" state="frozen"/>
      <selection activeCell="T47" sqref="T47"/>
      <selection pane="topRight" activeCell="T47" sqref="T47"/>
      <selection pane="bottomLeft" activeCell="T47" sqref="T47"/>
      <selection pane="bottomRight" activeCell="T47" sqref="T47"/>
    </sheetView>
  </sheetViews>
  <sheetFormatPr defaultRowHeight="15.75" x14ac:dyDescent="0.25"/>
  <cols>
    <col min="1" max="1" width="25.875" bestFit="1" customWidth="1"/>
    <col min="2" max="2" width="8.125" style="1" bestFit="1" customWidth="1"/>
    <col min="3" max="3" width="11.375" bestFit="1" customWidth="1"/>
    <col min="4" max="4" width="73.125" bestFit="1" customWidth="1"/>
    <col min="5" max="5" width="8.625" style="1" bestFit="1" customWidth="1"/>
    <col min="6" max="6" width="28.125" bestFit="1" customWidth="1"/>
    <col min="7" max="10" width="6.375" bestFit="1" customWidth="1"/>
    <col min="11" max="11" width="34.125" style="1" customWidth="1"/>
    <col min="12" max="12" width="6.5" style="1" bestFit="1" customWidth="1"/>
    <col min="13" max="14" width="5.375" style="1" bestFit="1" customWidth="1"/>
    <col min="15" max="15" width="6" bestFit="1" customWidth="1"/>
    <col min="16" max="17" width="6.5" bestFit="1" customWidth="1"/>
    <col min="18" max="22" width="5.375" bestFit="1" customWidth="1"/>
    <col min="23" max="25" width="5.375" customWidth="1"/>
    <col min="26" max="26" width="6" bestFit="1" customWidth="1"/>
    <col min="27" max="29" width="5.375" bestFit="1" customWidth="1"/>
  </cols>
  <sheetData>
    <row r="1" spans="1:29" x14ac:dyDescent="0.2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5" thickBot="1" x14ac:dyDescent="0.3">
      <c r="A2" s="5"/>
      <c r="B2" s="6"/>
      <c r="C2" s="6"/>
      <c r="D2" s="5"/>
      <c r="E2" s="6"/>
      <c r="F2" s="5"/>
      <c r="G2" s="8"/>
      <c r="H2" s="7"/>
      <c r="I2" s="7"/>
      <c r="J2" s="7"/>
      <c r="K2" s="2"/>
      <c r="L2" s="5"/>
      <c r="M2" s="5"/>
      <c r="N2" s="5"/>
      <c r="O2" s="5"/>
      <c r="P2" s="2"/>
    </row>
    <row r="3" spans="1:29" ht="71.25" x14ac:dyDescent="0.2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2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2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2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2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2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2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25" x14ac:dyDescent="0.2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2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2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2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2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2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2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2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2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2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2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2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2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Y</v>
      </c>
      <c r="I22" s="121" t="str">
        <f>IFERROR(IF(VLOOKUP(TableHandbook[[#This Row],[UDC]],TableAvailabilities[],4,FALSE)&gt;0,"Y",""),"")</f>
        <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25" x14ac:dyDescent="0.2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2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2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2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2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2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2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2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2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2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2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2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2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2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2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2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2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2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2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2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2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2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2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2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2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2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2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2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2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2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2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2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2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2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2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2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2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2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2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2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2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2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2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2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2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2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2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2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2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2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2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2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2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2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2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2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2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2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2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2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2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2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2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2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2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2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2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2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2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2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2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2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2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2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2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2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2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2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229"/>
  <sheetViews>
    <sheetView zoomScale="70" zoomScaleNormal="70" workbookViewId="0">
      <pane ySplit="1" topLeftCell="A2" activePane="bottomLeft" state="frozen"/>
      <selection activeCell="T47" sqref="T47"/>
      <selection pane="bottomLeft" activeCell="T47" sqref="T47"/>
    </sheetView>
  </sheetViews>
  <sheetFormatPr defaultRowHeight="15.75" x14ac:dyDescent="0.25"/>
  <cols>
    <col min="1" max="1" width="13.5" customWidth="1"/>
    <col min="2" max="2" width="12.375" style="1" bestFit="1" customWidth="1"/>
    <col min="3" max="3" width="12" bestFit="1" customWidth="1"/>
    <col min="4" max="4" width="63.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75" bestFit="1" customWidth="1"/>
    <col min="13" max="13" width="14.375" bestFit="1" customWidth="1"/>
    <col min="14" max="14" width="11.25" bestFit="1" customWidth="1"/>
    <col min="15" max="15" width="10.875" bestFit="1" customWidth="1"/>
    <col min="17" max="17" width="13.75" customWidth="1"/>
    <col min="18" max="18" width="11.5" bestFit="1" customWidth="1"/>
  </cols>
  <sheetData>
    <row r="1" spans="1:18" x14ac:dyDescent="0.25">
      <c r="A1" s="80" t="s">
        <v>500</v>
      </c>
    </row>
    <row r="2" spans="1:18" x14ac:dyDescent="0.25">
      <c r="B2"/>
      <c r="E2"/>
      <c r="F2" s="115"/>
      <c r="G2" s="116" t="s">
        <v>501</v>
      </c>
      <c r="H2" s="277">
        <v>44562</v>
      </c>
      <c r="J2" s="276" t="s">
        <v>126</v>
      </c>
      <c r="K2" s="118" t="s">
        <v>105</v>
      </c>
      <c r="L2" s="175" t="s">
        <v>502</v>
      </c>
      <c r="M2" s="116"/>
      <c r="N2" s="116" t="s">
        <v>503</v>
      </c>
      <c r="O2" s="296">
        <v>45302</v>
      </c>
    </row>
    <row r="3" spans="1:18" x14ac:dyDescent="0.2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2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2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2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2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25">
      <c r="B8"/>
      <c r="E8"/>
      <c r="F8" s="115"/>
      <c r="G8" s="116" t="s">
        <v>501</v>
      </c>
      <c r="H8" s="277">
        <v>44562</v>
      </c>
      <c r="J8" s="276" t="s">
        <v>177</v>
      </c>
      <c r="K8" s="118" t="s">
        <v>105</v>
      </c>
      <c r="L8" s="175" t="s">
        <v>14</v>
      </c>
      <c r="N8" s="116" t="s">
        <v>503</v>
      </c>
      <c r="O8" s="296">
        <v>45302</v>
      </c>
    </row>
    <row r="9" spans="1:18" x14ac:dyDescent="0.2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25">
      <c r="B26"/>
      <c r="E26"/>
      <c r="F26" s="115"/>
      <c r="G26" s="116" t="s">
        <v>501</v>
      </c>
      <c r="H26" s="277">
        <v>44562</v>
      </c>
      <c r="J26" s="276" t="s">
        <v>178</v>
      </c>
      <c r="K26" s="118" t="s">
        <v>105</v>
      </c>
      <c r="L26" s="175" t="s">
        <v>36</v>
      </c>
      <c r="N26" s="116" t="s">
        <v>503</v>
      </c>
      <c r="O26" s="296">
        <v>45302</v>
      </c>
    </row>
    <row r="27" spans="1:18" x14ac:dyDescent="0.2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25">
      <c r="B44"/>
      <c r="E44"/>
      <c r="F44" s="115"/>
      <c r="G44" s="116" t="s">
        <v>501</v>
      </c>
      <c r="H44" s="117">
        <v>44562</v>
      </c>
      <c r="J44" s="276" t="s">
        <v>183</v>
      </c>
      <c r="K44" s="118" t="s">
        <v>184</v>
      </c>
      <c r="L44" s="175" t="s">
        <v>182</v>
      </c>
      <c r="N44" s="116" t="s">
        <v>503</v>
      </c>
      <c r="O44" s="296">
        <v>45302</v>
      </c>
    </row>
    <row r="45" spans="1:18" x14ac:dyDescent="0.2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2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2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2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2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2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2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2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2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2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2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2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2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2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2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2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2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2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2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2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2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2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2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2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2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2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2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2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2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2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2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2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2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2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2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2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2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2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2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25">
      <c r="B86"/>
      <c r="E86"/>
    </row>
    <row r="87" spans="1:18" x14ac:dyDescent="0.25">
      <c r="B87"/>
      <c r="E87"/>
      <c r="F87" s="115"/>
      <c r="G87" s="116" t="s">
        <v>501</v>
      </c>
      <c r="H87" s="277">
        <v>43647</v>
      </c>
      <c r="J87" s="276" t="s">
        <v>124</v>
      </c>
      <c r="K87" s="118" t="s">
        <v>85</v>
      </c>
      <c r="L87" s="175" t="s">
        <v>43</v>
      </c>
      <c r="N87" s="116" t="s">
        <v>503</v>
      </c>
      <c r="O87" s="296">
        <v>45302</v>
      </c>
    </row>
    <row r="88" spans="1:18" x14ac:dyDescent="0.2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2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2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2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2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2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2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2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25">
      <c r="B96"/>
      <c r="E96"/>
      <c r="F96" s="115"/>
      <c r="G96" s="116" t="s">
        <v>501</v>
      </c>
      <c r="H96" s="277">
        <v>44197</v>
      </c>
      <c r="J96" s="276" t="s">
        <v>101</v>
      </c>
      <c r="K96" s="118" t="s">
        <v>85</v>
      </c>
      <c r="L96" s="175" t="s">
        <v>100</v>
      </c>
      <c r="N96" s="116" t="s">
        <v>503</v>
      </c>
      <c r="O96" s="296">
        <v>45302</v>
      </c>
    </row>
    <row r="97" spans="1:18" x14ac:dyDescent="0.2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2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2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2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2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2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2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25">
      <c r="B104"/>
      <c r="E104"/>
      <c r="F104" s="115"/>
      <c r="G104" s="116" t="s">
        <v>501</v>
      </c>
      <c r="H104" s="277">
        <v>42736</v>
      </c>
      <c r="J104" s="276" t="s">
        <v>104</v>
      </c>
      <c r="K104" s="118" t="s">
        <v>105</v>
      </c>
      <c r="L104" s="175" t="s">
        <v>44</v>
      </c>
      <c r="N104" s="116" t="s">
        <v>503</v>
      </c>
      <c r="O104" s="296">
        <v>45302</v>
      </c>
    </row>
    <row r="105" spans="1:18" x14ac:dyDescent="0.2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2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2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2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2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2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2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25">
      <c r="B113"/>
      <c r="E113"/>
      <c r="F113" s="115"/>
      <c r="G113" s="116" t="s">
        <v>501</v>
      </c>
      <c r="H113" s="277">
        <v>44562</v>
      </c>
      <c r="J113" s="276" t="s">
        <v>125</v>
      </c>
      <c r="K113" s="118" t="s">
        <v>105</v>
      </c>
      <c r="L113" s="175" t="s">
        <v>37</v>
      </c>
      <c r="N113" s="116" t="s">
        <v>503</v>
      </c>
      <c r="O113" s="296">
        <v>45302</v>
      </c>
    </row>
    <row r="114" spans="1:18" x14ac:dyDescent="0.2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2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2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2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2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2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2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2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2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2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2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2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2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2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2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25">
      <c r="B131"/>
      <c r="E131"/>
      <c r="F131" s="115"/>
      <c r="G131" s="116" t="s">
        <v>501</v>
      </c>
      <c r="H131" s="277">
        <v>44562</v>
      </c>
      <c r="J131" s="276" t="s">
        <v>202</v>
      </c>
      <c r="K131" s="118" t="s">
        <v>85</v>
      </c>
      <c r="L131" s="175" t="s">
        <v>201</v>
      </c>
      <c r="N131" s="116" t="s">
        <v>503</v>
      </c>
      <c r="O131" s="296">
        <v>45302</v>
      </c>
    </row>
    <row r="132" spans="1:18" x14ac:dyDescent="0.2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2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2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2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2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25">
      <c r="B137"/>
      <c r="E137"/>
      <c r="F137" s="115"/>
      <c r="G137" s="116" t="s">
        <v>501</v>
      </c>
      <c r="H137" s="277">
        <v>44562</v>
      </c>
      <c r="J137" s="276" t="s">
        <v>205</v>
      </c>
      <c r="K137" s="118" t="s">
        <v>85</v>
      </c>
      <c r="L137" s="175" t="s">
        <v>204</v>
      </c>
      <c r="N137" s="116" t="s">
        <v>503</v>
      </c>
      <c r="O137" s="296">
        <v>45302</v>
      </c>
    </row>
    <row r="138" spans="1:18" x14ac:dyDescent="0.2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2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2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2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2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25">
      <c r="B143"/>
      <c r="E143"/>
      <c r="F143" s="115"/>
      <c r="G143" s="116" t="s">
        <v>501</v>
      </c>
      <c r="H143" s="277">
        <v>44562</v>
      </c>
      <c r="J143" s="276" t="s">
        <v>208</v>
      </c>
      <c r="K143" s="118" t="s">
        <v>85</v>
      </c>
      <c r="L143" s="175" t="s">
        <v>207</v>
      </c>
      <c r="N143" s="116" t="s">
        <v>503</v>
      </c>
      <c r="O143" s="296">
        <v>45302</v>
      </c>
    </row>
    <row r="144" spans="1:18" x14ac:dyDescent="0.2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2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2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2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2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25">
      <c r="B149"/>
      <c r="E149"/>
      <c r="F149" s="115"/>
      <c r="G149" s="116" t="s">
        <v>501</v>
      </c>
      <c r="H149" s="277">
        <v>45292</v>
      </c>
      <c r="J149" s="276" t="s">
        <v>114</v>
      </c>
      <c r="K149" s="118" t="s">
        <v>85</v>
      </c>
      <c r="L149" s="175" t="s">
        <v>113</v>
      </c>
      <c r="N149" s="116" t="s">
        <v>503</v>
      </c>
      <c r="O149" s="296">
        <v>45302</v>
      </c>
    </row>
    <row r="150" spans="1:18" x14ac:dyDescent="0.2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2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2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2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25">
      <c r="B154"/>
      <c r="E154"/>
      <c r="F154" s="115"/>
      <c r="G154" s="116" t="s">
        <v>501</v>
      </c>
      <c r="H154" s="277">
        <v>45292</v>
      </c>
      <c r="J154" s="276" t="s">
        <v>189</v>
      </c>
      <c r="K154" s="118" t="s">
        <v>85</v>
      </c>
      <c r="L154" s="175" t="s">
        <v>188</v>
      </c>
      <c r="N154" s="116" t="s">
        <v>503</v>
      </c>
      <c r="O154" s="296">
        <v>45302</v>
      </c>
    </row>
    <row r="155" spans="1:18" x14ac:dyDescent="0.2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2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2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2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2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2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2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2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2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25">
      <c r="B164"/>
      <c r="E164"/>
      <c r="F164" s="115"/>
      <c r="G164" s="116" t="s">
        <v>501</v>
      </c>
      <c r="H164" s="277">
        <v>45292</v>
      </c>
      <c r="J164" s="276" t="s">
        <v>192</v>
      </c>
      <c r="K164" s="118" t="s">
        <v>85</v>
      </c>
      <c r="L164" s="175" t="s">
        <v>191</v>
      </c>
      <c r="N164" s="116" t="s">
        <v>503</v>
      </c>
      <c r="O164" s="296">
        <v>45302</v>
      </c>
    </row>
    <row r="165" spans="1:18" x14ac:dyDescent="0.2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2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2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2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2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2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2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2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2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2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2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2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2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2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2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2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2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2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2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2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25">
      <c r="B185"/>
      <c r="E185"/>
      <c r="F185" s="115"/>
      <c r="G185" s="116" t="s">
        <v>501</v>
      </c>
      <c r="H185" s="277">
        <v>44197</v>
      </c>
      <c r="J185" s="276" t="s">
        <v>84</v>
      </c>
      <c r="K185" s="118" t="s">
        <v>85</v>
      </c>
      <c r="L185" s="175" t="s">
        <v>83</v>
      </c>
      <c r="N185" s="116" t="s">
        <v>503</v>
      </c>
      <c r="O185" s="296">
        <v>45302</v>
      </c>
    </row>
    <row r="186" spans="1:18" x14ac:dyDescent="0.2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2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2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2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2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2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2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2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2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2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2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2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2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2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2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25">
      <c r="B201"/>
      <c r="E201"/>
      <c r="F201" s="115"/>
      <c r="G201" s="116" t="s">
        <v>501</v>
      </c>
      <c r="H201" s="277">
        <v>44197</v>
      </c>
      <c r="J201" s="276" t="s">
        <v>91</v>
      </c>
      <c r="K201" s="118" t="s">
        <v>85</v>
      </c>
      <c r="L201" s="175" t="s">
        <v>90</v>
      </c>
      <c r="N201" s="116" t="s">
        <v>503</v>
      </c>
      <c r="O201" s="296">
        <v>45302</v>
      </c>
    </row>
    <row r="202" spans="1:18" x14ac:dyDescent="0.2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2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2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2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2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2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2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2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2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2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2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2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2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2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2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25">
      <c r="B218"/>
      <c r="E218"/>
      <c r="F218" s="115"/>
      <c r="G218" s="116" t="s">
        <v>501</v>
      </c>
      <c r="H218" s="277">
        <v>44197</v>
      </c>
      <c r="J218" s="276" t="s">
        <v>96</v>
      </c>
      <c r="K218" s="118" t="s">
        <v>85</v>
      </c>
      <c r="L218" s="175" t="s">
        <v>95</v>
      </c>
      <c r="N218" s="116" t="s">
        <v>503</v>
      </c>
      <c r="O218" s="296">
        <v>45302</v>
      </c>
    </row>
    <row r="219" spans="1:18" x14ac:dyDescent="0.2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2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2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2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2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25">
      <c r="B224"/>
      <c r="E224"/>
      <c r="F224" s="115"/>
      <c r="G224" s="116" t="s">
        <v>501</v>
      </c>
      <c r="H224" s="277">
        <v>43466</v>
      </c>
      <c r="J224" s="276" t="s">
        <v>99</v>
      </c>
      <c r="K224" s="118" t="s">
        <v>85</v>
      </c>
      <c r="L224" s="248" t="s">
        <v>46</v>
      </c>
      <c r="N224" s="116" t="s">
        <v>503</v>
      </c>
      <c r="O224" s="296">
        <v>45302</v>
      </c>
    </row>
    <row r="225" spans="1:18" x14ac:dyDescent="0.2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2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2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2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2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5"/>
  <sheetViews>
    <sheetView topLeftCell="A13" workbookViewId="0">
      <selection activeCell="T47" sqref="T47"/>
    </sheetView>
  </sheetViews>
  <sheetFormatPr defaultRowHeight="15.75" x14ac:dyDescent="0.25"/>
  <cols>
    <col min="1" max="1" width="39.625" bestFit="1" customWidth="1"/>
    <col min="2" max="5" width="15.375" bestFit="1" customWidth="1"/>
    <col min="6" max="6" width="16.125" bestFit="1" customWidth="1"/>
    <col min="7" max="7" width="10.375" bestFit="1" customWidth="1"/>
  </cols>
  <sheetData>
    <row r="1" spans="1:7" x14ac:dyDescent="0.25">
      <c r="A1" s="80" t="s">
        <v>600</v>
      </c>
      <c r="F1" s="282" t="s">
        <v>601</v>
      </c>
      <c r="G1" s="283">
        <v>45302</v>
      </c>
    </row>
    <row r="2" spans="1:7" x14ac:dyDescent="0.25">
      <c r="A2" t="s">
        <v>602</v>
      </c>
      <c r="B2" t="s">
        <v>603</v>
      </c>
    </row>
    <row r="4" spans="1:7" x14ac:dyDescent="0.25">
      <c r="A4" t="s">
        <v>604</v>
      </c>
      <c r="B4" t="s">
        <v>591</v>
      </c>
      <c r="C4" t="s">
        <v>592</v>
      </c>
      <c r="D4" t="s">
        <v>593</v>
      </c>
      <c r="E4" t="s">
        <v>594</v>
      </c>
    </row>
    <row r="5" spans="1:7" x14ac:dyDescent="0.25">
      <c r="A5" t="s">
        <v>117</v>
      </c>
      <c r="C5">
        <v>1</v>
      </c>
    </row>
    <row r="6" spans="1:7" x14ac:dyDescent="0.25">
      <c r="A6" t="s">
        <v>88</v>
      </c>
      <c r="C6">
        <v>1</v>
      </c>
    </row>
    <row r="7" spans="1:7" x14ac:dyDescent="0.25">
      <c r="A7" t="s">
        <v>97</v>
      </c>
      <c r="D7">
        <v>1</v>
      </c>
    </row>
    <row r="8" spans="1:7" x14ac:dyDescent="0.25">
      <c r="A8" t="s">
        <v>74</v>
      </c>
      <c r="D8">
        <v>1</v>
      </c>
    </row>
    <row r="9" spans="1:7" x14ac:dyDescent="0.25">
      <c r="A9" t="s">
        <v>67</v>
      </c>
      <c r="B9">
        <v>1</v>
      </c>
      <c r="C9">
        <v>1</v>
      </c>
    </row>
    <row r="10" spans="1:7" x14ac:dyDescent="0.25">
      <c r="A10" t="s">
        <v>102</v>
      </c>
      <c r="B10">
        <v>1</v>
      </c>
    </row>
    <row r="11" spans="1:7" x14ac:dyDescent="0.25">
      <c r="A11" t="s">
        <v>73</v>
      </c>
      <c r="C11">
        <v>1</v>
      </c>
    </row>
    <row r="12" spans="1:7" x14ac:dyDescent="0.25">
      <c r="A12" t="s">
        <v>75</v>
      </c>
      <c r="E12">
        <v>1</v>
      </c>
    </row>
    <row r="13" spans="1:7" x14ac:dyDescent="0.25">
      <c r="A13" t="s">
        <v>110</v>
      </c>
      <c r="E13">
        <v>1</v>
      </c>
    </row>
    <row r="14" spans="1:7" x14ac:dyDescent="0.25">
      <c r="A14" t="s">
        <v>118</v>
      </c>
      <c r="D14">
        <v>1</v>
      </c>
    </row>
    <row r="15" spans="1:7" x14ac:dyDescent="0.25">
      <c r="A15" t="s">
        <v>238</v>
      </c>
      <c r="B15">
        <v>1</v>
      </c>
      <c r="D15">
        <v>1</v>
      </c>
    </row>
    <row r="16" spans="1:7" x14ac:dyDescent="0.25">
      <c r="A16" t="s">
        <v>239</v>
      </c>
      <c r="C16">
        <v>1</v>
      </c>
      <c r="E16">
        <v>1</v>
      </c>
    </row>
    <row r="17" spans="1:5" x14ac:dyDescent="0.25">
      <c r="A17" t="s">
        <v>240</v>
      </c>
      <c r="B17">
        <v>1</v>
      </c>
      <c r="D17">
        <v>1</v>
      </c>
    </row>
    <row r="18" spans="1:5" x14ac:dyDescent="0.25">
      <c r="A18" t="s">
        <v>241</v>
      </c>
      <c r="C18">
        <v>1</v>
      </c>
      <c r="E18">
        <v>1</v>
      </c>
    </row>
    <row r="19" spans="1:5" x14ac:dyDescent="0.25">
      <c r="A19" t="s">
        <v>77</v>
      </c>
      <c r="C19">
        <v>1</v>
      </c>
      <c r="E19">
        <v>1</v>
      </c>
    </row>
    <row r="20" spans="1:5" x14ac:dyDescent="0.25">
      <c r="A20" t="s">
        <v>89</v>
      </c>
      <c r="B20">
        <v>1</v>
      </c>
      <c r="C20">
        <v>1</v>
      </c>
    </row>
    <row r="21" spans="1:5" x14ac:dyDescent="0.25">
      <c r="A21" t="s">
        <v>76</v>
      </c>
      <c r="B21">
        <v>1</v>
      </c>
      <c r="C21">
        <v>1</v>
      </c>
    </row>
    <row r="22" spans="1:5" x14ac:dyDescent="0.25">
      <c r="A22" t="s">
        <v>98</v>
      </c>
      <c r="C22">
        <v>1</v>
      </c>
      <c r="D22">
        <v>1</v>
      </c>
    </row>
    <row r="23" spans="1:5" x14ac:dyDescent="0.25">
      <c r="A23" t="s">
        <v>112</v>
      </c>
      <c r="C23">
        <v>1</v>
      </c>
    </row>
    <row r="24" spans="1:5" x14ac:dyDescent="0.25">
      <c r="A24" t="s">
        <v>111</v>
      </c>
      <c r="B24">
        <v>1</v>
      </c>
    </row>
    <row r="25" spans="1:5" x14ac:dyDescent="0.25">
      <c r="A25" t="s">
        <v>103</v>
      </c>
      <c r="E25">
        <v>1</v>
      </c>
    </row>
    <row r="26" spans="1:5" x14ac:dyDescent="0.25">
      <c r="A26" t="s">
        <v>120</v>
      </c>
      <c r="D26">
        <v>1</v>
      </c>
    </row>
    <row r="27" spans="1:5" x14ac:dyDescent="0.25">
      <c r="A27" t="s">
        <v>257</v>
      </c>
      <c r="B27">
        <v>1</v>
      </c>
      <c r="C27">
        <v>1</v>
      </c>
    </row>
    <row r="28" spans="1:5" x14ac:dyDescent="0.25">
      <c r="A28" t="s">
        <v>258</v>
      </c>
      <c r="C28">
        <v>1</v>
      </c>
      <c r="E28">
        <v>1</v>
      </c>
    </row>
    <row r="29" spans="1:5" x14ac:dyDescent="0.25">
      <c r="A29" t="s">
        <v>267</v>
      </c>
      <c r="B29">
        <v>1</v>
      </c>
      <c r="C29">
        <v>1</v>
      </c>
    </row>
    <row r="30" spans="1:5" x14ac:dyDescent="0.25">
      <c r="A30" t="s">
        <v>261</v>
      </c>
      <c r="B30">
        <v>1</v>
      </c>
      <c r="D30">
        <v>1</v>
      </c>
    </row>
    <row r="31" spans="1:5" x14ac:dyDescent="0.25">
      <c r="A31" t="s">
        <v>292</v>
      </c>
      <c r="C31">
        <v>1</v>
      </c>
      <c r="E31">
        <v>1</v>
      </c>
    </row>
    <row r="32" spans="1:5" x14ac:dyDescent="0.25">
      <c r="A32" t="s">
        <v>293</v>
      </c>
      <c r="C32">
        <v>1</v>
      </c>
      <c r="E32">
        <v>1</v>
      </c>
    </row>
    <row r="33" spans="1:5" x14ac:dyDescent="0.25">
      <c r="A33" t="s">
        <v>295</v>
      </c>
      <c r="C33">
        <v>1</v>
      </c>
      <c r="E33">
        <v>1</v>
      </c>
    </row>
    <row r="34" spans="1:5" x14ac:dyDescent="0.25">
      <c r="A34" t="s">
        <v>296</v>
      </c>
      <c r="C34">
        <v>1</v>
      </c>
      <c r="E34">
        <v>1</v>
      </c>
    </row>
    <row r="35" spans="1:5" x14ac:dyDescent="0.25">
      <c r="A35" t="s">
        <v>297</v>
      </c>
      <c r="C35">
        <v>1</v>
      </c>
      <c r="E35">
        <v>1</v>
      </c>
    </row>
    <row r="36" spans="1:5" x14ac:dyDescent="0.25">
      <c r="A36" t="s">
        <v>300</v>
      </c>
      <c r="B36">
        <v>1</v>
      </c>
      <c r="C36">
        <v>1</v>
      </c>
      <c r="D36">
        <v>1</v>
      </c>
      <c r="E36">
        <v>1</v>
      </c>
    </row>
    <row r="37" spans="1:5" x14ac:dyDescent="0.25">
      <c r="A37" t="s">
        <v>303</v>
      </c>
      <c r="B37">
        <v>1</v>
      </c>
      <c r="C37">
        <v>1</v>
      </c>
      <c r="D37">
        <v>1</v>
      </c>
      <c r="E37">
        <v>1</v>
      </c>
    </row>
    <row r="38" spans="1:5" x14ac:dyDescent="0.25">
      <c r="A38" t="s">
        <v>304</v>
      </c>
      <c r="B38">
        <v>1</v>
      </c>
      <c r="C38">
        <v>1</v>
      </c>
      <c r="D38">
        <v>1</v>
      </c>
      <c r="E38">
        <v>1</v>
      </c>
    </row>
    <row r="39" spans="1:5" x14ac:dyDescent="0.25">
      <c r="A39" t="s">
        <v>305</v>
      </c>
      <c r="B39">
        <v>1</v>
      </c>
      <c r="C39">
        <v>1</v>
      </c>
      <c r="D39">
        <v>1</v>
      </c>
      <c r="E39">
        <v>1</v>
      </c>
    </row>
    <row r="40" spans="1:5" x14ac:dyDescent="0.25">
      <c r="A40" t="s">
        <v>273</v>
      </c>
      <c r="C40">
        <v>1</v>
      </c>
      <c r="D40">
        <v>1</v>
      </c>
    </row>
    <row r="41" spans="1:5" x14ac:dyDescent="0.25">
      <c r="A41" t="s">
        <v>301</v>
      </c>
      <c r="B41">
        <v>1</v>
      </c>
      <c r="C41">
        <v>1</v>
      </c>
      <c r="D41">
        <v>1</v>
      </c>
      <c r="E41">
        <v>1</v>
      </c>
    </row>
    <row r="42" spans="1:5" x14ac:dyDescent="0.25">
      <c r="A42" t="s">
        <v>294</v>
      </c>
      <c r="C42">
        <v>1</v>
      </c>
      <c r="E42">
        <v>1</v>
      </c>
    </row>
    <row r="43" spans="1:5" x14ac:dyDescent="0.25">
      <c r="A43" t="s">
        <v>302</v>
      </c>
      <c r="B43">
        <v>1</v>
      </c>
      <c r="C43">
        <v>1</v>
      </c>
      <c r="D43">
        <v>1</v>
      </c>
      <c r="E43">
        <v>1</v>
      </c>
    </row>
    <row r="44" spans="1:5" x14ac:dyDescent="0.25">
      <c r="A44" t="s">
        <v>311</v>
      </c>
      <c r="C44">
        <v>1</v>
      </c>
      <c r="E44">
        <v>1</v>
      </c>
    </row>
    <row r="45" spans="1:5" x14ac:dyDescent="0.25">
      <c r="A45" t="s">
        <v>279</v>
      </c>
      <c r="B45">
        <v>1</v>
      </c>
    </row>
    <row r="46" spans="1:5" x14ac:dyDescent="0.25">
      <c r="A46" t="s">
        <v>65</v>
      </c>
      <c r="B46">
        <v>1</v>
      </c>
      <c r="D46">
        <v>1</v>
      </c>
    </row>
    <row r="47" spans="1:5" x14ac:dyDescent="0.25">
      <c r="A47" t="s">
        <v>70</v>
      </c>
      <c r="C47">
        <v>1</v>
      </c>
      <c r="E47">
        <v>1</v>
      </c>
    </row>
    <row r="48" spans="1:5" x14ac:dyDescent="0.25">
      <c r="A48" t="s">
        <v>94</v>
      </c>
      <c r="B48">
        <v>1</v>
      </c>
      <c r="D48">
        <v>1</v>
      </c>
    </row>
    <row r="49" spans="1:5" x14ac:dyDescent="0.25">
      <c r="A49" t="s">
        <v>93</v>
      </c>
      <c r="C49">
        <v>1</v>
      </c>
      <c r="D49">
        <v>1</v>
      </c>
      <c r="E49">
        <v>1</v>
      </c>
    </row>
    <row r="50" spans="1:5" x14ac:dyDescent="0.25">
      <c r="A50" t="s">
        <v>221</v>
      </c>
      <c r="C50">
        <v>1</v>
      </c>
      <c r="E50">
        <v>1</v>
      </c>
    </row>
    <row r="51" spans="1:5" x14ac:dyDescent="0.25">
      <c r="A51" t="s">
        <v>230</v>
      </c>
      <c r="B51">
        <v>1</v>
      </c>
      <c r="D51">
        <v>1</v>
      </c>
    </row>
    <row r="52" spans="1:5" x14ac:dyDescent="0.25">
      <c r="A52" t="s">
        <v>220</v>
      </c>
      <c r="B52">
        <v>1</v>
      </c>
      <c r="D52">
        <v>1</v>
      </c>
    </row>
    <row r="53" spans="1:5" x14ac:dyDescent="0.25">
      <c r="A53" t="s">
        <v>225</v>
      </c>
      <c r="C53">
        <v>1</v>
      </c>
      <c r="E53">
        <v>1</v>
      </c>
    </row>
    <row r="54" spans="1:5" x14ac:dyDescent="0.25">
      <c r="A54" t="s">
        <v>232</v>
      </c>
      <c r="B54">
        <v>1</v>
      </c>
      <c r="D54">
        <v>1</v>
      </c>
    </row>
    <row r="55" spans="1:5" x14ac:dyDescent="0.25">
      <c r="A55" t="s">
        <v>71</v>
      </c>
      <c r="B55">
        <v>1</v>
      </c>
      <c r="D55">
        <v>1</v>
      </c>
    </row>
    <row r="56" spans="1:5" x14ac:dyDescent="0.25">
      <c r="A56" t="s">
        <v>309</v>
      </c>
      <c r="C56">
        <v>1</v>
      </c>
      <c r="E56">
        <v>1</v>
      </c>
    </row>
    <row r="57" spans="1:5" x14ac:dyDescent="0.25">
      <c r="A57" t="s">
        <v>171</v>
      </c>
      <c r="D57">
        <v>1</v>
      </c>
    </row>
    <row r="58" spans="1:5" x14ac:dyDescent="0.25">
      <c r="A58" t="s">
        <v>227</v>
      </c>
      <c r="C58">
        <v>1</v>
      </c>
      <c r="E58">
        <v>1</v>
      </c>
    </row>
    <row r="59" spans="1:5" x14ac:dyDescent="0.25">
      <c r="A59" t="s">
        <v>162</v>
      </c>
      <c r="B59">
        <v>1</v>
      </c>
      <c r="D59">
        <v>1</v>
      </c>
    </row>
    <row r="60" spans="1:5" x14ac:dyDescent="0.25">
      <c r="A60" t="s">
        <v>179</v>
      </c>
      <c r="C60">
        <v>1</v>
      </c>
      <c r="E60">
        <v>1</v>
      </c>
    </row>
    <row r="61" spans="1:5" x14ac:dyDescent="0.25">
      <c r="A61" t="s">
        <v>223</v>
      </c>
      <c r="C61">
        <v>1</v>
      </c>
      <c r="E61">
        <v>1</v>
      </c>
    </row>
    <row r="62" spans="1:5" x14ac:dyDescent="0.25">
      <c r="A62" t="s">
        <v>222</v>
      </c>
      <c r="B62">
        <v>1</v>
      </c>
      <c r="D62">
        <v>1</v>
      </c>
    </row>
    <row r="63" spans="1:5" x14ac:dyDescent="0.25">
      <c r="A63" t="s">
        <v>164</v>
      </c>
      <c r="C63">
        <v>1</v>
      </c>
      <c r="E63">
        <v>1</v>
      </c>
    </row>
    <row r="64" spans="1:5" x14ac:dyDescent="0.25">
      <c r="A64" t="s">
        <v>175</v>
      </c>
      <c r="D64">
        <v>1</v>
      </c>
    </row>
    <row r="65" spans="1:5" x14ac:dyDescent="0.25">
      <c r="A65" t="s">
        <v>181</v>
      </c>
      <c r="B65">
        <v>1</v>
      </c>
      <c r="D65">
        <v>1</v>
      </c>
    </row>
    <row r="66" spans="1:5" x14ac:dyDescent="0.25">
      <c r="A66" t="s">
        <v>170</v>
      </c>
      <c r="C66">
        <v>1</v>
      </c>
      <c r="E66">
        <v>1</v>
      </c>
    </row>
    <row r="67" spans="1:5" x14ac:dyDescent="0.25">
      <c r="A67" t="s">
        <v>172</v>
      </c>
      <c r="B67">
        <v>1</v>
      </c>
    </row>
    <row r="68" spans="1:5" x14ac:dyDescent="0.25">
      <c r="A68" t="s">
        <v>169</v>
      </c>
      <c r="B68">
        <v>1</v>
      </c>
    </row>
    <row r="69" spans="1:5" x14ac:dyDescent="0.25">
      <c r="A69" t="s">
        <v>173</v>
      </c>
      <c r="D69">
        <v>1</v>
      </c>
    </row>
    <row r="70" spans="1:5" x14ac:dyDescent="0.25">
      <c r="A70" t="s">
        <v>174</v>
      </c>
      <c r="B70">
        <v>1</v>
      </c>
    </row>
    <row r="71" spans="1:5" x14ac:dyDescent="0.25">
      <c r="A71" t="s">
        <v>119</v>
      </c>
      <c r="B71">
        <v>1</v>
      </c>
      <c r="D71">
        <v>1</v>
      </c>
    </row>
    <row r="72" spans="1:5" x14ac:dyDescent="0.25">
      <c r="A72" t="s">
        <v>129</v>
      </c>
      <c r="B72">
        <v>1</v>
      </c>
      <c r="C72">
        <v>1</v>
      </c>
      <c r="D72">
        <v>1</v>
      </c>
      <c r="E72">
        <v>1</v>
      </c>
    </row>
    <row r="73" spans="1:5" x14ac:dyDescent="0.25">
      <c r="A73" t="s">
        <v>121</v>
      </c>
      <c r="B73">
        <v>1</v>
      </c>
      <c r="E73">
        <v>1</v>
      </c>
    </row>
    <row r="74" spans="1:5" x14ac:dyDescent="0.25">
      <c r="A74" t="s">
        <v>180</v>
      </c>
      <c r="B74">
        <v>1</v>
      </c>
      <c r="D74">
        <v>1</v>
      </c>
    </row>
    <row r="75" spans="1:5" x14ac:dyDescent="0.2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35"/>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1.875" style="16" bestFit="1" customWidth="1"/>
    <col min="4" max="4" width="62.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176"/>
      <c r="B2" s="178">
        <v>2</v>
      </c>
      <c r="C2" s="178">
        <v>3</v>
      </c>
      <c r="D2" s="178">
        <v>4</v>
      </c>
      <c r="E2" s="178"/>
      <c r="F2" s="178">
        <v>6</v>
      </c>
      <c r="G2" s="178">
        <v>5</v>
      </c>
      <c r="H2" s="178">
        <v>7</v>
      </c>
      <c r="I2" s="178">
        <v>8</v>
      </c>
      <c r="J2" s="178">
        <v>9</v>
      </c>
      <c r="K2" s="178">
        <v>10</v>
      </c>
      <c r="L2" s="177"/>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11</v>
      </c>
      <c r="E5" s="18"/>
      <c r="F5" s="190" t="s">
        <v>12</v>
      </c>
      <c r="G5" s="18" t="str">
        <f>IFERROR(CONCATENATE(VLOOKUP(D5,TableCourses[],2,FALSE)," ",VLOOKUP(D5,TableCourses[],3,FALSE)),"")</f>
        <v>OM-TEACH1 v.2</v>
      </c>
      <c r="H5" s="18"/>
      <c r="I5" s="18"/>
      <c r="J5" s="18"/>
      <c r="K5" s="18"/>
      <c r="L5" s="19"/>
    </row>
    <row r="6" spans="1:23" ht="20.100000000000001" customHeight="1" x14ac:dyDescent="0.25">
      <c r="B6" s="17"/>
      <c r="C6" s="190" t="s">
        <v>13</v>
      </c>
      <c r="D6" s="170" t="s">
        <v>36</v>
      </c>
      <c r="E6" s="18"/>
      <c r="F6" s="190" t="s">
        <v>15</v>
      </c>
      <c r="G6" s="18" t="str">
        <f>IFERROR(CONCATENATE(VLOOKUP(D6,TableMajorsMTeach[],2,FALSE)," ",VLOOKUP(D6,TableMajorsMTeach[],3,FALSE)),"")</f>
        <v>OUMP-TCHPE v.2</v>
      </c>
      <c r="H6" s="18"/>
      <c r="I6" s="18"/>
      <c r="J6" s="18"/>
      <c r="K6" s="18"/>
      <c r="L6" s="301" t="e">
        <f>CONCATENATE(VLOOKUP(D6,TableMajorsMTeach[],2,FALSE),VLOOKUP(D7,TableStudyPeriods[],2,FALSE))</f>
        <v>#N/A</v>
      </c>
    </row>
    <row r="7" spans="1:23" ht="20.100000000000001" customHeight="1" x14ac:dyDescent="0.2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15">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15">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15">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15">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15">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15">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15">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15">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15">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15">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1" x14ac:dyDescent="0.2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15">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15">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15">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15">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15">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15">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15">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15">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15">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15">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15">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18" x14ac:dyDescent="0.25">
      <c r="A33" s="75" t="s">
        <v>32</v>
      </c>
      <c r="B33" s="75"/>
      <c r="C33" s="75"/>
      <c r="D33" s="75"/>
      <c r="E33" s="75"/>
      <c r="F33" s="75"/>
      <c r="G33" s="75"/>
      <c r="H33" s="75"/>
      <c r="I33" s="75"/>
      <c r="J33" s="75"/>
      <c r="K33" s="75"/>
      <c r="L33" s="75"/>
    </row>
    <row r="34" spans="1:23" s="45" customFormat="1" ht="17.25" x14ac:dyDescent="0.2">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2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7" priority="1" operator="containsText" text="Choose">
      <formula>NOT(ISERROR(SEARCH("Choose",D5)))</formula>
    </cfRule>
  </conditionalFormatting>
  <dataValidations count="1">
    <dataValidation type="list" allowBlank="1" showInputMessage="1" showErrorMessage="1" sqref="L27 L15 L12 L18 L24 L30"/>
  </dataValidations>
  <hyperlinks>
    <hyperlink ref="A34:L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16" customWidth="1"/>
    <col min="2" max="2" width="3.25" style="16" customWidth="1"/>
    <col min="3" max="3" width="11.875" style="16" bestFit="1" customWidth="1"/>
    <col min="4" max="4" width="52.6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37</v>
      </c>
      <c r="E5" s="18"/>
      <c r="F5" s="190" t="s">
        <v>12</v>
      </c>
      <c r="G5" s="18" t="str">
        <f>IFERROR(CONCATENATE(VLOOKUP(D5,TableCourses[],2,FALSE)," ",VLOOKUP(D5,TableCourses[],3,FALSE)),"")</f>
        <v>OM-EDUC v.2</v>
      </c>
      <c r="H5" s="18"/>
      <c r="I5" s="18"/>
      <c r="J5" s="18"/>
      <c r="K5" s="18"/>
      <c r="L5" s="19"/>
    </row>
    <row r="6" spans="1:23" ht="20.100000000000001" customHeight="1" x14ac:dyDescent="0.25">
      <c r="B6" s="17"/>
      <c r="C6" s="190" t="s">
        <v>38</v>
      </c>
      <c r="D6" s="170" t="s">
        <v>39</v>
      </c>
      <c r="E6" s="18"/>
      <c r="F6" s="190" t="s">
        <v>40</v>
      </c>
      <c r="G6" s="18" t="str">
        <f>IFERROR(CONCATENATE(VLOOKUP(D6,TableSpecialisationsOMEDUC[],2,FALSE)," ",VLOOKUP(D6,TableSpecialisationsOMEDUC[],3,FALSE)),"")</f>
        <v/>
      </c>
      <c r="H6" s="18"/>
      <c r="I6" s="18"/>
      <c r="J6" s="18"/>
      <c r="K6" s="18"/>
      <c r="L6" s="301" t="e">
        <f>CONCATENATE(VLOOKUP(D6,TableSpecialisationsOMEDUC[],2,FALSE),VLOOKUP(D7,TableStudyPeriods[],2,FALSE))</f>
        <v>#N/A</v>
      </c>
    </row>
    <row r="7" spans="1:23" ht="20.100000000000001" customHeight="1" x14ac:dyDescent="0.25">
      <c r="A7" s="20"/>
      <c r="B7" s="21"/>
      <c r="C7" s="190" t="s">
        <v>16</v>
      </c>
      <c r="D7" s="171" t="s">
        <v>17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41</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IFERROR(IF(HLOOKUP($L$6,RangeUnitsetsOMEDUC,M10,FALSE)=0,"",HLOOKUP($L$6,RangeUnitsetsOMEDUC,M10,FALSE)),"")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IFERROR(IF(HLOOKUP($L$6,RangeUnitsetsOMEDUC,M11,FALSE)=0,"",HLOOKUP($L$6,RangeUnitsetsOMEDUC,M11,FALSE)),"")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15">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15">
      <c r="A13" s="64" t="str">
        <f>IFERROR(IF(HLOOKUP($L$6,RangeUnitsetsOMEDUC,M13,FALSE)=0,"",HLOOKUP($L$6,RangeUnitsetsOMEDUC,M13,FALSE)),"")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226">
        <v>4</v>
      </c>
      <c r="N13" s="27"/>
      <c r="O13" s="27"/>
      <c r="P13" s="28"/>
      <c r="Q13" s="28"/>
      <c r="R13" s="28"/>
      <c r="S13" s="28"/>
      <c r="T13" s="28"/>
      <c r="U13" s="28"/>
      <c r="V13" s="28"/>
      <c r="W13" s="28"/>
    </row>
    <row r="14" spans="1:23" s="29" customFormat="1" ht="21" customHeight="1" x14ac:dyDescent="0.15">
      <c r="A14" s="64" t="str">
        <f>IFERROR(IF(HLOOKUP($L$6,RangeUnitsetsOMEDUC,M14,FALSE)=0,"",HLOOKUP($L$6,RangeUnitsetsOMEDUC,M14,FALSE)),"")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226">
        <v>5</v>
      </c>
      <c r="N14" s="27"/>
      <c r="O14" s="27"/>
      <c r="P14" s="28"/>
      <c r="Q14" s="28"/>
      <c r="R14" s="28"/>
      <c r="S14" s="28"/>
      <c r="T14" s="28"/>
      <c r="U14" s="28"/>
      <c r="V14" s="28"/>
      <c r="W14" s="28"/>
    </row>
    <row r="15" spans="1:23" s="29" customFormat="1" ht="4.5" customHeight="1" x14ac:dyDescent="0.15">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15">
      <c r="A16" s="64" t="str">
        <f>IFERROR(IF(HLOOKUP($L$6,RangeUnitsetsOMEDUC,M16,FALSE)=0,"",HLOOKUP($L$6,RangeUnitsetsOMEDUC,M16,FALSE)),"")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6</v>
      </c>
      <c r="N16" s="27"/>
      <c r="O16" s="27"/>
      <c r="P16" s="28"/>
      <c r="Q16" s="28"/>
      <c r="R16" s="28"/>
      <c r="S16" s="28"/>
      <c r="T16" s="28"/>
      <c r="U16" s="28"/>
      <c r="V16" s="28"/>
      <c r="W16" s="28"/>
    </row>
    <row r="17" spans="1:23" s="38" customFormat="1" ht="21" customHeight="1" x14ac:dyDescent="0.15">
      <c r="A17" s="64" t="str">
        <f>IFERROR(IF(HLOOKUP($L$6,RangeUnitsetsOMEDUC,M17,FALSE)=0,"",HLOOKUP($L$6,RangeUnitsetsOMEDUC,M17,FALSE)),"")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226">
        <v>7</v>
      </c>
      <c r="N17" s="36"/>
      <c r="O17" s="36"/>
      <c r="P17" s="37"/>
      <c r="Q17" s="37"/>
      <c r="R17" s="37"/>
      <c r="S17" s="37"/>
      <c r="T17" s="37"/>
      <c r="U17" s="37"/>
      <c r="V17" s="37"/>
      <c r="W17" s="37"/>
    </row>
    <row r="18" spans="1:23" s="29" customFormat="1" ht="4.5" customHeight="1" x14ac:dyDescent="0.15">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15">
      <c r="A19" s="64" t="str">
        <f>IFERROR(IF(HLOOKUP($L$6,RangeUnitsetsOMEDUC,M19,FALSE)=0,"",HLOOKUP($L$6,RangeUnitsetsOMEDUC,M19,FALSE)),"")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8</v>
      </c>
      <c r="N19" s="36"/>
      <c r="O19" s="36"/>
      <c r="P19" s="37"/>
      <c r="Q19" s="37"/>
      <c r="R19" s="37"/>
      <c r="S19" s="37"/>
      <c r="T19" s="37"/>
      <c r="U19" s="37"/>
      <c r="V19" s="37"/>
      <c r="W19" s="37"/>
    </row>
    <row r="20" spans="1:23" s="38" customFormat="1" ht="21" customHeight="1" x14ac:dyDescent="0.15">
      <c r="A20" s="64" t="str">
        <f>IFERROR(IF(HLOOKUP($L$6,RangeUnitsetsOMEDUC,M20,FALSE)=0,"",HLOOKUP($L$6,RangeUnitsetsOMEDUC,M20,FALSE)),"")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15">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25" x14ac:dyDescent="0.25">
      <c r="A22" s="259" t="s">
        <v>42</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25">
      <c r="A23" s="160"/>
      <c r="B23" s="160"/>
      <c r="C23" s="186" t="s">
        <v>21</v>
      </c>
      <c r="D23" s="161" t="s">
        <v>3</v>
      </c>
      <c r="E23" s="186"/>
      <c r="F23" s="160" t="s">
        <v>41</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25">
      <c r="A24" s="233" t="str">
        <f t="shared" ref="A24:A32" si="0">IFERROR(IF(HLOOKUP($L$6,RangeUnitsetsOMEDUC,M24,FALSE)=0,"",HLOOKUP($L$6,RangeUnitsetsOMEDUC,M24,FALSE)),"")</f>
        <v/>
      </c>
      <c r="B24" s="295" t="str">
        <f>IFERROR(IF(VLOOKUP($A24,TableHandbook[],2,FALSE)=0,"",VLOOKUP($A24,TableHandbook[],2,FALSE)),"")</f>
        <v/>
      </c>
      <c r="C24" s="295" t="str">
        <f>IFERROR(IF(VLOOKUP($A24,TableHandbook[],3,FALSE)=0,"",VLOOKUP($A24,TableHandbook[],3,FALSE)),"")</f>
        <v/>
      </c>
      <c r="D24" s="51" t="str">
        <f>IFERROR(IF(VLOOKUP($A24,TableHandbook[],4,FALSE)=0,"",VLOOKUP($A24,TableHandbook[],4,FALSE)),"")</f>
        <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2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2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2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2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2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2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2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2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2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18" x14ac:dyDescent="0.25">
      <c r="A34" s="75" t="s">
        <v>32</v>
      </c>
      <c r="B34" s="75"/>
      <c r="C34" s="75"/>
      <c r="D34" s="75"/>
      <c r="E34" s="75"/>
      <c r="F34" s="75"/>
      <c r="G34" s="75"/>
      <c r="H34" s="75"/>
      <c r="I34" s="75"/>
      <c r="J34" s="75"/>
      <c r="K34" s="75"/>
      <c r="L34" s="75"/>
    </row>
    <row r="35" spans="1:23" s="45" customFormat="1" ht="17.25" x14ac:dyDescent="0.2">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2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46" priority="1">
      <formula>$A24=""</formula>
    </cfRule>
  </conditionalFormatting>
  <conditionalFormatting sqref="D5:D7">
    <cfRule type="containsText" dxfId="345" priority="2" operator="containsText" text="Choose">
      <formula>NOT(ISERROR(SEARCH("Choose",D5)))</formula>
    </cfRule>
  </conditionalFormatting>
  <dataValidations count="1">
    <dataValidation type="list" allowBlank="1" showInputMessage="1" showErrorMessage="1" sqref="L15 L12 L18"/>
  </dataValidations>
  <hyperlinks>
    <hyperlink ref="A35:L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D7</xm:sqref>
        </x14:dataValidation>
        <x14:dataValidation type="list" showInputMessage="1" showErrorMessage="1">
          <x14:formula1>
            <xm:f>Unitsets!$A$40:$A$44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47"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43</v>
      </c>
      <c r="E5" s="18"/>
      <c r="F5" s="190" t="s">
        <v>12</v>
      </c>
      <c r="G5" s="18" t="str">
        <f>IFERROR(CONCATENATE(VLOOKUP(D5,TableCourses[],2,FALSE)," ",VLOOKUP(D5,TableCourses[],3,FALSE)),"")</f>
        <v>OM-APLING v.1</v>
      </c>
      <c r="H5" s="18"/>
      <c r="I5" s="18"/>
      <c r="J5" s="18"/>
      <c r="K5" s="18"/>
      <c r="L5" s="301"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15">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15">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15">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15">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15">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15">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44" priority="1" operator="containsText" text="Choose">
      <formula>NOT(ISERROR(SEARCH("Choose",D5)))</formula>
    </cfRule>
  </conditionalFormatting>
  <dataValidations count="1">
    <dataValidation type="list" allowBlank="1" showInputMessage="1" showErrorMessage="1" sqref="L14 L11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170" t="s">
        <v>44</v>
      </c>
      <c r="E5" s="18"/>
      <c r="F5" s="190" t="s">
        <v>12</v>
      </c>
      <c r="G5" s="18" t="str">
        <f>IFERROR(CONCATENATE(VLOOKUP(D5,TableCourses[],2,FALSE)," ",VLOOKUP(D5,TableCourses[],3,FALSE)),"")</f>
        <v>OC-TESOL v.2</v>
      </c>
      <c r="H5" s="18"/>
      <c r="I5" s="18"/>
      <c r="J5" s="18"/>
      <c r="K5" s="18"/>
      <c r="L5" s="301"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25" x14ac:dyDescent="0.25">
      <c r="A15" s="259" t="s">
        <v>45</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25">
      <c r="A16" s="160"/>
      <c r="B16" s="160"/>
      <c r="C16" s="186" t="s">
        <v>21</v>
      </c>
      <c r="D16" s="161" t="s">
        <v>3</v>
      </c>
      <c r="E16" s="186"/>
      <c r="F16" s="160" t="s">
        <v>41</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2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2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2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43" priority="2">
      <formula>$A9=""</formula>
    </cfRule>
  </conditionalFormatting>
  <conditionalFormatting sqref="A17:L19">
    <cfRule type="expression" dxfId="342" priority="3">
      <formula>LEFT($D17,5)="Study"</formula>
    </cfRule>
  </conditionalFormatting>
  <conditionalFormatting sqref="D5:D6">
    <cfRule type="containsText" dxfId="341" priority="1" operator="containsText" text="Choose">
      <formula>NOT(ISERROR(SEARCH("Choose",D5)))</formula>
    </cfRule>
  </conditionalFormatting>
  <dataValidations count="1">
    <dataValidation type="list" allowBlank="1" showInputMessage="1" showErrorMessage="1" sqref="L11"/>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170" t="s">
        <v>46</v>
      </c>
      <c r="E5" s="18"/>
      <c r="F5" s="190" t="s">
        <v>12</v>
      </c>
      <c r="G5" s="18" t="str">
        <f>IFERROR(CONCATENATE(VLOOKUP(D5,TableCourses[],2,FALSE)," ",VLOOKUP(D5,TableCourses[],3,FALSE)),"")</f>
        <v>OC-EDHE v.1</v>
      </c>
      <c r="H5" s="18"/>
      <c r="I5" s="18"/>
      <c r="J5" s="18"/>
      <c r="K5" s="18"/>
      <c r="L5" s="301"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18" x14ac:dyDescent="0.25">
      <c r="A15" s="75" t="s">
        <v>32</v>
      </c>
      <c r="B15" s="75"/>
      <c r="C15" s="75"/>
      <c r="D15" s="75"/>
      <c r="E15" s="75"/>
      <c r="F15" s="75"/>
      <c r="G15" s="75"/>
      <c r="H15" s="75"/>
      <c r="I15" s="75"/>
      <c r="J15" s="75"/>
      <c r="K15" s="75"/>
      <c r="L15" s="75"/>
    </row>
    <row r="16" spans="1:23" s="45" customFormat="1" ht="17.25" x14ac:dyDescent="0.2">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2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40" priority="2">
      <formula>$A9=""</formula>
    </cfRule>
  </conditionalFormatting>
  <conditionalFormatting sqref="D5:D6">
    <cfRule type="containsText" dxfId="339" priority="1" operator="containsText" text="Choose">
      <formula>NOT(ISERROR(SEARCH("Choose",D5)))</formula>
    </cfRule>
  </conditionalFormatting>
  <dataValidations count="1">
    <dataValidation type="list" allowBlank="1" showInputMessage="1" showErrorMessage="1" sqref="L11"/>
  </dataValidations>
  <hyperlinks>
    <hyperlink ref="A16:L1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BH64"/>
  <sheetViews>
    <sheetView zoomScale="85" zoomScaleNormal="85" workbookViewId="0">
      <selection activeCell="D7" sqref="D7"/>
    </sheetView>
  </sheetViews>
  <sheetFormatPr defaultColWidth="9" defaultRowHeight="15.75" x14ac:dyDescent="0.25"/>
  <cols>
    <col min="1" max="1" width="75" style="81" bestFit="1" customWidth="1"/>
    <col min="2" max="2" width="11.5" style="243" bestFit="1" customWidth="1"/>
    <col min="3" max="3" width="8.875" style="243" bestFit="1" customWidth="1"/>
    <col min="4" max="4" width="19.375" style="243" bestFit="1" customWidth="1"/>
    <col min="5" max="5" width="16.625" style="243" bestFit="1" customWidth="1"/>
    <col min="6" max="6" width="14.5" style="243" customWidth="1"/>
    <col min="7" max="7" width="16.5" style="243" customWidth="1"/>
    <col min="8" max="8" width="20.875" style="78" bestFit="1" customWidth="1"/>
    <col min="9" max="9" width="3.625" style="79" customWidth="1"/>
    <col min="10" max="10" width="5.875" style="79" customWidth="1"/>
    <col min="11" max="11" width="15.25" style="79" bestFit="1" customWidth="1"/>
    <col min="12" max="12" width="5.875" style="79" bestFit="1" customWidth="1"/>
    <col min="13" max="13" width="15.625" style="79" bestFit="1" customWidth="1"/>
    <col min="14" max="14" width="5.875" style="79" bestFit="1" customWidth="1"/>
    <col min="15" max="15" width="15.625" style="79" bestFit="1" customWidth="1"/>
    <col min="16" max="16" width="5.875" style="79" bestFit="1" customWidth="1"/>
    <col min="17" max="17" width="15.625" style="79" bestFit="1" customWidth="1"/>
    <col min="18" max="18" width="7.375" style="79" bestFit="1" customWidth="1"/>
    <col min="19" max="19" width="15.25" style="79" bestFit="1" customWidth="1"/>
    <col min="20" max="20" width="5.875" style="79" bestFit="1" customWidth="1"/>
    <col min="21" max="21" width="15.625" style="79" bestFit="1" customWidth="1"/>
    <col min="22" max="22" width="5.875" style="79" bestFit="1" customWidth="1"/>
    <col min="23" max="23" width="15.5" style="79" customWidth="1"/>
    <col min="24" max="24" width="5.875" style="79" bestFit="1" customWidth="1"/>
    <col min="25" max="25" width="15.625" style="79" bestFit="1" customWidth="1"/>
    <col min="26" max="26" width="5.875" style="79" bestFit="1" customWidth="1"/>
    <col min="27" max="27" width="14.625" style="79" bestFit="1" customWidth="1"/>
    <col min="28" max="28" width="5.875" style="79" bestFit="1" customWidth="1"/>
    <col min="29" max="29" width="15" style="79" bestFit="1" customWidth="1"/>
    <col min="30" max="30" width="5.875" style="79" bestFit="1" customWidth="1"/>
    <col min="31" max="31" width="15" style="79" bestFit="1" customWidth="1"/>
    <col min="32" max="32" width="5.875" style="79" bestFit="1" customWidth="1"/>
    <col min="33" max="33" width="15" style="79" bestFit="1" customWidth="1"/>
    <col min="34" max="34" width="5.875" style="79" bestFit="1" customWidth="1"/>
    <col min="35" max="35" width="14.875" style="79" bestFit="1" customWidth="1"/>
    <col min="36" max="36" width="5.875" style="79" bestFit="1" customWidth="1"/>
    <col min="37" max="37" width="15.125" style="79" bestFit="1" customWidth="1"/>
    <col min="38" max="38" width="5.875" style="79" bestFit="1" customWidth="1"/>
    <col min="39" max="39" width="15.125" style="79" bestFit="1" customWidth="1"/>
    <col min="40" max="40" width="5.875" style="79" bestFit="1" customWidth="1"/>
    <col min="41" max="41" width="15.125" style="79" bestFit="1" customWidth="1"/>
    <col min="42" max="16384" width="9" style="79"/>
  </cols>
  <sheetData>
    <row r="1" spans="1:60" x14ac:dyDescent="0.25">
      <c r="A1" s="77" t="s">
        <v>47</v>
      </c>
      <c r="B1" s="242"/>
      <c r="C1" s="242"/>
      <c r="D1" s="242"/>
      <c r="J1" s="80"/>
      <c r="Z1"/>
      <c r="AA1"/>
      <c r="AB1"/>
      <c r="AC1"/>
      <c r="AD1"/>
      <c r="AE1"/>
      <c r="AF1"/>
      <c r="AG1"/>
      <c r="AH1"/>
      <c r="AI1"/>
      <c r="AJ1"/>
      <c r="AK1"/>
      <c r="AL1"/>
      <c r="AM1"/>
      <c r="AN1"/>
      <c r="AO1"/>
      <c r="AQ1" s="126" t="s">
        <v>48</v>
      </c>
    </row>
    <row r="2" spans="1:60" x14ac:dyDescent="0.2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2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2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2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3"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2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2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2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2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2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2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2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2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2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25">
      <c r="A15" s="311" t="s">
        <v>606</v>
      </c>
      <c r="B15" s="243" t="s">
        <v>114</v>
      </c>
      <c r="C15" s="243" t="s">
        <v>85</v>
      </c>
      <c r="D15" s="243" t="s">
        <v>115</v>
      </c>
      <c r="E15" s="245">
        <v>45292</v>
      </c>
      <c r="F15" s="245">
        <v>45292</v>
      </c>
      <c r="G15" s="81" t="s">
        <v>116</v>
      </c>
      <c r="I15" s="91"/>
      <c r="J15" s="123"/>
      <c r="K15" s="129"/>
      <c r="L15" s="123"/>
      <c r="M15" s="129"/>
      <c r="N15" s="123"/>
      <c r="O15" s="129"/>
      <c r="P15" s="123"/>
      <c r="Q15" s="129"/>
      <c r="R15" s="123"/>
      <c r="S15" s="129"/>
      <c r="T15" s="123"/>
      <c r="U15" s="129"/>
      <c r="V15" s="123"/>
      <c r="W15" s="129"/>
      <c r="X15" s="123"/>
      <c r="Y15" s="129"/>
      <c r="Z15"/>
      <c r="AA15"/>
      <c r="AB15"/>
      <c r="AC15"/>
      <c r="AD15"/>
      <c r="AE15"/>
      <c r="AF15"/>
      <c r="AG15"/>
      <c r="AH15"/>
      <c r="AI15"/>
      <c r="AJ15"/>
      <c r="AK15"/>
      <c r="AL15"/>
      <c r="AM15"/>
      <c r="AN15"/>
      <c r="AO15"/>
      <c r="AP15" s="96"/>
      <c r="AQ15" s="306"/>
      <c r="AR15" s="307"/>
      <c r="AS15" s="308"/>
      <c r="AT15" s="306"/>
      <c r="AU15" s="309"/>
      <c r="AV15" s="309"/>
      <c r="AW15" s="310"/>
      <c r="AX15" s="310"/>
      <c r="AY15" s="310"/>
      <c r="AZ15" s="310"/>
      <c r="BB15"/>
      <c r="BF15" s="92"/>
      <c r="BG15" s="92"/>
    </row>
    <row r="16" spans="1:60" x14ac:dyDescent="0.25">
      <c r="A16" s="81" t="s">
        <v>122</v>
      </c>
      <c r="B16" s="243" t="s">
        <v>123</v>
      </c>
      <c r="C16" s="243" t="s">
        <v>85</v>
      </c>
      <c r="D16" s="243" t="s">
        <v>115</v>
      </c>
      <c r="E16" s="245">
        <v>45292</v>
      </c>
      <c r="F16" s="245">
        <v>45292</v>
      </c>
      <c r="G16" s="81" t="s">
        <v>116</v>
      </c>
      <c r="I16" s="91">
        <v>12</v>
      </c>
      <c r="J16" s="123" t="s">
        <v>107</v>
      </c>
      <c r="K16" s="129" t="s">
        <v>73</v>
      </c>
      <c r="L16" s="123" t="s">
        <v>108</v>
      </c>
      <c r="M16" s="129" t="s">
        <v>97</v>
      </c>
      <c r="N16" s="123" t="s">
        <v>109</v>
      </c>
      <c r="O16" s="129" t="s">
        <v>110</v>
      </c>
      <c r="P16" s="123" t="s">
        <v>106</v>
      </c>
      <c r="Q16" s="129" t="s">
        <v>102</v>
      </c>
      <c r="R16" s="123" t="s">
        <v>107</v>
      </c>
      <c r="S16" s="129" t="s">
        <v>112</v>
      </c>
      <c r="T16" s="123" t="s">
        <v>108</v>
      </c>
      <c r="U16" s="129" t="s">
        <v>120</v>
      </c>
      <c r="V16" s="123" t="s">
        <v>109</v>
      </c>
      <c r="W16" s="129" t="s">
        <v>103</v>
      </c>
      <c r="X16" s="123" t="s">
        <v>106</v>
      </c>
      <c r="Y16" s="129" t="s">
        <v>111</v>
      </c>
      <c r="Z16"/>
      <c r="AA16"/>
      <c r="AB16"/>
      <c r="AC16"/>
      <c r="AD16"/>
      <c r="AE16"/>
      <c r="AF16"/>
      <c r="AG16"/>
      <c r="AH16"/>
      <c r="AI16"/>
      <c r="AJ16"/>
      <c r="AK16"/>
      <c r="AL16"/>
      <c r="AM16"/>
      <c r="AN16"/>
      <c r="AO16"/>
      <c r="AP16" s="96"/>
      <c r="AQ16" s="105"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F16" s="92"/>
      <c r="BG16" s="92"/>
    </row>
    <row r="17" spans="1:60" x14ac:dyDescent="0.25">
      <c r="A17" s="81" t="s">
        <v>43</v>
      </c>
      <c r="B17" s="273" t="s">
        <v>124</v>
      </c>
      <c r="C17" s="243" t="s">
        <v>85</v>
      </c>
      <c r="D17" s="243" t="s">
        <v>115</v>
      </c>
      <c r="E17" s="245">
        <v>43647</v>
      </c>
      <c r="F17" s="245">
        <v>43647</v>
      </c>
      <c r="G17" s="81" t="s">
        <v>92</v>
      </c>
      <c r="I17" s="91">
        <v>13</v>
      </c>
      <c r="J17" s="123" t="s">
        <v>107</v>
      </c>
      <c r="K17" s="129" t="s">
        <v>117</v>
      </c>
      <c r="L17" s="123" t="s">
        <v>108</v>
      </c>
      <c r="M17" s="129" t="s">
        <v>118</v>
      </c>
      <c r="N17" s="123" t="s">
        <v>109</v>
      </c>
      <c r="O17" s="129" t="s">
        <v>93</v>
      </c>
      <c r="P17" s="123" t="s">
        <v>106</v>
      </c>
      <c r="Q17" s="129" t="s">
        <v>119</v>
      </c>
      <c r="R17" s="123" t="s">
        <v>107</v>
      </c>
      <c r="S17" s="129" t="s">
        <v>76</v>
      </c>
      <c r="T17" s="123" t="s">
        <v>108</v>
      </c>
      <c r="U17" s="129" t="s">
        <v>119</v>
      </c>
      <c r="V17" s="123" t="s">
        <v>109</v>
      </c>
      <c r="W17" s="129" t="s">
        <v>121</v>
      </c>
      <c r="X17" s="123" t="s">
        <v>106</v>
      </c>
      <c r="Y17" s="129" t="s">
        <v>119</v>
      </c>
      <c r="Z17"/>
      <c r="AA17"/>
      <c r="AB17"/>
      <c r="AC17"/>
      <c r="AD17"/>
      <c r="AE17"/>
      <c r="AF17"/>
      <c r="AG17"/>
      <c r="AH17"/>
      <c r="AI17"/>
      <c r="AJ17"/>
      <c r="AK17"/>
      <c r="AL17"/>
      <c r="AM17"/>
      <c r="AN17"/>
      <c r="AO17"/>
      <c r="AP17" s="96"/>
      <c r="AQ17" s="114" t="e">
        <f t="shared" si="0"/>
        <v>#N/A</v>
      </c>
      <c r="AR17" s="106" t="e">
        <f>VLOOKUP($AQ17,TableHandbook[],AR$2,FALSE)</f>
        <v>#N/A</v>
      </c>
      <c r="AS17" t="e">
        <f>VLOOKUP($AQ17,TableHandbook[],AS$2,FALSE)</f>
        <v>#N/A</v>
      </c>
      <c r="AT17" s="107" t="e">
        <f>VLOOKUP($AQ17,TableHandbook[],AT$2,FALSE)</f>
        <v>#N/A</v>
      </c>
      <c r="AU17" s="108" t="e">
        <f>VLOOKUP($AQ17,TableHandbook[],AU$2,FALSE)</f>
        <v>#N/A</v>
      </c>
      <c r="AV17" s="108" t="e">
        <f>VLOOKUP($AQ17,TableHandbook[],AV$2,FALSE)</f>
        <v>#N/A</v>
      </c>
      <c r="AW17" s="1" t="e">
        <f>VLOOKUP($AQ17,TableHandbook[],AW$2,FALSE)</f>
        <v>#N/A</v>
      </c>
      <c r="AX17" s="1" t="e">
        <f>VLOOKUP($AQ17,TableHandbook[],AX$2,FALSE)</f>
        <v>#N/A</v>
      </c>
      <c r="AY17" s="1" t="e">
        <f>VLOOKUP($AQ17,TableHandbook[],AY$2,FALSE)</f>
        <v>#N/A</v>
      </c>
      <c r="AZ17" s="1" t="e">
        <f>VLOOKUP($AQ17,TableHandbook[],AZ$2,FALSE)</f>
        <v>#N/A</v>
      </c>
      <c r="BA17" s="78"/>
      <c r="BB17" s="92"/>
      <c r="BF17" s="92"/>
      <c r="BG17" s="92"/>
    </row>
    <row r="18" spans="1:60" x14ac:dyDescent="0.25">
      <c r="A18" s="81" t="s">
        <v>37</v>
      </c>
      <c r="B18" s="273" t="s">
        <v>125</v>
      </c>
      <c r="C18" s="243" t="s">
        <v>105</v>
      </c>
      <c r="D18" s="243" t="s">
        <v>115</v>
      </c>
      <c r="E18" s="245">
        <v>44562</v>
      </c>
      <c r="F18" s="245">
        <v>44562</v>
      </c>
      <c r="G18" s="81" t="s">
        <v>92</v>
      </c>
      <c r="I18" s="91">
        <v>14</v>
      </c>
      <c r="J18" s="123" t="s">
        <v>108</v>
      </c>
      <c r="K18" s="129" t="s">
        <v>119</v>
      </c>
      <c r="L18" s="123" t="s">
        <v>109</v>
      </c>
      <c r="M18" s="129" t="s">
        <v>110</v>
      </c>
      <c r="N18" s="123" t="s">
        <v>106</v>
      </c>
      <c r="O18" s="129" t="s">
        <v>119</v>
      </c>
      <c r="P18" s="123" t="s">
        <v>107</v>
      </c>
      <c r="Q18" s="129" t="s">
        <v>73</v>
      </c>
      <c r="R18" s="123" t="s">
        <v>108</v>
      </c>
      <c r="S18" s="129" t="s">
        <v>94</v>
      </c>
      <c r="T18" s="123" t="s">
        <v>109</v>
      </c>
      <c r="U18" s="129" t="s">
        <v>103</v>
      </c>
      <c r="V18" s="123" t="s">
        <v>106</v>
      </c>
      <c r="W18" s="129" t="s">
        <v>111</v>
      </c>
      <c r="X18" s="123" t="s">
        <v>107</v>
      </c>
      <c r="Y18" s="129" t="s">
        <v>112</v>
      </c>
      <c r="Z18"/>
      <c r="AA18"/>
      <c r="AB18"/>
      <c r="AC18"/>
      <c r="AD18"/>
      <c r="AE18"/>
      <c r="AF18"/>
      <c r="AG18"/>
      <c r="AH18"/>
      <c r="AI18"/>
      <c r="AJ18"/>
      <c r="AK18"/>
      <c r="AL18"/>
      <c r="AM18"/>
      <c r="AN18"/>
      <c r="AO18"/>
      <c r="AP18" s="96"/>
      <c r="AQ18" s="158" t="e">
        <f t="shared" si="0"/>
        <v>#N/A</v>
      </c>
      <c r="AR18" s="147" t="e">
        <f>VLOOKUP($AQ18,TableHandbook[],AR$2,FALSE)</f>
        <v>#N/A</v>
      </c>
      <c r="AS18" s="148" t="e">
        <f>VLOOKUP($AQ18,TableHandbook[],AS$2,FALSE)</f>
        <v>#N/A</v>
      </c>
      <c r="AT18" s="149" t="e">
        <f>VLOOKUP($AQ18,TableHandbook[],AT$2,FALSE)</f>
        <v>#N/A</v>
      </c>
      <c r="AU18" s="150" t="e">
        <f>VLOOKUP($AQ18,TableHandbook[],AU$2,FALSE)</f>
        <v>#N/A</v>
      </c>
      <c r="AV18" s="150" t="e">
        <f>VLOOKUP($AQ18,TableHandbook[],AV$2,FALSE)</f>
        <v>#N/A</v>
      </c>
      <c r="AW18" s="151" t="e">
        <f>VLOOKUP($AQ18,TableHandbook[],AW$2,FALSE)</f>
        <v>#N/A</v>
      </c>
      <c r="AX18" s="151" t="e">
        <f>VLOOKUP($AQ18,TableHandbook[],AX$2,FALSE)</f>
        <v>#N/A</v>
      </c>
      <c r="AY18" s="151" t="e">
        <f>VLOOKUP($AQ18,TableHandbook[],AY$2,FALSE)</f>
        <v>#N/A</v>
      </c>
      <c r="AZ18" s="151" t="e">
        <f>VLOOKUP($AQ18,TableHandbook[],AZ$2,FALSE)</f>
        <v>#N/A</v>
      </c>
      <c r="BA18" s="78"/>
      <c r="BB18" s="92"/>
      <c r="BC18" s="93"/>
      <c r="BD18" s="92"/>
      <c r="BE18" s="99"/>
      <c r="BF18" s="92"/>
      <c r="BG18" s="92"/>
    </row>
    <row r="19" spans="1:60" x14ac:dyDescent="0.25">
      <c r="A19" s="78" t="s">
        <v>11</v>
      </c>
      <c r="B19" s="273" t="s">
        <v>126</v>
      </c>
      <c r="C19" s="243" t="s">
        <v>105</v>
      </c>
      <c r="D19" s="243" t="s">
        <v>127</v>
      </c>
      <c r="E19" s="245">
        <v>44562</v>
      </c>
      <c r="F19" s="245">
        <v>44562</v>
      </c>
      <c r="G19" s="81" t="s">
        <v>92</v>
      </c>
      <c r="I19" s="91">
        <v>15</v>
      </c>
      <c r="J19" s="123" t="s">
        <v>108</v>
      </c>
      <c r="K19" s="129" t="s">
        <v>118</v>
      </c>
      <c r="L19" s="123" t="s">
        <v>109</v>
      </c>
      <c r="M19" s="129" t="s">
        <v>93</v>
      </c>
      <c r="N19" s="123" t="s">
        <v>106</v>
      </c>
      <c r="O19" s="129" t="s">
        <v>102</v>
      </c>
      <c r="P19" s="123" t="s">
        <v>107</v>
      </c>
      <c r="Q19" s="129" t="s">
        <v>117</v>
      </c>
      <c r="R19" s="123" t="s">
        <v>108</v>
      </c>
      <c r="S19" s="129" t="s">
        <v>120</v>
      </c>
      <c r="T19" s="123" t="s">
        <v>109</v>
      </c>
      <c r="U19" s="129" t="s">
        <v>121</v>
      </c>
      <c r="V19" s="123" t="s">
        <v>106</v>
      </c>
      <c r="W19" s="129" t="s">
        <v>119</v>
      </c>
      <c r="X19" s="123" t="s">
        <v>107</v>
      </c>
      <c r="Y19" s="129" t="s">
        <v>93</v>
      </c>
      <c r="Z19"/>
      <c r="AA19"/>
      <c r="AB19"/>
      <c r="AC19"/>
      <c r="AD19"/>
      <c r="AE19"/>
      <c r="AF19"/>
      <c r="AG19"/>
      <c r="AH19"/>
      <c r="AI19"/>
      <c r="AJ19"/>
      <c r="AK19"/>
      <c r="AL19"/>
      <c r="AM19"/>
      <c r="AN19"/>
      <c r="AO19"/>
      <c r="AP19" s="96"/>
      <c r="AQ19" s="159" t="e">
        <f t="shared" si="0"/>
        <v>#N/A</v>
      </c>
      <c r="AR19" s="153" t="e">
        <f>VLOOKUP($AQ19,TableHandbook[],AR$2,FALSE)</f>
        <v>#N/A</v>
      </c>
      <c r="AS19" s="154" t="e">
        <f>VLOOKUP($AQ19,TableHandbook[],AS$2,FALSE)</f>
        <v>#N/A</v>
      </c>
      <c r="AT19" s="155" t="e">
        <f>VLOOKUP($AQ19,TableHandbook[],AT$2,FALSE)</f>
        <v>#N/A</v>
      </c>
      <c r="AU19" s="156" t="e">
        <f>VLOOKUP($AQ19,TableHandbook[],AU$2,FALSE)</f>
        <v>#N/A</v>
      </c>
      <c r="AV19" s="156" t="e">
        <f>VLOOKUP($AQ19,TableHandbook[],AV$2,FALSE)</f>
        <v>#N/A</v>
      </c>
      <c r="AW19" s="157" t="e">
        <f>VLOOKUP($AQ19,TableHandbook[],AW$2,FALSE)</f>
        <v>#N/A</v>
      </c>
      <c r="AX19" s="157" t="e">
        <f>VLOOKUP($AQ19,TableHandbook[],AX$2,FALSE)</f>
        <v>#N/A</v>
      </c>
      <c r="AY19" s="157" t="e">
        <f>VLOOKUP($AQ19,TableHandbook[],AY$2,FALSE)</f>
        <v>#N/A</v>
      </c>
      <c r="AZ19" s="157" t="e">
        <f>VLOOKUP($AQ19,TableHandbook[],AZ$2,FALSE)</f>
        <v>#N/A</v>
      </c>
      <c r="BA19" s="78"/>
      <c r="BB19" s="92"/>
      <c r="BC19" s="93"/>
      <c r="BD19" s="92"/>
      <c r="BE19" s="99"/>
      <c r="BF19" s="92"/>
      <c r="BG19" s="92"/>
    </row>
    <row r="20" spans="1:60" x14ac:dyDescent="0.25">
      <c r="I20" s="91">
        <v>16</v>
      </c>
      <c r="J20" s="123" t="s">
        <v>109</v>
      </c>
      <c r="K20" s="129" t="s">
        <v>110</v>
      </c>
      <c r="L20" s="123" t="s">
        <v>106</v>
      </c>
      <c r="M20" s="129" t="s">
        <v>119</v>
      </c>
      <c r="N20" s="123" t="s">
        <v>107</v>
      </c>
      <c r="O20" s="129" t="s">
        <v>117</v>
      </c>
      <c r="P20" s="123" t="s">
        <v>108</v>
      </c>
      <c r="Q20" s="129" t="s">
        <v>118</v>
      </c>
      <c r="R20" s="123" t="s">
        <v>109</v>
      </c>
      <c r="S20" s="129" t="s">
        <v>121</v>
      </c>
      <c r="T20" s="123" t="s">
        <v>106</v>
      </c>
      <c r="U20" s="129" t="s">
        <v>111</v>
      </c>
      <c r="V20" s="123" t="s">
        <v>107</v>
      </c>
      <c r="W20" s="129" t="s">
        <v>112</v>
      </c>
      <c r="X20" s="123" t="s">
        <v>108</v>
      </c>
      <c r="Y20" s="129" t="s">
        <v>120</v>
      </c>
      <c r="Z20"/>
      <c r="AA20"/>
      <c r="AB20"/>
      <c r="AC20"/>
      <c r="AD20"/>
      <c r="AE20"/>
      <c r="AF20"/>
      <c r="AG20"/>
      <c r="AH20"/>
      <c r="AI20"/>
      <c r="AJ20"/>
      <c r="AK20"/>
      <c r="AL20"/>
      <c r="AM20"/>
      <c r="AN20"/>
      <c r="AO20"/>
      <c r="AP20" s="96"/>
      <c r="AQ20" s="114" t="e">
        <f t="shared" si="0"/>
        <v>#N/A</v>
      </c>
      <c r="AR20" s="106" t="e">
        <f>VLOOKUP($AQ20,TableHandbook[],AR$2,FALSE)</f>
        <v>#N/A</v>
      </c>
      <c r="AS20" t="e">
        <f>VLOOKUP($AQ20,TableHandbook[],AS$2,FALSE)</f>
        <v>#N/A</v>
      </c>
      <c r="AT20" s="107" t="e">
        <f>VLOOKUP($AQ20,TableHandbook[],AT$2,FALSE)</f>
        <v>#N/A</v>
      </c>
      <c r="AU20" s="108" t="e">
        <f>VLOOKUP($AQ20,TableHandbook[],AU$2,FALSE)</f>
        <v>#N/A</v>
      </c>
      <c r="AV20" s="108" t="e">
        <f>VLOOKUP($AQ20,TableHandbook[],AV$2,FALSE)</f>
        <v>#N/A</v>
      </c>
      <c r="AW20" s="1" t="e">
        <f>VLOOKUP($AQ20,TableHandbook[],AW$2,FALSE)</f>
        <v>#N/A</v>
      </c>
      <c r="AX20" s="1" t="e">
        <f>VLOOKUP($AQ20,TableHandbook[],AX$2,FALSE)</f>
        <v>#N/A</v>
      </c>
      <c r="AY20" s="1" t="e">
        <f>VLOOKUP($AQ20,TableHandbook[],AY$2,FALSE)</f>
        <v>#N/A</v>
      </c>
      <c r="AZ20" s="1" t="e">
        <f>VLOOKUP($AQ20,TableHandbook[],AZ$2,FALSE)</f>
        <v>#N/A</v>
      </c>
      <c r="BA20" s="78"/>
      <c r="BB20" s="92"/>
      <c r="BC20" s="93"/>
      <c r="BD20" s="92"/>
      <c r="BE20" s="99"/>
      <c r="BF20" s="92"/>
      <c r="BG20" s="92"/>
    </row>
    <row r="21" spans="1:60" x14ac:dyDescent="0.25">
      <c r="A21" s="240" t="s">
        <v>128</v>
      </c>
      <c r="I21" s="91">
        <v>17</v>
      </c>
      <c r="J21" s="125" t="s">
        <v>109</v>
      </c>
      <c r="K21" s="124" t="s">
        <v>129</v>
      </c>
      <c r="L21" s="125" t="s">
        <v>106</v>
      </c>
      <c r="M21" s="145" t="s">
        <v>130</v>
      </c>
      <c r="N21" s="125" t="s">
        <v>107</v>
      </c>
      <c r="O21" s="124" t="s">
        <v>129</v>
      </c>
      <c r="P21" s="125" t="s">
        <v>108</v>
      </c>
      <c r="Q21" s="124" t="s">
        <v>129</v>
      </c>
      <c r="R21" s="125" t="s">
        <v>109</v>
      </c>
      <c r="S21" s="124" t="s">
        <v>129</v>
      </c>
      <c r="T21" s="125" t="s">
        <v>106</v>
      </c>
      <c r="U21" s="124" t="s">
        <v>129</v>
      </c>
      <c r="V21" s="125" t="s">
        <v>107</v>
      </c>
      <c r="W21" s="124" t="s">
        <v>129</v>
      </c>
      <c r="X21" s="125" t="s">
        <v>108</v>
      </c>
      <c r="Y21" s="124" t="s">
        <v>129</v>
      </c>
      <c r="Z21"/>
      <c r="AA21"/>
      <c r="AB21"/>
      <c r="AC21"/>
      <c r="AD21"/>
      <c r="AE21"/>
      <c r="AF21"/>
      <c r="AG21"/>
      <c r="AH21"/>
      <c r="AI21"/>
      <c r="AJ21"/>
      <c r="AK21"/>
      <c r="AL21"/>
      <c r="AM21"/>
      <c r="AN21"/>
      <c r="AO21"/>
      <c r="AP21" s="96"/>
      <c r="AQ21" s="127" t="e">
        <f t="shared" si="0"/>
        <v>#N/A</v>
      </c>
      <c r="AR21" s="109" t="e">
        <f>VLOOKUP($AQ21,TableHandbook[],AR$2,FALSE)</f>
        <v>#N/A</v>
      </c>
      <c r="AS21" s="110" t="e">
        <f>VLOOKUP($AQ21,TableHandbook[],AS$2,FALSE)</f>
        <v>#N/A</v>
      </c>
      <c r="AT21" s="111" t="e">
        <f>VLOOKUP($AQ21,TableHandbook[],AT$2,FALSE)</f>
        <v>#N/A</v>
      </c>
      <c r="AU21" s="112" t="e">
        <f>VLOOKUP($AQ21,TableHandbook[],AU$2,FALSE)</f>
        <v>#N/A</v>
      </c>
      <c r="AV21" s="112" t="e">
        <f>VLOOKUP($AQ21,TableHandbook[],AV$2,FALSE)</f>
        <v>#N/A</v>
      </c>
      <c r="AW21" s="113" t="e">
        <f>VLOOKUP($AQ21,TableHandbook[],AW$2,FALSE)</f>
        <v>#N/A</v>
      </c>
      <c r="AX21" s="113" t="e">
        <f>VLOOKUP($AQ21,TableHandbook[],AX$2,FALSE)</f>
        <v>#N/A</v>
      </c>
      <c r="AY21" s="113" t="e">
        <f>VLOOKUP($AQ21,TableHandbook[],AY$2,FALSE)</f>
        <v>#N/A</v>
      </c>
      <c r="AZ21" s="113" t="e">
        <f>VLOOKUP($AQ21,TableHandbook[],AZ$2,FALSE)</f>
        <v>#N/A</v>
      </c>
      <c r="BC21" s="93"/>
      <c r="BD21" s="92"/>
      <c r="BE21" s="100"/>
      <c r="BF21" s="92"/>
      <c r="BG21" s="95"/>
    </row>
    <row r="22" spans="1:60" x14ac:dyDescent="0.25">
      <c r="A22" s="97" t="s">
        <v>17</v>
      </c>
      <c r="B22" s="244" t="s">
        <v>131</v>
      </c>
      <c r="C22" s="243" t="s">
        <v>132</v>
      </c>
      <c r="D22" s="243" t="s">
        <v>133</v>
      </c>
      <c r="E22" s="243" t="s">
        <v>134</v>
      </c>
      <c r="I22" s="91">
        <v>18</v>
      </c>
      <c r="J22" s="123" t="s">
        <v>135</v>
      </c>
      <c r="K22" s="144" t="s">
        <v>136</v>
      </c>
      <c r="L22" s="123" t="s">
        <v>137</v>
      </c>
      <c r="M22" s="129" t="s">
        <v>129</v>
      </c>
      <c r="N22" s="123" t="s">
        <v>138</v>
      </c>
      <c r="O22" s="144" t="s">
        <v>136</v>
      </c>
      <c r="P22" s="123" t="s">
        <v>139</v>
      </c>
      <c r="Q22" s="144" t="s">
        <v>136</v>
      </c>
      <c r="R22" s="123" t="s">
        <v>135</v>
      </c>
      <c r="S22" s="129" t="s">
        <v>136</v>
      </c>
      <c r="T22" s="123" t="s">
        <v>137</v>
      </c>
      <c r="U22" s="129" t="s">
        <v>136</v>
      </c>
      <c r="V22" s="123" t="s">
        <v>138</v>
      </c>
      <c r="W22" s="129" t="s">
        <v>136</v>
      </c>
      <c r="X22" s="123" t="s">
        <v>139</v>
      </c>
      <c r="Y22" s="129" t="s">
        <v>136</v>
      </c>
      <c r="Z22"/>
      <c r="AA22"/>
      <c r="AB22"/>
      <c r="AC22"/>
      <c r="AD22"/>
      <c r="AE22"/>
      <c r="AF22"/>
      <c r="AG22"/>
      <c r="AH22"/>
      <c r="AI22"/>
      <c r="AJ22"/>
      <c r="AK22"/>
      <c r="AL22"/>
      <c r="AM22"/>
      <c r="AN22"/>
      <c r="AO22"/>
      <c r="AP22" s="96"/>
      <c r="AQ22" s="114" t="e">
        <f t="shared" si="0"/>
        <v>#N/A</v>
      </c>
      <c r="AR22" s="106" t="e">
        <f>VLOOKUP($AQ22,TableHandbook[],AR$2,FALSE)</f>
        <v>#N/A</v>
      </c>
      <c r="AS22" t="e">
        <f>VLOOKUP($AQ22,TableHandbook[],AS$2,FALSE)</f>
        <v>#N/A</v>
      </c>
      <c r="AT22" s="107" t="e">
        <f>VLOOKUP($AQ22,TableHandbook[],AT$2,FALSE)</f>
        <v>#N/A</v>
      </c>
      <c r="AU22" s="108" t="e">
        <f>VLOOKUP($AQ22,TableHandbook[],AU$2,FALSE)</f>
        <v>#N/A</v>
      </c>
      <c r="AV22" s="108" t="e">
        <f>VLOOKUP($AQ22,TableHandbook[],AV$2,FALSE)</f>
        <v>#N/A</v>
      </c>
      <c r="AW22" s="1" t="e">
        <f>VLOOKUP($AQ22,TableHandbook[],AW$2,FALSE)</f>
        <v>#N/A</v>
      </c>
      <c r="AX22" s="1" t="e">
        <f>VLOOKUP($AQ22,TableHandbook[],AX$2,FALSE)</f>
        <v>#N/A</v>
      </c>
      <c r="AY22" s="1" t="e">
        <f>VLOOKUP($AQ22,TableHandbook[],AY$2,FALSE)</f>
        <v>#N/A</v>
      </c>
      <c r="AZ22" s="1" t="e">
        <f>VLOOKUP($AQ22,TableHandbook[],AZ$2,FALSE)</f>
        <v>#N/A</v>
      </c>
    </row>
    <row r="23" spans="1:60" x14ac:dyDescent="0.25">
      <c r="A23" s="78" t="s">
        <v>140</v>
      </c>
      <c r="B23" s="243" t="s">
        <v>25</v>
      </c>
      <c r="C23" s="243" t="s">
        <v>26</v>
      </c>
      <c r="D23" s="243" t="s">
        <v>27</v>
      </c>
      <c r="E23" s="243" t="s">
        <v>28</v>
      </c>
      <c r="I23" s="91">
        <v>19</v>
      </c>
      <c r="J23" s="125" t="s">
        <v>135</v>
      </c>
      <c r="K23" s="145"/>
      <c r="L23" s="125" t="s">
        <v>137</v>
      </c>
      <c r="M23" s="145"/>
      <c r="N23" s="125" t="s">
        <v>138</v>
      </c>
      <c r="O23" s="145"/>
      <c r="P23" s="125" t="s">
        <v>139</v>
      </c>
      <c r="Q23" s="145"/>
      <c r="R23" s="125" t="s">
        <v>135</v>
      </c>
      <c r="S23" s="124"/>
      <c r="T23" s="125" t="s">
        <v>137</v>
      </c>
      <c r="U23" s="124"/>
      <c r="V23" s="125" t="s">
        <v>138</v>
      </c>
      <c r="W23" s="124"/>
      <c r="X23" s="125" t="s">
        <v>139</v>
      </c>
      <c r="Y23" s="124"/>
      <c r="Z23"/>
      <c r="AA23"/>
      <c r="AB23"/>
      <c r="AC23"/>
      <c r="AD23"/>
      <c r="AE23"/>
      <c r="AF23"/>
      <c r="AG23"/>
      <c r="AH23"/>
      <c r="AI23"/>
      <c r="AJ23"/>
      <c r="AK23"/>
      <c r="AL23"/>
      <c r="AM23"/>
      <c r="AN23"/>
      <c r="AO23"/>
      <c r="AP23"/>
      <c r="AQ23" s="127" t="e">
        <f t="shared" si="0"/>
        <v>#N/A</v>
      </c>
      <c r="AR23" s="109" t="e">
        <f>VLOOKUP($AQ23,TableHandbook[],AR$2,FALSE)</f>
        <v>#N/A</v>
      </c>
      <c r="AS23" s="110" t="e">
        <f>VLOOKUP($AQ23,TableHandbook[],AS$2,FALSE)</f>
        <v>#N/A</v>
      </c>
      <c r="AT23" s="111" t="e">
        <f>VLOOKUP($AQ23,TableHandbook[],AT$2,FALSE)</f>
        <v>#N/A</v>
      </c>
      <c r="AU23" s="112" t="e">
        <f>VLOOKUP($AQ23,TableHandbook[],AU$2,FALSE)</f>
        <v>#N/A</v>
      </c>
      <c r="AV23" s="112" t="e">
        <f>VLOOKUP($AQ23,TableHandbook[],AV$2,FALSE)</f>
        <v>#N/A</v>
      </c>
      <c r="AW23" s="113" t="e">
        <f>VLOOKUP($AQ23,TableHandbook[],AW$2,FALSE)</f>
        <v>#N/A</v>
      </c>
      <c r="AX23" s="113" t="e">
        <f>VLOOKUP($AQ23,TableHandbook[],AX$2,FALSE)</f>
        <v>#N/A</v>
      </c>
      <c r="AY23" s="113" t="e">
        <f>VLOOKUP($AQ23,TableHandbook[],AY$2,FALSE)</f>
        <v>#N/A</v>
      </c>
      <c r="AZ23" s="113" t="e">
        <f>VLOOKUP($AQ23,TableHandbook[],AZ$2,FALSE)</f>
        <v>#N/A</v>
      </c>
      <c r="BA23"/>
      <c r="BB23"/>
      <c r="BC23"/>
      <c r="BD23"/>
      <c r="BE23"/>
      <c r="BF23"/>
      <c r="BG23"/>
      <c r="BH23"/>
    </row>
    <row r="24" spans="1:60" x14ac:dyDescent="0.25">
      <c r="A24" s="78" t="s">
        <v>141</v>
      </c>
      <c r="B24" s="243" t="s">
        <v>26</v>
      </c>
      <c r="C24" s="243" t="s">
        <v>27</v>
      </c>
      <c r="D24" s="243" t="s">
        <v>28</v>
      </c>
      <c r="E24" s="243" t="s">
        <v>25</v>
      </c>
      <c r="Z24" s="96"/>
      <c r="AA24" s="96"/>
      <c r="AB24" s="96"/>
      <c r="AC24" s="96"/>
      <c r="AD24" s="96"/>
      <c r="AE24"/>
      <c r="AF24"/>
      <c r="AG24"/>
      <c r="AH24"/>
      <c r="AI24"/>
      <c r="AJ24"/>
    </row>
    <row r="25" spans="1:60" x14ac:dyDescent="0.25">
      <c r="A25" s="78" t="s">
        <v>142</v>
      </c>
      <c r="B25" s="243" t="s">
        <v>27</v>
      </c>
      <c r="C25" s="243" t="s">
        <v>28</v>
      </c>
      <c r="D25" s="243" t="s">
        <v>25</v>
      </c>
      <c r="E25" s="243" t="s">
        <v>26</v>
      </c>
      <c r="H25"/>
      <c r="I25"/>
      <c r="K25" s="91"/>
      <c r="L25" s="96"/>
      <c r="M25" s="87"/>
      <c r="N25"/>
      <c r="O25"/>
      <c r="P25"/>
      <c r="Q25"/>
      <c r="R25"/>
      <c r="S25"/>
      <c r="T25"/>
      <c r="U25"/>
      <c r="V25"/>
      <c r="W25"/>
      <c r="X25"/>
      <c r="Y25"/>
      <c r="AD25" s="96"/>
      <c r="AE25"/>
      <c r="AF25"/>
      <c r="AG25"/>
      <c r="AH25"/>
      <c r="AI25"/>
      <c r="AJ25"/>
    </row>
    <row r="26" spans="1:60" x14ac:dyDescent="0.25">
      <c r="A26" s="78" t="s">
        <v>143</v>
      </c>
      <c r="B26" s="243" t="s">
        <v>28</v>
      </c>
      <c r="C26" s="243" t="s">
        <v>25</v>
      </c>
      <c r="D26" s="243" t="s">
        <v>26</v>
      </c>
      <c r="E26" s="243" t="s">
        <v>27</v>
      </c>
      <c r="H26" s="241" t="s">
        <v>144</v>
      </c>
      <c r="I26" s="87">
        <v>1</v>
      </c>
      <c r="J26" s="250"/>
      <c r="K26" s="251" t="s">
        <v>145</v>
      </c>
      <c r="L26" s="250"/>
      <c r="M26" s="251" t="s">
        <v>146</v>
      </c>
      <c r="N26" s="250"/>
      <c r="O26" s="251" t="s">
        <v>147</v>
      </c>
      <c r="P26" s="250"/>
      <c r="Q26" s="251" t="s">
        <v>148</v>
      </c>
      <c r="R26" s="250"/>
      <c r="S26" s="251" t="s">
        <v>149</v>
      </c>
      <c r="T26" s="250"/>
      <c r="U26" s="251" t="s">
        <v>150</v>
      </c>
      <c r="V26" s="250"/>
      <c r="W26" s="251" t="s">
        <v>151</v>
      </c>
      <c r="X26" s="250"/>
      <c r="Y26" s="251" t="s">
        <v>152</v>
      </c>
      <c r="Z26" s="89"/>
      <c r="AA26" s="88" t="s">
        <v>153</v>
      </c>
      <c r="AB26" s="89"/>
      <c r="AC26" s="88" t="s">
        <v>154</v>
      </c>
      <c r="AD26" s="89"/>
      <c r="AE26" s="88" t="s">
        <v>155</v>
      </c>
      <c r="AF26" s="89"/>
      <c r="AG26" s="88" t="s">
        <v>156</v>
      </c>
      <c r="AH26" s="89"/>
      <c r="AI26" s="88" t="s">
        <v>157</v>
      </c>
      <c r="AJ26" s="89"/>
      <c r="AK26" s="88" t="s">
        <v>158</v>
      </c>
      <c r="AL26" s="89"/>
      <c r="AM26" s="88" t="s">
        <v>159</v>
      </c>
      <c r="AN26" s="89"/>
      <c r="AO26" s="88" t="s">
        <v>160</v>
      </c>
    </row>
    <row r="27" spans="1:60" x14ac:dyDescent="0.25">
      <c r="E27" s="246"/>
      <c r="I27" s="91">
        <v>2</v>
      </c>
      <c r="J27" s="122" t="s">
        <v>161</v>
      </c>
      <c r="K27" s="128" t="s">
        <v>162</v>
      </c>
      <c r="L27" s="122" t="s">
        <v>163</v>
      </c>
      <c r="M27" s="128" t="s">
        <v>164</v>
      </c>
      <c r="N27" s="122" t="s">
        <v>165</v>
      </c>
      <c r="O27" s="128" t="s">
        <v>162</v>
      </c>
      <c r="P27" s="122" t="s">
        <v>166</v>
      </c>
      <c r="Q27" s="128" t="s">
        <v>164</v>
      </c>
      <c r="R27" s="122" t="s">
        <v>161</v>
      </c>
      <c r="S27" s="128" t="s">
        <v>162</v>
      </c>
      <c r="T27" s="122" t="s">
        <v>163</v>
      </c>
      <c r="U27" s="128" t="s">
        <v>164</v>
      </c>
      <c r="V27" s="122" t="s">
        <v>165</v>
      </c>
      <c r="W27" s="128" t="s">
        <v>162</v>
      </c>
      <c r="X27" s="122" t="s">
        <v>166</v>
      </c>
      <c r="Y27" s="128" t="s">
        <v>164</v>
      </c>
      <c r="Z27" s="122" t="s">
        <v>161</v>
      </c>
      <c r="AA27" s="128" t="s">
        <v>162</v>
      </c>
      <c r="AB27" s="122" t="s">
        <v>163</v>
      </c>
      <c r="AC27" s="128" t="s">
        <v>164</v>
      </c>
      <c r="AD27" s="122" t="s">
        <v>165</v>
      </c>
      <c r="AE27" s="128" t="s">
        <v>162</v>
      </c>
      <c r="AF27" s="122" t="s">
        <v>166</v>
      </c>
      <c r="AG27" s="128" t="s">
        <v>164</v>
      </c>
      <c r="AH27" s="122" t="s">
        <v>161</v>
      </c>
      <c r="AI27" s="128" t="s">
        <v>162</v>
      </c>
      <c r="AJ27" s="122" t="s">
        <v>163</v>
      </c>
      <c r="AK27" s="128" t="s">
        <v>164</v>
      </c>
      <c r="AL27" s="122" t="s">
        <v>165</v>
      </c>
      <c r="AM27" s="128" t="s">
        <v>162</v>
      </c>
      <c r="AN27" s="122" t="s">
        <v>166</v>
      </c>
      <c r="AO27" s="128" t="s">
        <v>164</v>
      </c>
    </row>
    <row r="28" spans="1:60" x14ac:dyDescent="0.25">
      <c r="A28" s="240" t="s">
        <v>167</v>
      </c>
      <c r="I28" s="91">
        <v>3</v>
      </c>
      <c r="J28" s="123" t="s">
        <v>161</v>
      </c>
      <c r="K28" s="129" t="s">
        <v>168</v>
      </c>
      <c r="L28" s="123" t="s">
        <v>163</v>
      </c>
      <c r="M28" s="129" t="s">
        <v>168</v>
      </c>
      <c r="N28" s="123" t="s">
        <v>165</v>
      </c>
      <c r="O28" s="129" t="s">
        <v>168</v>
      </c>
      <c r="P28" s="123" t="s">
        <v>166</v>
      </c>
      <c r="Q28" s="129" t="s">
        <v>168</v>
      </c>
      <c r="R28" s="123" t="s">
        <v>161</v>
      </c>
      <c r="S28" s="129" t="s">
        <v>169</v>
      </c>
      <c r="T28" s="123" t="s">
        <v>163</v>
      </c>
      <c r="U28" s="129" t="s">
        <v>170</v>
      </c>
      <c r="V28" s="123" t="s">
        <v>165</v>
      </c>
      <c r="W28" s="129" t="s">
        <v>171</v>
      </c>
      <c r="X28" s="123" t="s">
        <v>166</v>
      </c>
      <c r="Y28" s="129" t="s">
        <v>170</v>
      </c>
      <c r="Z28" s="123" t="s">
        <v>161</v>
      </c>
      <c r="AA28" s="129" t="s">
        <v>172</v>
      </c>
      <c r="AB28" s="123" t="s">
        <v>163</v>
      </c>
      <c r="AC28" s="129" t="s">
        <v>170</v>
      </c>
      <c r="AD28" s="123" t="s">
        <v>165</v>
      </c>
      <c r="AE28" s="129" t="s">
        <v>173</v>
      </c>
      <c r="AF28" s="123" t="s">
        <v>166</v>
      </c>
      <c r="AG28" s="129" t="s">
        <v>170</v>
      </c>
      <c r="AH28" s="123" t="s">
        <v>161</v>
      </c>
      <c r="AI28" s="129" t="s">
        <v>174</v>
      </c>
      <c r="AJ28" s="123" t="s">
        <v>163</v>
      </c>
      <c r="AK28" s="129" t="s">
        <v>170</v>
      </c>
      <c r="AL28" s="123" t="s">
        <v>165</v>
      </c>
      <c r="AM28" s="129" t="s">
        <v>175</v>
      </c>
      <c r="AN28" s="123" t="s">
        <v>166</v>
      </c>
      <c r="AO28" s="129" t="s">
        <v>170</v>
      </c>
    </row>
    <row r="29" spans="1:60" x14ac:dyDescent="0.25">
      <c r="A29" s="97" t="s">
        <v>176</v>
      </c>
      <c r="B29" s="244" t="s">
        <v>0</v>
      </c>
      <c r="C29" s="243" t="s">
        <v>79</v>
      </c>
      <c r="D29" s="243" t="s">
        <v>80</v>
      </c>
      <c r="E29" s="243" t="s">
        <v>81</v>
      </c>
      <c r="F29" s="243" t="s">
        <v>82</v>
      </c>
      <c r="I29" s="91">
        <v>4</v>
      </c>
      <c r="J29" s="123" t="s">
        <v>163</v>
      </c>
      <c r="K29" s="129" t="s">
        <v>164</v>
      </c>
      <c r="L29" s="123" t="s">
        <v>165</v>
      </c>
      <c r="M29" s="129" t="s">
        <v>162</v>
      </c>
      <c r="N29" s="123" t="s">
        <v>166</v>
      </c>
      <c r="O29" s="129" t="s">
        <v>164</v>
      </c>
      <c r="P29" s="123" t="s">
        <v>161</v>
      </c>
      <c r="Q29" s="129" t="s">
        <v>162</v>
      </c>
      <c r="R29" s="123" t="s">
        <v>163</v>
      </c>
      <c r="S29" s="129" t="s">
        <v>164</v>
      </c>
      <c r="T29" s="123" t="s">
        <v>165</v>
      </c>
      <c r="U29" s="129" t="s">
        <v>162</v>
      </c>
      <c r="V29" s="123" t="s">
        <v>166</v>
      </c>
      <c r="W29" s="129" t="s">
        <v>164</v>
      </c>
      <c r="X29" s="123" t="s">
        <v>161</v>
      </c>
      <c r="Y29" s="129" t="s">
        <v>162</v>
      </c>
      <c r="Z29" s="123" t="s">
        <v>163</v>
      </c>
      <c r="AA29" s="129" t="s">
        <v>164</v>
      </c>
      <c r="AB29" s="123" t="s">
        <v>165</v>
      </c>
      <c r="AC29" s="129" t="s">
        <v>162</v>
      </c>
      <c r="AD29" s="123" t="s">
        <v>166</v>
      </c>
      <c r="AE29" s="129" t="s">
        <v>164</v>
      </c>
      <c r="AF29" s="123" t="s">
        <v>161</v>
      </c>
      <c r="AG29" s="129" t="s">
        <v>162</v>
      </c>
      <c r="AH29" s="123" t="s">
        <v>163</v>
      </c>
      <c r="AI29" s="129" t="s">
        <v>164</v>
      </c>
      <c r="AJ29" s="123" t="s">
        <v>165</v>
      </c>
      <c r="AK29" s="129" t="s">
        <v>162</v>
      </c>
      <c r="AL29" s="123" t="s">
        <v>166</v>
      </c>
      <c r="AM29" s="129" t="s">
        <v>164</v>
      </c>
      <c r="AN29" s="123" t="s">
        <v>161</v>
      </c>
      <c r="AO29" s="129" t="s">
        <v>162</v>
      </c>
    </row>
    <row r="30" spans="1:60" x14ac:dyDescent="0.25">
      <c r="A30" s="93" t="s">
        <v>14</v>
      </c>
      <c r="B30" s="279" t="s">
        <v>177</v>
      </c>
      <c r="C30" s="92" t="s">
        <v>105</v>
      </c>
      <c r="D30" s="92" t="s">
        <v>127</v>
      </c>
      <c r="E30" s="245">
        <v>44562</v>
      </c>
      <c r="F30" s="278">
        <v>45017</v>
      </c>
      <c r="I30" s="91">
        <v>5</v>
      </c>
      <c r="J30" s="123" t="s">
        <v>163</v>
      </c>
      <c r="K30" s="129" t="s">
        <v>168</v>
      </c>
      <c r="L30" s="123" t="s">
        <v>165</v>
      </c>
      <c r="M30" s="129" t="s">
        <v>168</v>
      </c>
      <c r="N30" s="123" t="s">
        <v>166</v>
      </c>
      <c r="O30" s="129" t="s">
        <v>168</v>
      </c>
      <c r="P30" s="123" t="s">
        <v>161</v>
      </c>
      <c r="Q30" s="129" t="s">
        <v>168</v>
      </c>
      <c r="R30" s="123" t="s">
        <v>163</v>
      </c>
      <c r="S30" s="129" t="s">
        <v>170</v>
      </c>
      <c r="T30" s="123" t="s">
        <v>165</v>
      </c>
      <c r="U30" s="129" t="s">
        <v>171</v>
      </c>
      <c r="V30" s="123" t="s">
        <v>166</v>
      </c>
      <c r="W30" s="129" t="s">
        <v>170</v>
      </c>
      <c r="X30" s="123" t="s">
        <v>161</v>
      </c>
      <c r="Y30" s="129" t="s">
        <v>169</v>
      </c>
      <c r="Z30" s="123" t="s">
        <v>163</v>
      </c>
      <c r="AA30" s="129" t="s">
        <v>170</v>
      </c>
      <c r="AB30" s="123" t="s">
        <v>165</v>
      </c>
      <c r="AC30" s="129" t="s">
        <v>173</v>
      </c>
      <c r="AD30" s="123" t="s">
        <v>166</v>
      </c>
      <c r="AE30" s="129" t="s">
        <v>170</v>
      </c>
      <c r="AF30" s="123" t="s">
        <v>161</v>
      </c>
      <c r="AG30" s="129" t="s">
        <v>172</v>
      </c>
      <c r="AH30" s="123" t="s">
        <v>163</v>
      </c>
      <c r="AI30" s="129" t="s">
        <v>170</v>
      </c>
      <c r="AJ30" s="123" t="s">
        <v>165</v>
      </c>
      <c r="AK30" s="129" t="s">
        <v>175</v>
      </c>
      <c r="AL30" s="123" t="s">
        <v>166</v>
      </c>
      <c r="AM30" s="129" t="s">
        <v>170</v>
      </c>
      <c r="AN30" s="123" t="s">
        <v>161</v>
      </c>
      <c r="AO30" s="129" t="s">
        <v>174</v>
      </c>
    </row>
    <row r="31" spans="1:60" x14ac:dyDescent="0.25">
      <c r="A31" s="93" t="s">
        <v>36</v>
      </c>
      <c r="B31" s="279" t="s">
        <v>178</v>
      </c>
      <c r="C31" s="92" t="s">
        <v>105</v>
      </c>
      <c r="D31" s="92" t="s">
        <v>127</v>
      </c>
      <c r="E31" s="245">
        <v>44562</v>
      </c>
      <c r="F31" s="278">
        <v>45017</v>
      </c>
      <c r="I31" s="91">
        <v>6</v>
      </c>
      <c r="J31" s="123" t="s">
        <v>165</v>
      </c>
      <c r="K31" s="129" t="s">
        <v>168</v>
      </c>
      <c r="L31" s="123" t="s">
        <v>166</v>
      </c>
      <c r="M31" s="129" t="s">
        <v>179</v>
      </c>
      <c r="N31" s="123" t="s">
        <v>161</v>
      </c>
      <c r="O31" s="129" t="s">
        <v>168</v>
      </c>
      <c r="P31" s="123" t="s">
        <v>163</v>
      </c>
      <c r="Q31" s="129" t="s">
        <v>179</v>
      </c>
      <c r="R31" s="123" t="s">
        <v>165</v>
      </c>
      <c r="S31" s="129" t="s">
        <v>180</v>
      </c>
      <c r="T31" s="123" t="s">
        <v>166</v>
      </c>
      <c r="U31" s="129" t="s">
        <v>179</v>
      </c>
      <c r="V31" s="123" t="s">
        <v>161</v>
      </c>
      <c r="W31" s="129" t="s">
        <v>180</v>
      </c>
      <c r="X31" s="123" t="s">
        <v>163</v>
      </c>
      <c r="Y31" s="129" t="s">
        <v>179</v>
      </c>
      <c r="Z31" s="123" t="s">
        <v>165</v>
      </c>
      <c r="AA31" s="129" t="s">
        <v>181</v>
      </c>
      <c r="AB31" s="123" t="s">
        <v>166</v>
      </c>
      <c r="AC31" s="129" t="s">
        <v>179</v>
      </c>
      <c r="AD31" s="123" t="s">
        <v>161</v>
      </c>
      <c r="AE31" s="129" t="s">
        <v>181</v>
      </c>
      <c r="AF31" s="123" t="s">
        <v>163</v>
      </c>
      <c r="AG31" s="129" t="s">
        <v>179</v>
      </c>
      <c r="AH31" s="123" t="s">
        <v>165</v>
      </c>
      <c r="AI31" s="129" t="s">
        <v>181</v>
      </c>
      <c r="AJ31" s="123" t="s">
        <v>166</v>
      </c>
      <c r="AK31" s="129" t="s">
        <v>179</v>
      </c>
      <c r="AL31" s="123" t="s">
        <v>161</v>
      </c>
      <c r="AM31" s="129" t="s">
        <v>181</v>
      </c>
      <c r="AN31" s="123" t="s">
        <v>163</v>
      </c>
      <c r="AO31" s="129" t="s">
        <v>179</v>
      </c>
    </row>
    <row r="32" spans="1:60" x14ac:dyDescent="0.25">
      <c r="A32" s="93" t="s">
        <v>182</v>
      </c>
      <c r="B32" s="279" t="s">
        <v>183</v>
      </c>
      <c r="C32" s="92" t="s">
        <v>184</v>
      </c>
      <c r="D32" s="92" t="s">
        <v>127</v>
      </c>
      <c r="E32" s="245">
        <v>44562</v>
      </c>
      <c r="F32" s="278">
        <v>45017</v>
      </c>
      <c r="I32" s="91">
        <v>7</v>
      </c>
      <c r="J32" s="123" t="s">
        <v>165</v>
      </c>
      <c r="K32" s="129" t="s">
        <v>168</v>
      </c>
      <c r="L32" s="123" t="s">
        <v>166</v>
      </c>
      <c r="M32" s="144" t="s">
        <v>185</v>
      </c>
      <c r="N32" s="123" t="s">
        <v>161</v>
      </c>
      <c r="O32" s="129" t="s">
        <v>168</v>
      </c>
      <c r="P32" s="123" t="s">
        <v>163</v>
      </c>
      <c r="Q32" s="144" t="s">
        <v>185</v>
      </c>
      <c r="R32" s="123" t="s">
        <v>165</v>
      </c>
      <c r="S32" s="129" t="s">
        <v>171</v>
      </c>
      <c r="T32" s="123" t="s">
        <v>166</v>
      </c>
      <c r="U32" s="144" t="s">
        <v>185</v>
      </c>
      <c r="V32" s="123" t="s">
        <v>161</v>
      </c>
      <c r="W32" s="129" t="s">
        <v>169</v>
      </c>
      <c r="X32" s="123" t="s">
        <v>163</v>
      </c>
      <c r="Y32" s="144" t="s">
        <v>185</v>
      </c>
      <c r="Z32" s="123" t="s">
        <v>165</v>
      </c>
      <c r="AA32" s="129" t="s">
        <v>173</v>
      </c>
      <c r="AB32" s="123" t="s">
        <v>166</v>
      </c>
      <c r="AC32" s="144" t="s">
        <v>185</v>
      </c>
      <c r="AD32" s="123" t="s">
        <v>161</v>
      </c>
      <c r="AE32" s="129" t="s">
        <v>172</v>
      </c>
      <c r="AF32" s="123" t="s">
        <v>163</v>
      </c>
      <c r="AG32" s="144" t="s">
        <v>185</v>
      </c>
      <c r="AH32" s="123" t="s">
        <v>165</v>
      </c>
      <c r="AI32" s="129" t="s">
        <v>175</v>
      </c>
      <c r="AJ32" s="123" t="s">
        <v>166</v>
      </c>
      <c r="AK32" s="144" t="s">
        <v>185</v>
      </c>
      <c r="AL32" s="123" t="s">
        <v>161</v>
      </c>
      <c r="AM32" s="129" t="s">
        <v>174</v>
      </c>
      <c r="AN32" s="123" t="s">
        <v>163</v>
      </c>
      <c r="AO32" s="144" t="s">
        <v>185</v>
      </c>
    </row>
    <row r="33" spans="1:41" x14ac:dyDescent="0.25">
      <c r="A33" s="97"/>
      <c r="B33" s="244"/>
      <c r="I33" s="91">
        <v>8</v>
      </c>
      <c r="J33" s="123" t="s">
        <v>166</v>
      </c>
      <c r="K33" s="129" t="s">
        <v>179</v>
      </c>
      <c r="L33" s="123" t="s">
        <v>161</v>
      </c>
      <c r="M33" s="129" t="s">
        <v>168</v>
      </c>
      <c r="N33" s="123" t="s">
        <v>163</v>
      </c>
      <c r="O33" s="129" t="s">
        <v>179</v>
      </c>
      <c r="P33" s="123" t="s">
        <v>165</v>
      </c>
      <c r="Q33" s="129" t="s">
        <v>168</v>
      </c>
      <c r="R33" s="123" t="s">
        <v>166</v>
      </c>
      <c r="S33" s="129" t="s">
        <v>179</v>
      </c>
      <c r="T33" s="123" t="s">
        <v>161</v>
      </c>
      <c r="U33" s="129" t="s">
        <v>180</v>
      </c>
      <c r="V33" s="123" t="s">
        <v>163</v>
      </c>
      <c r="W33" s="129" t="s">
        <v>179</v>
      </c>
      <c r="X33" s="123" t="s">
        <v>165</v>
      </c>
      <c r="Y33" s="129" t="s">
        <v>180</v>
      </c>
      <c r="Z33" s="123" t="s">
        <v>166</v>
      </c>
      <c r="AA33" s="129" t="s">
        <v>179</v>
      </c>
      <c r="AB33" s="123" t="s">
        <v>161</v>
      </c>
      <c r="AC33" s="129" t="s">
        <v>181</v>
      </c>
      <c r="AD33" s="123" t="s">
        <v>163</v>
      </c>
      <c r="AE33" s="129" t="s">
        <v>179</v>
      </c>
      <c r="AF33" s="123" t="s">
        <v>165</v>
      </c>
      <c r="AG33" s="129" t="s">
        <v>181</v>
      </c>
      <c r="AH33" s="123" t="s">
        <v>166</v>
      </c>
      <c r="AI33" s="129" t="s">
        <v>179</v>
      </c>
      <c r="AJ33" s="123" t="s">
        <v>161</v>
      </c>
      <c r="AK33" s="129" t="s">
        <v>181</v>
      </c>
      <c r="AL33" s="123" t="s">
        <v>163</v>
      </c>
      <c r="AM33" s="129" t="s">
        <v>179</v>
      </c>
      <c r="AN33" s="123" t="s">
        <v>165</v>
      </c>
      <c r="AO33" s="129" t="s">
        <v>181</v>
      </c>
    </row>
    <row r="34" spans="1:41" x14ac:dyDescent="0.25">
      <c r="A34" s="240" t="s">
        <v>186</v>
      </c>
      <c r="I34" s="91">
        <v>9</v>
      </c>
      <c r="J34" s="125" t="s">
        <v>166</v>
      </c>
      <c r="K34" s="145" t="s">
        <v>185</v>
      </c>
      <c r="L34" s="125" t="s">
        <v>161</v>
      </c>
      <c r="M34" s="124" t="s">
        <v>168</v>
      </c>
      <c r="N34" s="125" t="s">
        <v>163</v>
      </c>
      <c r="O34" s="145" t="s">
        <v>185</v>
      </c>
      <c r="P34" s="125" t="s">
        <v>165</v>
      </c>
      <c r="Q34" s="124" t="s">
        <v>168</v>
      </c>
      <c r="R34" s="125" t="s">
        <v>166</v>
      </c>
      <c r="S34" s="145" t="s">
        <v>185</v>
      </c>
      <c r="T34" s="125" t="s">
        <v>161</v>
      </c>
      <c r="U34" s="124" t="s">
        <v>169</v>
      </c>
      <c r="V34" s="125" t="s">
        <v>163</v>
      </c>
      <c r="W34" s="145" t="s">
        <v>185</v>
      </c>
      <c r="X34" s="125" t="s">
        <v>165</v>
      </c>
      <c r="Y34" s="124" t="s">
        <v>171</v>
      </c>
      <c r="Z34" s="125" t="s">
        <v>166</v>
      </c>
      <c r="AA34" s="145" t="s">
        <v>185</v>
      </c>
      <c r="AB34" s="125" t="s">
        <v>161</v>
      </c>
      <c r="AC34" s="124" t="s">
        <v>172</v>
      </c>
      <c r="AD34" s="125" t="s">
        <v>163</v>
      </c>
      <c r="AE34" s="145" t="s">
        <v>185</v>
      </c>
      <c r="AF34" s="125" t="s">
        <v>165</v>
      </c>
      <c r="AG34" s="124" t="s">
        <v>173</v>
      </c>
      <c r="AH34" s="125" t="s">
        <v>166</v>
      </c>
      <c r="AI34" s="144" t="s">
        <v>185</v>
      </c>
      <c r="AJ34" s="125" t="s">
        <v>161</v>
      </c>
      <c r="AK34" s="124" t="s">
        <v>174</v>
      </c>
      <c r="AL34" s="125" t="s">
        <v>163</v>
      </c>
      <c r="AM34" s="144" t="s">
        <v>185</v>
      </c>
      <c r="AN34" s="125" t="s">
        <v>165</v>
      </c>
      <c r="AO34" s="124" t="s">
        <v>175</v>
      </c>
    </row>
    <row r="35" spans="1:41" x14ac:dyDescent="0.25">
      <c r="A35" s="97" t="s">
        <v>176</v>
      </c>
      <c r="B35" s="244" t="s">
        <v>0</v>
      </c>
      <c r="C35" s="243" t="s">
        <v>79</v>
      </c>
      <c r="D35" s="243" t="s">
        <v>80</v>
      </c>
      <c r="E35" s="243" t="s">
        <v>81</v>
      </c>
      <c r="F35" s="243" t="s">
        <v>82</v>
      </c>
      <c r="G35" s="1"/>
      <c r="I35" s="91">
        <v>10</v>
      </c>
      <c r="J35" s="122" t="s">
        <v>187</v>
      </c>
      <c r="K35" s="128" t="s">
        <v>171</v>
      </c>
      <c r="L35" s="122" t="s">
        <v>187</v>
      </c>
      <c r="M35" s="128" t="s">
        <v>171</v>
      </c>
      <c r="N35" s="122" t="s">
        <v>187</v>
      </c>
      <c r="O35" s="128" t="s">
        <v>171</v>
      </c>
      <c r="P35" s="122" t="s">
        <v>187</v>
      </c>
      <c r="Q35" s="128" t="s">
        <v>171</v>
      </c>
      <c r="R35" s="122"/>
      <c r="S35" s="252" t="s">
        <v>136</v>
      </c>
      <c r="T35" s="122"/>
      <c r="U35" s="252" t="s">
        <v>136</v>
      </c>
      <c r="V35" s="122"/>
      <c r="W35" s="252" t="s">
        <v>136</v>
      </c>
      <c r="X35" s="122"/>
      <c r="Y35" s="252" t="s">
        <v>136</v>
      </c>
      <c r="Z35" s="122"/>
      <c r="AA35" s="252" t="s">
        <v>136</v>
      </c>
      <c r="AB35" s="122"/>
      <c r="AC35" s="252" t="s">
        <v>136</v>
      </c>
      <c r="AD35" s="122"/>
      <c r="AE35" s="252" t="s">
        <v>136</v>
      </c>
      <c r="AF35" s="122"/>
      <c r="AG35" s="252" t="s">
        <v>136</v>
      </c>
      <c r="AH35" s="122"/>
      <c r="AI35" s="252" t="s">
        <v>136</v>
      </c>
      <c r="AJ35" s="122"/>
      <c r="AK35" s="252" t="s">
        <v>136</v>
      </c>
      <c r="AL35" s="122"/>
      <c r="AM35" s="252" t="s">
        <v>136</v>
      </c>
      <c r="AN35" s="122"/>
      <c r="AO35" s="252" t="s">
        <v>136</v>
      </c>
    </row>
    <row r="36" spans="1:41" ht="15.75" customHeight="1" x14ac:dyDescent="0.25">
      <c r="A36" s="93" t="s">
        <v>188</v>
      </c>
      <c r="B36" s="92" t="s">
        <v>189</v>
      </c>
      <c r="C36" s="92" t="s">
        <v>85</v>
      </c>
      <c r="D36" s="92" t="s">
        <v>115</v>
      </c>
      <c r="E36" s="245">
        <v>45292</v>
      </c>
      <c r="F36" s="245">
        <v>45292</v>
      </c>
      <c r="G36" s="1"/>
      <c r="I36" s="91">
        <v>11</v>
      </c>
      <c r="J36" s="123" t="s">
        <v>190</v>
      </c>
      <c r="K36" s="129" t="s">
        <v>175</v>
      </c>
      <c r="L36" s="123" t="s">
        <v>190</v>
      </c>
      <c r="M36" s="129" t="s">
        <v>175</v>
      </c>
      <c r="N36" s="123" t="s">
        <v>190</v>
      </c>
      <c r="O36" s="129" t="s">
        <v>175</v>
      </c>
      <c r="P36" s="123" t="s">
        <v>190</v>
      </c>
      <c r="Q36" s="129" t="s">
        <v>175</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x14ac:dyDescent="0.25">
      <c r="A37" s="93" t="s">
        <v>191</v>
      </c>
      <c r="B37" s="92" t="s">
        <v>192</v>
      </c>
      <c r="C37" s="92" t="s">
        <v>85</v>
      </c>
      <c r="D37" s="92" t="s">
        <v>115</v>
      </c>
      <c r="E37" s="245">
        <v>45292</v>
      </c>
      <c r="F37" s="245">
        <v>45292</v>
      </c>
      <c r="G37" s="1"/>
      <c r="I37" s="91">
        <v>12</v>
      </c>
      <c r="J37" s="123" t="s">
        <v>193</v>
      </c>
      <c r="K37" s="129" t="s">
        <v>181</v>
      </c>
      <c r="L37" s="123" t="s">
        <v>193</v>
      </c>
      <c r="M37" s="129" t="s">
        <v>181</v>
      </c>
      <c r="N37" s="123" t="s">
        <v>193</v>
      </c>
      <c r="O37" s="129" t="s">
        <v>181</v>
      </c>
      <c r="P37" s="123" t="s">
        <v>193</v>
      </c>
      <c r="Q37" s="129" t="s">
        <v>181</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25">
      <c r="C38" s="1"/>
      <c r="D38" s="1"/>
      <c r="E38" s="1"/>
      <c r="F38" s="1"/>
      <c r="G38" s="1"/>
      <c r="I38" s="91">
        <v>13</v>
      </c>
      <c r="J38" s="123" t="s">
        <v>194</v>
      </c>
      <c r="K38" s="129" t="s">
        <v>170</v>
      </c>
      <c r="L38" s="123" t="s">
        <v>194</v>
      </c>
      <c r="M38" s="129" t="s">
        <v>170</v>
      </c>
      <c r="N38" s="123" t="s">
        <v>194</v>
      </c>
      <c r="O38" s="129" t="s">
        <v>170</v>
      </c>
      <c r="P38" s="123" t="s">
        <v>194</v>
      </c>
      <c r="Q38" s="129" t="s">
        <v>170</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ht="15.75" customHeight="1" x14ac:dyDescent="0.25">
      <c r="A39" s="240" t="s">
        <v>195</v>
      </c>
      <c r="B39" s="78"/>
      <c r="C39" s="78"/>
      <c r="D39" s="78"/>
      <c r="E39" s="78"/>
      <c r="G39" s="1"/>
      <c r="I39" s="91">
        <v>14</v>
      </c>
      <c r="J39" s="123" t="s">
        <v>196</v>
      </c>
      <c r="K39" s="129" t="s">
        <v>172</v>
      </c>
      <c r="L39" s="123" t="s">
        <v>196</v>
      </c>
      <c r="M39" s="129" t="s">
        <v>172</v>
      </c>
      <c r="N39" s="123" t="s">
        <v>196</v>
      </c>
      <c r="O39" s="129" t="s">
        <v>172</v>
      </c>
      <c r="P39" s="123" t="s">
        <v>196</v>
      </c>
      <c r="Q39" s="129" t="s">
        <v>172</v>
      </c>
      <c r="R39" s="123"/>
      <c r="S39" s="129"/>
      <c r="T39" s="123"/>
      <c r="U39" s="129"/>
      <c r="V39" s="123"/>
      <c r="W39" s="129"/>
      <c r="X39" s="123"/>
      <c r="Y39" s="129"/>
      <c r="Z39" s="123"/>
      <c r="AA39" s="129"/>
      <c r="AB39" s="123"/>
      <c r="AC39" s="129"/>
      <c r="AD39" s="123"/>
      <c r="AE39" s="129"/>
      <c r="AF39" s="123"/>
      <c r="AG39" s="129"/>
      <c r="AH39" s="123"/>
      <c r="AI39" s="129"/>
      <c r="AJ39" s="123"/>
      <c r="AK39" s="129"/>
      <c r="AL39" s="123"/>
      <c r="AM39" s="129"/>
      <c r="AN39" s="123"/>
      <c r="AO39" s="129"/>
    </row>
    <row r="40" spans="1:41" x14ac:dyDescent="0.25">
      <c r="A40" s="97" t="s">
        <v>39</v>
      </c>
      <c r="B40" s="98" t="s">
        <v>0</v>
      </c>
      <c r="C40" s="78" t="s">
        <v>79</v>
      </c>
      <c r="D40" s="78" t="s">
        <v>80</v>
      </c>
      <c r="E40" s="78" t="s">
        <v>81</v>
      </c>
      <c r="F40" s="243" t="s">
        <v>82</v>
      </c>
      <c r="G40" s="1"/>
      <c r="I40" s="91">
        <v>15</v>
      </c>
      <c r="J40" s="123" t="s">
        <v>197</v>
      </c>
      <c r="K40" s="129" t="s">
        <v>169</v>
      </c>
      <c r="L40" s="123" t="s">
        <v>197</v>
      </c>
      <c r="M40" s="129" t="s">
        <v>169</v>
      </c>
      <c r="N40" s="123" t="s">
        <v>197</v>
      </c>
      <c r="O40" s="129" t="s">
        <v>169</v>
      </c>
      <c r="P40" s="123" t="s">
        <v>197</v>
      </c>
      <c r="Q40" s="129" t="s">
        <v>169</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25">
      <c r="A41" s="294" t="s">
        <v>198</v>
      </c>
      <c r="B41" s="92" t="s">
        <v>199</v>
      </c>
      <c r="C41" s="92"/>
      <c r="D41" s="93"/>
      <c r="E41" s="278"/>
      <c r="F41" s="278"/>
      <c r="G41" s="1"/>
      <c r="I41" s="91">
        <v>16</v>
      </c>
      <c r="J41" s="123" t="s">
        <v>200</v>
      </c>
      <c r="K41" s="129" t="s">
        <v>173</v>
      </c>
      <c r="L41" s="123" t="s">
        <v>200</v>
      </c>
      <c r="M41" s="129" t="s">
        <v>173</v>
      </c>
      <c r="N41" s="123" t="s">
        <v>200</v>
      </c>
      <c r="O41" s="129" t="s">
        <v>173</v>
      </c>
      <c r="P41" s="123" t="s">
        <v>200</v>
      </c>
      <c r="Q41" s="129" t="s">
        <v>173</v>
      </c>
      <c r="R41" s="123"/>
      <c r="S41" s="129"/>
      <c r="T41" s="123"/>
      <c r="U41" s="144"/>
      <c r="V41" s="123"/>
      <c r="W41" s="129"/>
      <c r="X41" s="123"/>
      <c r="Y41" s="129"/>
      <c r="Z41" s="123"/>
      <c r="AA41" s="129"/>
      <c r="AB41" s="123"/>
      <c r="AC41" s="144"/>
      <c r="AD41" s="123"/>
      <c r="AE41" s="129"/>
      <c r="AF41" s="123"/>
      <c r="AG41" s="144"/>
      <c r="AH41" s="123"/>
      <c r="AI41" s="129"/>
      <c r="AJ41" s="123"/>
      <c r="AK41" s="129"/>
      <c r="AL41" s="123"/>
      <c r="AM41" s="129"/>
      <c r="AN41" s="123"/>
      <c r="AO41" s="129"/>
    </row>
    <row r="42" spans="1:41" x14ac:dyDescent="0.25">
      <c r="A42" s="93" t="s">
        <v>201</v>
      </c>
      <c r="B42" s="279" t="s">
        <v>202</v>
      </c>
      <c r="C42" s="92" t="s">
        <v>85</v>
      </c>
      <c r="D42" s="93" t="s">
        <v>86</v>
      </c>
      <c r="E42" s="245">
        <v>44562</v>
      </c>
      <c r="F42" s="245">
        <v>44562</v>
      </c>
      <c r="G42" s="1"/>
      <c r="I42" s="91">
        <v>17</v>
      </c>
      <c r="J42" s="123" t="s">
        <v>203</v>
      </c>
      <c r="K42" s="129" t="s">
        <v>174</v>
      </c>
      <c r="L42" s="123" t="s">
        <v>203</v>
      </c>
      <c r="M42" s="129" t="s">
        <v>174</v>
      </c>
      <c r="N42" s="123" t="s">
        <v>203</v>
      </c>
      <c r="O42" s="129" t="s">
        <v>174</v>
      </c>
      <c r="P42" s="123" t="s">
        <v>203</v>
      </c>
      <c r="Q42" s="129" t="s">
        <v>174</v>
      </c>
      <c r="R42" s="123"/>
      <c r="S42" s="129"/>
      <c r="T42" s="123"/>
      <c r="U42" s="129"/>
      <c r="V42" s="123"/>
      <c r="W42" s="129"/>
      <c r="X42" s="123"/>
      <c r="Y42" s="129"/>
      <c r="Z42" s="123"/>
      <c r="AA42" s="129"/>
      <c r="AB42" s="123"/>
      <c r="AC42" s="129"/>
      <c r="AD42" s="123"/>
      <c r="AE42" s="129"/>
      <c r="AF42" s="123"/>
      <c r="AG42" s="129"/>
      <c r="AH42" s="123"/>
      <c r="AI42" s="129"/>
      <c r="AJ42" s="123"/>
      <c r="AK42" s="129"/>
      <c r="AL42" s="123"/>
      <c r="AM42" s="129"/>
      <c r="AN42" s="123"/>
      <c r="AO42" s="129"/>
    </row>
    <row r="43" spans="1:41" x14ac:dyDescent="0.25">
      <c r="A43" s="93" t="s">
        <v>204</v>
      </c>
      <c r="B43" s="279" t="s">
        <v>205</v>
      </c>
      <c r="C43" s="92" t="s">
        <v>85</v>
      </c>
      <c r="D43" s="93" t="s">
        <v>86</v>
      </c>
      <c r="E43" s="245">
        <v>44562</v>
      </c>
      <c r="F43" s="245">
        <v>44562</v>
      </c>
      <c r="G43" s="1"/>
      <c r="I43" s="91">
        <v>18</v>
      </c>
      <c r="J43" s="125" t="s">
        <v>206</v>
      </c>
      <c r="K43" s="145" t="s">
        <v>180</v>
      </c>
      <c r="L43" s="125" t="s">
        <v>206</v>
      </c>
      <c r="M43" s="145" t="s">
        <v>180</v>
      </c>
      <c r="N43" s="125" t="s">
        <v>206</v>
      </c>
      <c r="O43" s="145" t="s">
        <v>180</v>
      </c>
      <c r="P43" s="125" t="s">
        <v>206</v>
      </c>
      <c r="Q43" s="145" t="s">
        <v>180</v>
      </c>
      <c r="R43" s="125"/>
      <c r="S43" s="145"/>
      <c r="T43" s="125"/>
      <c r="U43" s="124"/>
      <c r="V43" s="125"/>
      <c r="W43" s="145"/>
      <c r="X43" s="125"/>
      <c r="Y43" s="124"/>
      <c r="Z43" s="125"/>
      <c r="AA43" s="145"/>
      <c r="AB43" s="125"/>
      <c r="AC43" s="124"/>
      <c r="AD43" s="125"/>
      <c r="AE43" s="145"/>
      <c r="AF43" s="125"/>
      <c r="AG43" s="124"/>
      <c r="AH43" s="125"/>
      <c r="AI43" s="124"/>
      <c r="AJ43" s="125"/>
      <c r="AK43" s="124"/>
      <c r="AL43" s="125"/>
      <c r="AM43" s="124"/>
      <c r="AN43" s="125"/>
      <c r="AO43" s="124"/>
    </row>
    <row r="44" spans="1:41" x14ac:dyDescent="0.25">
      <c r="A44" s="93" t="s">
        <v>207</v>
      </c>
      <c r="B44" s="279" t="s">
        <v>208</v>
      </c>
      <c r="C44" s="92" t="s">
        <v>85</v>
      </c>
      <c r="D44" s="93" t="s">
        <v>86</v>
      </c>
      <c r="E44" s="245">
        <v>44562</v>
      </c>
      <c r="F44" s="245">
        <v>44562</v>
      </c>
      <c r="G44" s="1"/>
      <c r="H44"/>
      <c r="I44"/>
      <c r="K44"/>
      <c r="L44"/>
      <c r="M44"/>
      <c r="N44"/>
      <c r="O44"/>
      <c r="P44"/>
      <c r="Q44"/>
    </row>
    <row r="45" spans="1:41" x14ac:dyDescent="0.25">
      <c r="A45"/>
      <c r="C45" s="1"/>
      <c r="D45" s="1"/>
      <c r="E45" s="1"/>
      <c r="F45" s="1"/>
      <c r="G45" s="1"/>
      <c r="H45"/>
      <c r="I45"/>
    </row>
    <row r="46" spans="1:41" x14ac:dyDescent="0.25">
      <c r="A46" s="247" t="s">
        <v>209</v>
      </c>
      <c r="C46" s="1"/>
      <c r="D46" s="1"/>
      <c r="E46" s="1"/>
      <c r="F46" s="1"/>
      <c r="G46" s="1"/>
      <c r="H46" s="241" t="s">
        <v>210</v>
      </c>
      <c r="I46" s="87">
        <v>1</v>
      </c>
      <c r="J46" s="250"/>
      <c r="K46" s="251" t="s">
        <v>211</v>
      </c>
      <c r="L46" s="250"/>
      <c r="M46" s="251" t="s">
        <v>212</v>
      </c>
      <c r="N46" s="250"/>
      <c r="O46" s="251" t="s">
        <v>213</v>
      </c>
      <c r="P46" s="250"/>
      <c r="Q46" s="251" t="s">
        <v>214</v>
      </c>
      <c r="R46" s="250"/>
      <c r="S46" s="251" t="s">
        <v>215</v>
      </c>
      <c r="T46" s="250"/>
      <c r="U46" s="251" t="s">
        <v>216</v>
      </c>
      <c r="V46" s="250"/>
      <c r="W46" s="251" t="s">
        <v>217</v>
      </c>
      <c r="X46" s="250"/>
      <c r="Y46" s="251" t="s">
        <v>218</v>
      </c>
      <c r="Z46"/>
      <c r="AA46"/>
    </row>
    <row r="47" spans="1:41" x14ac:dyDescent="0.25">
      <c r="A47" s="247" t="s">
        <v>219</v>
      </c>
      <c r="C47" s="1"/>
      <c r="D47" s="1"/>
      <c r="E47" s="1"/>
      <c r="F47" s="1"/>
      <c r="G47" s="1"/>
      <c r="I47" s="91">
        <v>2</v>
      </c>
      <c r="J47" s="122" t="s">
        <v>161</v>
      </c>
      <c r="K47" s="128" t="s">
        <v>220</v>
      </c>
      <c r="L47" s="122" t="s">
        <v>163</v>
      </c>
      <c r="M47" s="128" t="s">
        <v>221</v>
      </c>
      <c r="N47" s="122" t="s">
        <v>165</v>
      </c>
      <c r="O47" s="263" t="str">
        <f>K47</f>
        <v>EDUC5024</v>
      </c>
      <c r="P47" s="122" t="s">
        <v>166</v>
      </c>
      <c r="Q47" s="263" t="str">
        <f>M47</f>
        <v>EDUC5020</v>
      </c>
      <c r="R47" s="122" t="s">
        <v>161</v>
      </c>
      <c r="S47" s="128" t="s">
        <v>222</v>
      </c>
      <c r="T47" s="122" t="s">
        <v>163</v>
      </c>
      <c r="U47" s="128" t="s">
        <v>223</v>
      </c>
      <c r="V47" s="122" t="s">
        <v>165</v>
      </c>
      <c r="W47" s="128" t="s">
        <v>222</v>
      </c>
      <c r="X47" s="122" t="s">
        <v>166</v>
      </c>
      <c r="Y47" s="128" t="s">
        <v>223</v>
      </c>
      <c r="Z47"/>
      <c r="AA47"/>
    </row>
    <row r="48" spans="1:41" x14ac:dyDescent="0.25">
      <c r="C48" s="1"/>
      <c r="D48" s="1"/>
      <c r="E48" s="1"/>
      <c r="F48" s="1"/>
      <c r="G48" s="1"/>
      <c r="I48" s="91">
        <v>3</v>
      </c>
      <c r="J48" s="123" t="s">
        <v>161</v>
      </c>
      <c r="K48" s="129" t="s">
        <v>224</v>
      </c>
      <c r="L48" s="123" t="s">
        <v>163</v>
      </c>
      <c r="M48" s="129" t="s">
        <v>225</v>
      </c>
      <c r="N48" s="123" t="s">
        <v>165</v>
      </c>
      <c r="O48" s="261" t="str">
        <f t="shared" ref="O48:Q50" si="1">K48</f>
        <v>AltCoreTESOL</v>
      </c>
      <c r="P48" s="123" t="s">
        <v>166</v>
      </c>
      <c r="Q48" s="261" t="str">
        <f t="shared" si="1"/>
        <v>EDUC5026</v>
      </c>
      <c r="R48" s="123" t="s">
        <v>161</v>
      </c>
      <c r="S48" s="129" t="s">
        <v>226</v>
      </c>
      <c r="T48" s="123" t="s">
        <v>163</v>
      </c>
      <c r="U48" s="129" t="s">
        <v>227</v>
      </c>
      <c r="V48" s="123" t="s">
        <v>165</v>
      </c>
      <c r="W48" s="129" t="s">
        <v>171</v>
      </c>
      <c r="X48" s="123" t="s">
        <v>166</v>
      </c>
      <c r="Y48" s="129" t="s">
        <v>227</v>
      </c>
      <c r="Z48"/>
      <c r="AA48"/>
    </row>
    <row r="49" spans="1:27" x14ac:dyDescent="0.25">
      <c r="C49" s="1"/>
      <c r="D49" s="1"/>
      <c r="E49" s="1"/>
      <c r="F49" s="1"/>
      <c r="G49" s="1"/>
      <c r="I49" s="91">
        <v>4</v>
      </c>
      <c r="J49" s="123" t="s">
        <v>163</v>
      </c>
      <c r="K49" s="129" t="s">
        <v>221</v>
      </c>
      <c r="L49" s="123" t="s">
        <v>165</v>
      </c>
      <c r="M49" s="129" t="s">
        <v>220</v>
      </c>
      <c r="N49" s="123" t="s">
        <v>166</v>
      </c>
      <c r="O49" s="261" t="str">
        <f t="shared" si="1"/>
        <v>EDUC5020</v>
      </c>
      <c r="P49" s="123" t="s">
        <v>161</v>
      </c>
      <c r="Q49" s="261" t="str">
        <f t="shared" si="1"/>
        <v>EDUC5024</v>
      </c>
      <c r="R49" s="123" t="s">
        <v>163</v>
      </c>
      <c r="S49" s="129" t="s">
        <v>223</v>
      </c>
      <c r="T49" s="123" t="s">
        <v>165</v>
      </c>
      <c r="U49" s="129" t="s">
        <v>222</v>
      </c>
      <c r="V49" s="123" t="s">
        <v>166</v>
      </c>
      <c r="W49" s="129" t="s">
        <v>223</v>
      </c>
      <c r="X49" s="123" t="s">
        <v>161</v>
      </c>
      <c r="Y49" s="129" t="s">
        <v>222</v>
      </c>
      <c r="Z49"/>
      <c r="AA49"/>
    </row>
    <row r="50" spans="1:27" x14ac:dyDescent="0.25">
      <c r="A50"/>
      <c r="B50"/>
      <c r="C50"/>
      <c r="D50"/>
      <c r="E50"/>
      <c r="F50" s="1"/>
      <c r="G50" s="1"/>
      <c r="I50" s="91">
        <v>5</v>
      </c>
      <c r="J50" s="123" t="s">
        <v>163</v>
      </c>
      <c r="K50" s="129" t="s">
        <v>225</v>
      </c>
      <c r="L50" s="123" t="s">
        <v>165</v>
      </c>
      <c r="M50" s="129" t="s">
        <v>224</v>
      </c>
      <c r="N50" s="123" t="s">
        <v>166</v>
      </c>
      <c r="O50" s="261" t="str">
        <f t="shared" si="1"/>
        <v>EDUC5026</v>
      </c>
      <c r="P50" s="123" t="s">
        <v>161</v>
      </c>
      <c r="Q50" s="261" t="str">
        <f t="shared" si="1"/>
        <v>AltCoreTESOL</v>
      </c>
      <c r="R50" s="123" t="s">
        <v>163</v>
      </c>
      <c r="S50" s="129" t="s">
        <v>227</v>
      </c>
      <c r="T50" s="123" t="s">
        <v>165</v>
      </c>
      <c r="U50" s="129" t="s">
        <v>171</v>
      </c>
      <c r="V50" s="123" t="s">
        <v>166</v>
      </c>
      <c r="W50" s="129" t="s">
        <v>227</v>
      </c>
      <c r="X50" s="123" t="s">
        <v>161</v>
      </c>
      <c r="Y50" s="129" t="s">
        <v>226</v>
      </c>
      <c r="Z50"/>
      <c r="AA50"/>
    </row>
    <row r="51" spans="1:27" x14ac:dyDescent="0.25">
      <c r="A51"/>
      <c r="B51"/>
      <c r="C51"/>
      <c r="D51"/>
      <c r="E51"/>
      <c r="F51" s="1"/>
      <c r="G51" s="1"/>
      <c r="I51" s="91">
        <v>6</v>
      </c>
      <c r="J51" s="123" t="s">
        <v>165</v>
      </c>
      <c r="K51" s="129"/>
      <c r="L51" s="123" t="s">
        <v>166</v>
      </c>
      <c r="M51" s="129"/>
      <c r="N51" s="123" t="s">
        <v>161</v>
      </c>
      <c r="O51" s="129"/>
      <c r="P51" s="123" t="s">
        <v>163</v>
      </c>
      <c r="Q51" s="129"/>
      <c r="R51" s="123" t="s">
        <v>165</v>
      </c>
      <c r="S51" s="129" t="s">
        <v>180</v>
      </c>
      <c r="T51" s="123" t="s">
        <v>166</v>
      </c>
      <c r="U51" s="129" t="s">
        <v>179</v>
      </c>
      <c r="V51" s="123" t="s">
        <v>161</v>
      </c>
      <c r="W51" s="129" t="s">
        <v>226</v>
      </c>
      <c r="X51" s="123" t="s">
        <v>163</v>
      </c>
      <c r="Y51" s="129" t="s">
        <v>179</v>
      </c>
      <c r="Z51"/>
      <c r="AA51"/>
    </row>
    <row r="52" spans="1:27" x14ac:dyDescent="0.25">
      <c r="C52" s="1"/>
      <c r="D52" s="1"/>
      <c r="E52" s="1"/>
      <c r="F52" s="1"/>
      <c r="G52" s="1"/>
      <c r="I52" s="91">
        <v>7</v>
      </c>
      <c r="J52" s="123" t="s">
        <v>165</v>
      </c>
      <c r="K52" s="129"/>
      <c r="L52" s="123" t="s">
        <v>166</v>
      </c>
      <c r="M52" s="144"/>
      <c r="N52" s="123" t="s">
        <v>161</v>
      </c>
      <c r="O52" s="129"/>
      <c r="P52" s="123" t="s">
        <v>163</v>
      </c>
      <c r="Q52" s="144"/>
      <c r="R52" s="123" t="s">
        <v>165</v>
      </c>
      <c r="S52" s="129" t="s">
        <v>171</v>
      </c>
      <c r="T52" s="123" t="s">
        <v>166</v>
      </c>
      <c r="U52" s="144" t="s">
        <v>185</v>
      </c>
      <c r="V52" s="123" t="s">
        <v>161</v>
      </c>
      <c r="W52" s="129" t="s">
        <v>180</v>
      </c>
      <c r="X52" s="123" t="s">
        <v>163</v>
      </c>
      <c r="Y52" s="144" t="s">
        <v>185</v>
      </c>
      <c r="Z52"/>
      <c r="AA52"/>
    </row>
    <row r="53" spans="1:27" x14ac:dyDescent="0.25">
      <c r="C53" s="1"/>
      <c r="D53" s="1"/>
      <c r="E53" s="1"/>
      <c r="F53" s="1"/>
      <c r="G53" s="1"/>
      <c r="I53" s="91">
        <v>8</v>
      </c>
      <c r="J53" s="123" t="s">
        <v>166</v>
      </c>
      <c r="K53" s="129"/>
      <c r="L53" s="123" t="s">
        <v>161</v>
      </c>
      <c r="M53" s="129"/>
      <c r="N53" s="123" t="s">
        <v>163</v>
      </c>
      <c r="O53" s="129"/>
      <c r="P53" s="123" t="s">
        <v>165</v>
      </c>
      <c r="Q53" s="129"/>
      <c r="R53" s="123" t="s">
        <v>166</v>
      </c>
      <c r="S53" s="129" t="s">
        <v>179</v>
      </c>
      <c r="T53" s="123" t="s">
        <v>161</v>
      </c>
      <c r="U53" s="129" t="s">
        <v>226</v>
      </c>
      <c r="V53" s="123" t="s">
        <v>163</v>
      </c>
      <c r="W53" s="129" t="s">
        <v>179</v>
      </c>
      <c r="X53" s="123" t="s">
        <v>165</v>
      </c>
      <c r="Y53" s="129" t="s">
        <v>171</v>
      </c>
      <c r="Z53"/>
      <c r="AA53"/>
    </row>
    <row r="54" spans="1:27" x14ac:dyDescent="0.25">
      <c r="C54" s="1"/>
      <c r="D54" s="1"/>
      <c r="E54" s="1"/>
      <c r="F54" s="1"/>
      <c r="G54" s="1"/>
      <c r="I54" s="91">
        <v>9</v>
      </c>
      <c r="J54" s="125" t="s">
        <v>166</v>
      </c>
      <c r="K54" s="145"/>
      <c r="L54" s="125" t="s">
        <v>161</v>
      </c>
      <c r="M54" s="124"/>
      <c r="N54" s="125" t="s">
        <v>163</v>
      </c>
      <c r="O54" s="145"/>
      <c r="P54" s="125" t="s">
        <v>165</v>
      </c>
      <c r="Q54" s="124"/>
      <c r="R54" s="125" t="s">
        <v>166</v>
      </c>
      <c r="S54" s="145" t="s">
        <v>185</v>
      </c>
      <c r="T54" s="125" t="s">
        <v>161</v>
      </c>
      <c r="U54" s="124" t="s">
        <v>180</v>
      </c>
      <c r="V54" s="125" t="s">
        <v>163</v>
      </c>
      <c r="W54" s="145" t="s">
        <v>185</v>
      </c>
      <c r="X54" s="125" t="s">
        <v>165</v>
      </c>
      <c r="Y54" s="124" t="s">
        <v>180</v>
      </c>
      <c r="Z54"/>
      <c r="AA54"/>
    </row>
    <row r="55" spans="1:27" x14ac:dyDescent="0.25">
      <c r="C55" s="1"/>
      <c r="D55" s="1"/>
      <c r="E55" s="1"/>
      <c r="F55" s="1"/>
      <c r="G55" s="1"/>
      <c r="I55" s="91">
        <v>10</v>
      </c>
      <c r="J55" s="123" t="s">
        <v>228</v>
      </c>
      <c r="K55" s="129" t="s">
        <v>224</v>
      </c>
      <c r="L55" s="123" t="s">
        <v>166</v>
      </c>
      <c r="M55" s="261" t="str">
        <f>K55</f>
        <v>AltCoreTESOL</v>
      </c>
      <c r="N55" s="123" t="s">
        <v>161</v>
      </c>
      <c r="O55" s="261" t="str">
        <f>M55</f>
        <v>AltCoreTESOL</v>
      </c>
      <c r="P55" s="123" t="s">
        <v>163</v>
      </c>
      <c r="Q55" s="261" t="str">
        <f>O55</f>
        <v>AltCoreTESOL</v>
      </c>
      <c r="R55" s="123"/>
      <c r="S55" s="144"/>
      <c r="T55" s="123"/>
      <c r="U55" s="144"/>
      <c r="V55" s="123"/>
      <c r="W55" s="144"/>
      <c r="X55" s="123"/>
      <c r="Y55" s="144"/>
    </row>
    <row r="56" spans="1:27" x14ac:dyDescent="0.25">
      <c r="C56" s="1"/>
      <c r="D56" s="1"/>
      <c r="E56" s="1"/>
      <c r="F56" s="1"/>
      <c r="G56" s="1"/>
      <c r="I56" s="91">
        <v>11</v>
      </c>
      <c r="J56" s="123" t="s">
        <v>229</v>
      </c>
      <c r="K56" s="129" t="s">
        <v>230</v>
      </c>
      <c r="L56" s="123" t="s">
        <v>161</v>
      </c>
      <c r="M56" s="261" t="str">
        <f t="shared" ref="M56:Q57" si="2">K56</f>
        <v>EDUC5022</v>
      </c>
      <c r="N56" s="123" t="s">
        <v>163</v>
      </c>
      <c r="O56" s="261" t="str">
        <f t="shared" si="2"/>
        <v>EDUC5022</v>
      </c>
      <c r="P56" s="123" t="s">
        <v>165</v>
      </c>
      <c r="Q56" s="261" t="str">
        <f t="shared" si="2"/>
        <v>EDUC5022</v>
      </c>
      <c r="R56" s="123"/>
      <c r="S56" s="129"/>
      <c r="T56" s="123"/>
      <c r="U56" s="129"/>
      <c r="V56" s="123"/>
      <c r="W56" s="129"/>
      <c r="X56" s="123"/>
      <c r="Y56" s="129"/>
    </row>
    <row r="57" spans="1:27" x14ac:dyDescent="0.25">
      <c r="C57" s="1"/>
      <c r="D57" s="1"/>
      <c r="E57" s="1"/>
      <c r="F57" s="1"/>
      <c r="G57" s="1"/>
      <c r="I57" s="91">
        <v>12</v>
      </c>
      <c r="J57" s="125" t="s">
        <v>231</v>
      </c>
      <c r="K57" s="145" t="s">
        <v>232</v>
      </c>
      <c r="L57" s="125" t="s">
        <v>161</v>
      </c>
      <c r="M57" s="262" t="str">
        <f t="shared" si="2"/>
        <v>EDUC5029</v>
      </c>
      <c r="N57" s="125" t="s">
        <v>163</v>
      </c>
      <c r="O57" s="262" t="str">
        <f t="shared" si="2"/>
        <v>EDUC5029</v>
      </c>
      <c r="P57" s="125" t="s">
        <v>165</v>
      </c>
      <c r="Q57" s="262" t="str">
        <f t="shared" si="2"/>
        <v>EDUC5029</v>
      </c>
      <c r="R57" s="125"/>
      <c r="S57" s="145"/>
      <c r="T57" s="125"/>
      <c r="U57" s="124"/>
      <c r="V57" s="125"/>
      <c r="W57" s="145"/>
      <c r="X57" s="125"/>
      <c r="Y57" s="124"/>
    </row>
    <row r="58" spans="1:27" x14ac:dyDescent="0.25">
      <c r="C58" s="1"/>
      <c r="D58" s="1"/>
      <c r="E58" s="1"/>
      <c r="F58" s="1"/>
      <c r="G58" s="1"/>
    </row>
    <row r="59" spans="1:27" x14ac:dyDescent="0.25">
      <c r="C59" s="1"/>
      <c r="D59" s="1"/>
      <c r="E59" s="1"/>
      <c r="F59" s="1"/>
      <c r="G59" s="1"/>
    </row>
    <row r="60" spans="1:27" x14ac:dyDescent="0.25">
      <c r="A60"/>
      <c r="B60" s="1"/>
      <c r="C60" s="1"/>
      <c r="D60" s="1"/>
      <c r="E60" s="1"/>
      <c r="F60" s="1"/>
      <c r="G60" s="1"/>
      <c r="H60" s="241" t="s">
        <v>233</v>
      </c>
      <c r="I60" s="87">
        <v>1</v>
      </c>
      <c r="J60" s="250"/>
      <c r="K60" s="251" t="s">
        <v>234</v>
      </c>
      <c r="L60" s="250"/>
      <c r="M60" s="251" t="s">
        <v>235</v>
      </c>
      <c r="N60" s="250"/>
      <c r="O60" s="251" t="s">
        <v>236</v>
      </c>
      <c r="P60" s="250"/>
      <c r="Q60" s="251" t="s">
        <v>237</v>
      </c>
    </row>
    <row r="61" spans="1:27" x14ac:dyDescent="0.25">
      <c r="A61"/>
      <c r="B61" s="1"/>
      <c r="G61" s="1"/>
      <c r="I61" s="91">
        <v>2</v>
      </c>
      <c r="J61" s="122" t="s">
        <v>161</v>
      </c>
      <c r="K61" s="128" t="s">
        <v>238</v>
      </c>
      <c r="L61" s="122" t="s">
        <v>163</v>
      </c>
      <c r="M61" s="128" t="s">
        <v>239</v>
      </c>
      <c r="N61" s="122" t="s">
        <v>165</v>
      </c>
      <c r="O61" s="263" t="str">
        <f>K61</f>
        <v>EDHE5001</v>
      </c>
      <c r="P61" s="122" t="s">
        <v>166</v>
      </c>
      <c r="Q61" s="263" t="str">
        <f>M61</f>
        <v>EDHE5002</v>
      </c>
    </row>
    <row r="62" spans="1:27" x14ac:dyDescent="0.25">
      <c r="A62"/>
      <c r="B62" s="1"/>
      <c r="I62" s="91">
        <v>3</v>
      </c>
      <c r="J62" s="123" t="s">
        <v>161</v>
      </c>
      <c r="K62" s="129" t="s">
        <v>240</v>
      </c>
      <c r="L62" s="123" t="s">
        <v>163</v>
      </c>
      <c r="M62" s="129" t="s">
        <v>241</v>
      </c>
      <c r="N62" s="123" t="s">
        <v>165</v>
      </c>
      <c r="O62" s="261" t="str">
        <f t="shared" ref="O62:O64" si="3">K62</f>
        <v>EDHE5004</v>
      </c>
      <c r="P62" s="123" t="s">
        <v>166</v>
      </c>
      <c r="Q62" s="261" t="str">
        <f t="shared" ref="Q62:Q64" si="4">M62</f>
        <v>EDHE5005</v>
      </c>
    </row>
    <row r="63" spans="1:27" x14ac:dyDescent="0.25">
      <c r="I63" s="91">
        <v>4</v>
      </c>
      <c r="J63" s="123" t="s">
        <v>163</v>
      </c>
      <c r="K63" s="129" t="s">
        <v>239</v>
      </c>
      <c r="L63" s="123" t="s">
        <v>165</v>
      </c>
      <c r="M63" s="129" t="s">
        <v>238</v>
      </c>
      <c r="N63" s="123" t="s">
        <v>166</v>
      </c>
      <c r="O63" s="261" t="str">
        <f t="shared" si="3"/>
        <v>EDHE5002</v>
      </c>
      <c r="P63" s="123" t="s">
        <v>161</v>
      </c>
      <c r="Q63" s="261" t="str">
        <f t="shared" si="4"/>
        <v>EDHE5001</v>
      </c>
    </row>
    <row r="64" spans="1:27" x14ac:dyDescent="0.25">
      <c r="I64" s="91">
        <v>5</v>
      </c>
      <c r="J64" s="125" t="s">
        <v>163</v>
      </c>
      <c r="K64" s="145" t="s">
        <v>241</v>
      </c>
      <c r="L64" s="125" t="s">
        <v>165</v>
      </c>
      <c r="M64" s="145" t="s">
        <v>240</v>
      </c>
      <c r="N64" s="125" t="s">
        <v>166</v>
      </c>
      <c r="O64" s="305" t="str">
        <f t="shared" si="3"/>
        <v>EDHE5005</v>
      </c>
      <c r="P64" s="125" t="s">
        <v>161</v>
      </c>
      <c r="Q64" s="305" t="str">
        <f t="shared" si="4"/>
        <v>EDHE5004</v>
      </c>
    </row>
  </sheetData>
  <dataValidations count="1">
    <dataValidation type="list" allowBlank="1" showInputMessage="1" showErrorMessage="1" sqref="AQ1">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W48"/>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0.375" style="16" customWidth="1"/>
    <col min="4" max="4" width="50.125" style="13" bestFit="1"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11</v>
      </c>
      <c r="E5" s="18"/>
      <c r="F5" s="17" t="s">
        <v>12</v>
      </c>
      <c r="G5" s="204" t="str">
        <f>IFERROR(CONCATENATE(VLOOKUP(D5,TableCourses[],2,FALSE)," ",VLOOKUP(D5,TableCourses[],3,FALSE)),"")</f>
        <v>OM-TEACH1 v.2</v>
      </c>
      <c r="H5" s="18"/>
      <c r="I5" s="18"/>
      <c r="J5" s="18"/>
      <c r="K5" s="18"/>
      <c r="L5" s="19"/>
    </row>
    <row r="6" spans="1:23" ht="20.100000000000001" customHeight="1" x14ac:dyDescent="0.25">
      <c r="B6" s="17"/>
      <c r="C6" s="190" t="s">
        <v>13</v>
      </c>
      <c r="D6" s="170" t="s">
        <v>182</v>
      </c>
      <c r="E6" s="18"/>
      <c r="F6" s="17" t="s">
        <v>15</v>
      </c>
      <c r="G6" s="18" t="str">
        <f>IFERROR(CONCATENATE(VLOOKUP(D6,TableMajorsMTeach[],2,FALSE)," ",VLOOKUP(D6,TableMajorsMTeach[],3,FALSE)),"")</f>
        <v>OUMP-TCHSE v.3</v>
      </c>
      <c r="H6" s="18"/>
      <c r="I6" s="18"/>
      <c r="J6" s="18"/>
      <c r="K6" s="18"/>
      <c r="L6" s="302" t="e">
        <f>CONCATENATE(VLOOKUP(D6,TableMajorsMTeach[],2,FALSE),VLOOKUP(D9,TableStudyPeriods[],2,FALSE))</f>
        <v>#N/A</v>
      </c>
    </row>
    <row r="7" spans="1:23" ht="20.100000000000001" customHeight="1" x14ac:dyDescent="0.25">
      <c r="B7" s="17"/>
      <c r="C7" s="190" t="s">
        <v>242</v>
      </c>
      <c r="D7" s="170" t="s">
        <v>243</v>
      </c>
      <c r="E7" s="18"/>
      <c r="F7" s="17"/>
      <c r="G7" s="18"/>
      <c r="H7" s="18"/>
      <c r="I7" s="18"/>
      <c r="J7" s="18"/>
      <c r="K7" s="18"/>
      <c r="L7" s="302" t="e">
        <f>VLOOKUP(D7,TableFirstTeachingArea[],2,FALSE)</f>
        <v>#N/A</v>
      </c>
    </row>
    <row r="8" spans="1:23" ht="20.100000000000001" customHeight="1" x14ac:dyDescent="0.25">
      <c r="B8" s="17"/>
      <c r="C8" s="190" t="s">
        <v>244</v>
      </c>
      <c r="D8" s="170" t="s">
        <v>245</v>
      </c>
      <c r="E8" s="18"/>
      <c r="F8" s="17"/>
      <c r="G8" s="18"/>
      <c r="H8" s="18"/>
      <c r="I8" s="18"/>
      <c r="J8" s="18"/>
      <c r="K8" s="18"/>
      <c r="L8" s="302" t="e">
        <f>VLOOKUP(D8,TableSecondTeachingArea[],2,FALSE)</f>
        <v>#N/A</v>
      </c>
    </row>
    <row r="9" spans="1:23" ht="20.100000000000001" customHeight="1" x14ac:dyDescent="0.2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 customHeight="1" x14ac:dyDescent="0.2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1" x14ac:dyDescent="0.2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15">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15">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15">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15">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15">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15">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15">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15">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15">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15">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15">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1" x14ac:dyDescent="0.2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15">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15">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15">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15">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15">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15">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15">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15">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15">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15">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15">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2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5" x14ac:dyDescent="0.2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2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25">
      <c r="A38" s="232" t="str">
        <f>IFERROR(IF(HLOOKUP($L$7,RangeTeachingAreas,M38,FALSE)=0,"",HLOOKUP($L$7,RangeTeachingAreas,M38,FALSE)),"")</f>
        <v/>
      </c>
      <c r="B38" s="206" t="str">
        <f>IFERROR(IF(VLOOKUP($A38,TableHandbook[],2,FALSE)=0,"",VLOOKUP($A38,TableHandbook[],2,FALSE)),"")</f>
        <v/>
      </c>
      <c r="C38" s="300"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2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2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2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25">
      <c r="A42" s="234" t="str">
        <f>IFERROR(IF(HLOOKUP($L$7,RangeTeachingAreas,M42,FALSE)=0,"",HLOOKUP($L$7,RangeTeachingAreas,M42,FALSE)),"")</f>
        <v/>
      </c>
      <c r="B42" s="215" t="str">
        <f>IFERROR(IF(VLOOKUP($A42,TableHandbook[],2,FALSE)=0,"",VLOOKUP($A42,TableHandbook[],2,FALSE)),"")</f>
        <v/>
      </c>
      <c r="C42" s="303"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2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2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2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18" x14ac:dyDescent="0.25">
      <c r="A46" s="75" t="s">
        <v>32</v>
      </c>
      <c r="B46" s="75"/>
      <c r="C46" s="75"/>
      <c r="D46" s="75"/>
      <c r="E46" s="75"/>
      <c r="F46" s="75"/>
      <c r="G46" s="75"/>
      <c r="H46" s="75"/>
      <c r="I46" s="75"/>
      <c r="J46" s="75"/>
      <c r="K46" s="75"/>
      <c r="L46" s="75"/>
    </row>
    <row r="47" spans="1:23" s="45" customFormat="1" ht="17.25" x14ac:dyDescent="0.2">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2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8" priority="1">
      <formula>LEFT($A12,3)="STA"</formula>
    </cfRule>
    <cfRule type="expression" dxfId="297" priority="2">
      <formula>LEFT($A12,3)="FTA"</formula>
    </cfRule>
  </conditionalFormatting>
  <conditionalFormatting sqref="D5:D9">
    <cfRule type="containsText" dxfId="296" priority="3" operator="containsText" text="Choose">
      <formula>NOT(ISERROR(SEARCH("Choose",D5)))</formula>
    </cfRule>
  </conditionalFormatting>
  <dataValidations count="2">
    <dataValidation type="list" allowBlank="1" showInputMessage="1" showErrorMessage="1" sqref="L29 L17 L14 L20 L26 L32"/>
    <dataValidation type="list" showInputMessage="1" showErrorMessage="1" sqref="D8">
      <formula1>INDIRECT($L$7)</formula1>
    </dataValidation>
  </dataValidations>
  <hyperlinks>
    <hyperlink ref="A47:L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D9</xm:sqref>
        </x14:dataValidation>
        <x14:dataValidation type="list" showInputMessage="1" showErrorMessage="1">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24"/>
  <sheetViews>
    <sheetView showGridLines="0" topLeftCell="A3" workbookViewId="0">
      <selection activeCell="A19" sqref="A19"/>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22" t="s">
        <v>8</v>
      </c>
      <c r="B3" s="422"/>
      <c r="C3" s="422"/>
      <c r="D3" s="422"/>
      <c r="E3" s="135"/>
      <c r="F3" s="135"/>
      <c r="G3" s="135"/>
      <c r="H3" s="135"/>
      <c r="I3" s="135"/>
      <c r="J3" s="135"/>
      <c r="K3" s="135"/>
      <c r="L3" s="135"/>
    </row>
    <row r="4" spans="1:23" ht="25.5" x14ac:dyDescent="0.25">
      <c r="A4" s="14"/>
      <c r="B4" s="15"/>
      <c r="C4" s="15"/>
      <c r="D4" s="304" t="s">
        <v>9</v>
      </c>
      <c r="E4" s="265"/>
      <c r="F4" s="15"/>
      <c r="G4" s="72"/>
      <c r="H4" s="72"/>
      <c r="I4" s="72"/>
      <c r="J4" s="72"/>
      <c r="K4" s="72"/>
      <c r="L4" s="72"/>
    </row>
    <row r="5" spans="1:23" ht="20.100000000000001" customHeight="1" x14ac:dyDescent="0.25">
      <c r="B5" s="17"/>
      <c r="C5" s="190" t="s">
        <v>10</v>
      </c>
      <c r="D5" s="298" t="s">
        <v>113</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188</v>
      </c>
      <c r="E6" s="18"/>
      <c r="F6" s="17" t="s">
        <v>15</v>
      </c>
      <c r="G6" s="18" t="str">
        <f>IFERROR(CONCATENATE(VLOOKUP(D6,TableMajorsGradDip[],2,FALSE)," ",VLOOKUP(D6,TableMajorsGradDip[],3,FALSE)),"")</f>
        <v>OUMP-EDUPR v.1</v>
      </c>
      <c r="H6" s="18"/>
      <c r="I6" s="18"/>
      <c r="J6" s="18"/>
      <c r="K6" s="18"/>
      <c r="L6" s="302" t="str">
        <f>CONCATENATE(VLOOKUP(D6,TableMajorsGradDip[],2,FALSE),VLOOKUP(D7,TableStudyPeriods[],2,FALSE))</f>
        <v>OUMP-EDUPRSP1</v>
      </c>
    </row>
    <row r="7" spans="1:23" ht="20.100000000000001" customHeight="1" x14ac:dyDescent="0.2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1" x14ac:dyDescent="0.2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15">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15">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15">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15">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15">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15">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15">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15">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15">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Y</v>
      </c>
      <c r="J19" s="60" t="str">
        <f>IFERROR(VLOOKUP($A19,TableHandbook[],J$2,FALSE),"")</f>
        <v/>
      </c>
      <c r="K19" s="71" t="str">
        <f>IFERROR(VLOOKUP($A19,TableHandbook[],K$2,FALSE),"")</f>
        <v>Y</v>
      </c>
      <c r="L19" s="67"/>
      <c r="M19" s="226">
        <v>8</v>
      </c>
      <c r="N19" s="36"/>
      <c r="O19" s="36"/>
      <c r="P19" s="37"/>
      <c r="Q19" s="37"/>
      <c r="R19" s="37"/>
      <c r="S19" s="37"/>
      <c r="T19" s="37"/>
      <c r="U19" s="37"/>
      <c r="V19" s="37"/>
      <c r="W19" s="37"/>
    </row>
    <row r="20" spans="1:23" s="38" customFormat="1" ht="21" customHeight="1" x14ac:dyDescent="0.15">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2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18" x14ac:dyDescent="0.25">
      <c r="A22" s="75" t="s">
        <v>32</v>
      </c>
      <c r="B22" s="75"/>
      <c r="C22" s="75"/>
      <c r="D22" s="75"/>
      <c r="E22" s="75"/>
      <c r="F22" s="75"/>
      <c r="G22" s="75"/>
      <c r="H22" s="75"/>
      <c r="I22" s="75"/>
      <c r="J22" s="75"/>
      <c r="K22" s="75"/>
      <c r="L22" s="75"/>
    </row>
    <row r="23" spans="1:23" s="45" customFormat="1" ht="17.25" x14ac:dyDescent="0.2">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2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95" priority="1">
      <formula>LEFT($A10,3)="STA"</formula>
    </cfRule>
    <cfRule type="expression" dxfId="294" priority="2">
      <formula>LEFT($A10,3)="FTA"</formula>
    </cfRule>
  </conditionalFormatting>
  <conditionalFormatting sqref="D5:D7">
    <cfRule type="containsText" dxfId="293" priority="3" operator="containsText" text="Choose">
      <formula>NOT(ISERROR(SEARCH("Choose",D5)))</formula>
    </cfRule>
  </conditionalFormatting>
  <dataValidations count="1">
    <dataValidation type="list" allowBlank="1" showInputMessage="1" showErrorMessage="1" sqref="L15 L12 L18"/>
  </dataValidations>
  <hyperlinks>
    <hyperlink ref="A23:L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6" ma:contentTypeDescription="Create a new document." ma:contentTypeScope="" ma:versionID="7fb4207839652747304996d7147ee415">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b7867528ac31df2f954e8fe18c04bbf8"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schemas.openxmlformats.org/package/2006/metadata/core-properties"/>
    <ds:schemaRef ds:uri="5053a65b-a790-45aa-b23d-3e4902a85933"/>
    <ds:schemaRef ds:uri="http://purl.org/dc/elements/1.1/"/>
    <ds:schemaRef ds:uri="http://schemas.microsoft.com/office/2006/metadata/properties"/>
    <ds:schemaRef ds:uri="6b707ee7-774c-4141-8c69-3f50efb0eaa0"/>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17F6F903-3681-4362-AB2B-F37A83AED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(Prim Accel)</vt:lpstr>
      <vt:lpstr>Planner OG-EDUC (Sec)</vt:lpstr>
      <vt:lpstr>Planner OG-EDUC (Sec Accel)</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2024-02-09T01:57:51Z</cp:lastPrinted>
  <dcterms:created xsi:type="dcterms:W3CDTF">2022-02-28T04:48:12Z</dcterms:created>
  <dcterms:modified xsi:type="dcterms:W3CDTF">2024-02-09T01:59:28Z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