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259378F\OneDrive - Curtin\Enrolment Planners Working Folder\"/>
    </mc:Choice>
  </mc:AlternateContent>
  <workbookProtection workbookAlgorithmName="SHA-512" workbookHashValue="4F0pJUzS/Nbj6XydGdQYim/OxnSvr6WXOYHQ/rz/pgGf7zhFjI2Zyia2HL0pvDhXbZuY1eG0sYon2MglWQA6Hg==" workbookSaltValue="RNKC/h48kysN4Ce4ZbpRSw==" workbookSpinCount="100000" lockStructure="1"/>
  <bookViews>
    <workbookView xWindow="0" yWindow="0" windowWidth="28800" windowHeight="13800" tabRatio="778" firstSheet="8" activeTab="8"/>
  </bookViews>
  <sheets>
    <sheet name="Planner OM-Teach ECE" sheetId="5" state="hidden" r:id="rId1"/>
    <sheet name="Planner OM-Teach Prim" sheetId="17" state="hidden" r:id="rId2"/>
    <sheet name="Planner OM-EDUC" sheetId="12" state="hidden" r:id="rId3"/>
    <sheet name="Planner OM-APLING" sheetId="13" state="hidden" r:id="rId4"/>
    <sheet name="Planner OC-TESOL" sheetId="14" state="hidden" r:id="rId5"/>
    <sheet name="Planner OC-EDHE" sheetId="18" state="hidden" r:id="rId6"/>
    <sheet name="Unitsets" sheetId="2" state="hidden" r:id="rId7"/>
    <sheet name="Planner OM-Teach Sec" sheetId="10" state="hidden" r:id="rId8"/>
    <sheet name="Planner OG-EDUC (Prim)" sheetId="15" r:id="rId9"/>
    <sheet name="Planner OG-EDUC (Prim Accel)" sheetId="19" r:id="rId10"/>
    <sheet name="Planner OG-EDUC (Sec)" sheetId="16" state="hidden" r:id="rId11"/>
    <sheet name="Planner OG-EDUC (Sec Accel)" sheetId="20" state="hidden" r:id="rId12"/>
    <sheet name="Unitsets OM-Teach Sec" sheetId="11" state="hidden" r:id="rId13"/>
    <sheet name="Handbook" sheetId="3" state="hidden" r:id="rId14"/>
    <sheet name="Structures" sheetId="8" state="hidden" r:id="rId15"/>
    <sheet name="Availabilities" sheetId="9" state="hidden" r:id="rId16"/>
  </sheets>
  <definedNames>
    <definedName name="_xlnm._FilterDatabase" localSheetId="13" hidden="1">Handbook!$A$2:$J$2</definedName>
    <definedName name="FTAArts">'Unitsets OM-Teach Sec'!$E$12:$E$18</definedName>
    <definedName name="FTAEnglish">'Unitsets OM-Teach Sec'!$E$19:$E$25</definedName>
    <definedName name="FTAHASS">'Unitsets OM-Teach Sec'!$E$33:$E$39</definedName>
    <definedName name="FTAHPE">'Unitsets OM-Teach Sec'!$E$26:$E$32</definedName>
    <definedName name="FTAMaths">'Unitsets OM-Teach Sec'!$E$40:$E$46</definedName>
    <definedName name="FTAScience">'Unitsets OM-Teach Sec'!$E$47:$E$53</definedName>
    <definedName name="_xlnm.Print_Area" localSheetId="5">'Planner OC-EDHE'!$A$3:$L$17</definedName>
    <definedName name="_xlnm.Print_Area" localSheetId="4">'Planner OC-TESOL'!$A$3:$L$23</definedName>
    <definedName name="_xlnm.Print_Area" localSheetId="9">'Planner OG-EDUC (Prim Accel)'!$A$3:$L$23</definedName>
    <definedName name="_xlnm.Print_Area" localSheetId="8">'Planner OG-EDUC (Prim)'!$A$3:$L$24</definedName>
    <definedName name="_xlnm.Print_Area" localSheetId="11">'Planner OG-EDUC (Sec Accel)'!$A$3:$L$30</definedName>
    <definedName name="_xlnm.Print_Area" localSheetId="10">'Planner OG-EDUC (Sec)'!$A$3:$L$31</definedName>
    <definedName name="_xlnm.Print_Area" localSheetId="3">'Planner OM-APLING'!$A$3:$L$23</definedName>
    <definedName name="_xlnm.Print_Area" localSheetId="2">'Planner OM-EDUC'!$A$3:$L$36</definedName>
    <definedName name="_xlnm.Print_Area" localSheetId="0">'Planner OM-Teach ECE'!$A$3:$L$38</definedName>
    <definedName name="_xlnm.Print_Area" localSheetId="1">'Planner OM-Teach Prim'!$A$3:$L$35</definedName>
    <definedName name="_xlnm.Print_Area" localSheetId="7">'Planner OM-Teach Sec'!$A$1:$L$48</definedName>
    <definedName name="RangeTeachingAreas">'Unitsets OM-Teach Sec'!$I$22:$P$28</definedName>
    <definedName name="RangeUnitsetsECEPR">Unitsets!$J$4:$Y$23</definedName>
    <definedName name="RangeUnitsetsOCEDHE">Unitsets!$J$60:$Q$64</definedName>
    <definedName name="RangeUnitsetsOGEDUC">'Unitsets OM-Teach Sec'!$I$31:$X$39</definedName>
    <definedName name="RangeUnitsetsOGEDUCAcc">'Unitsets OM-Teach Sec'!$I$42:$X$50</definedName>
    <definedName name="RangeUnitsetsOMEDUC">Unitsets!$J$26:$AO$43</definedName>
    <definedName name="RangeUnitsetsSec">'Unitsets OM-Teach Sec'!$I$3:$P$19</definedName>
    <definedName name="RangeUnitsetsTESOL">Unitsets!$J$46:$Y$57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20" l="1"/>
  <c r="A19" i="20"/>
  <c r="E19" i="20" s="1"/>
  <c r="A17" i="20"/>
  <c r="A16" i="20"/>
  <c r="E16" i="20" s="1"/>
  <c r="E17" i="20" s="1"/>
  <c r="A15" i="20"/>
  <c r="E15" i="20" s="1"/>
  <c r="A13" i="20"/>
  <c r="A12" i="20"/>
  <c r="A11" i="20"/>
  <c r="G8" i="20"/>
  <c r="L7" i="20"/>
  <c r="A26" i="20" s="1"/>
  <c r="L6" i="20"/>
  <c r="G6" i="20"/>
  <c r="G5" i="20"/>
  <c r="G7" i="19"/>
  <c r="L6" i="19"/>
  <c r="A14" i="19" s="1"/>
  <c r="E14" i="19" s="1"/>
  <c r="G6" i="19"/>
  <c r="G5" i="19"/>
  <c r="I12" i="20" l="1"/>
  <c r="H12" i="20"/>
  <c r="G12" i="20"/>
  <c r="F12" i="20"/>
  <c r="D12" i="20"/>
  <c r="K12" i="20"/>
  <c r="C12" i="20"/>
  <c r="J12" i="20"/>
  <c r="B12" i="20"/>
  <c r="K26" i="20"/>
  <c r="B26" i="20"/>
  <c r="J26" i="20"/>
  <c r="I26" i="20"/>
  <c r="H26" i="20"/>
  <c r="F26" i="20"/>
  <c r="G26" i="20"/>
  <c r="D26" i="20"/>
  <c r="C26" i="20"/>
  <c r="A25" i="20"/>
  <c r="A16" i="19"/>
  <c r="A19" i="19"/>
  <c r="A10" i="19"/>
  <c r="A11" i="19"/>
  <c r="B11" i="19" s="1"/>
  <c r="A12" i="19"/>
  <c r="A15" i="19"/>
  <c r="E15" i="19" s="1"/>
  <c r="A18" i="19"/>
  <c r="E18" i="19" s="1"/>
  <c r="Q64" i="2"/>
  <c r="Q63" i="2"/>
  <c r="Q62" i="2"/>
  <c r="Q61" i="2"/>
  <c r="O64" i="2"/>
  <c r="O63" i="2"/>
  <c r="O62" i="2"/>
  <c r="O61" i="2"/>
  <c r="C11" i="19" l="1"/>
  <c r="F13" i="20"/>
  <c r="D13" i="20"/>
  <c r="K13" i="20"/>
  <c r="C13" i="20"/>
  <c r="I13" i="20"/>
  <c r="J13" i="20"/>
  <c r="B13" i="20"/>
  <c r="H13" i="20"/>
  <c r="G13" i="20"/>
  <c r="D11" i="20"/>
  <c r="K11" i="20"/>
  <c r="C11" i="20"/>
  <c r="J11" i="20"/>
  <c r="B11" i="20"/>
  <c r="I11" i="20"/>
  <c r="G11" i="20"/>
  <c r="H11" i="20"/>
  <c r="F11" i="20"/>
  <c r="E11" i="20"/>
  <c r="E12" i="20" s="1"/>
  <c r="E13" i="20" s="1"/>
  <c r="D17" i="20"/>
  <c r="K17" i="20"/>
  <c r="C17" i="20"/>
  <c r="J17" i="20"/>
  <c r="B17" i="20"/>
  <c r="H17" i="20"/>
  <c r="I17" i="20"/>
  <c r="G17" i="20"/>
  <c r="F17" i="20"/>
  <c r="G20" i="20"/>
  <c r="F20" i="20"/>
  <c r="D20" i="20"/>
  <c r="J20" i="20"/>
  <c r="B20" i="20"/>
  <c r="K20" i="20"/>
  <c r="C20" i="20"/>
  <c r="I20" i="20"/>
  <c r="H20" i="20"/>
  <c r="H16" i="20"/>
  <c r="G16" i="20"/>
  <c r="F16" i="20"/>
  <c r="K16" i="20"/>
  <c r="C16" i="20"/>
  <c r="D16" i="20"/>
  <c r="J16" i="20"/>
  <c r="B16" i="20"/>
  <c r="I16" i="20"/>
  <c r="J19" i="20"/>
  <c r="B19" i="20"/>
  <c r="I19" i="20"/>
  <c r="H19" i="20"/>
  <c r="G19" i="20"/>
  <c r="E20" i="20"/>
  <c r="F19" i="20"/>
  <c r="D19" i="20"/>
  <c r="K19" i="20"/>
  <c r="C19" i="20"/>
  <c r="K15" i="20"/>
  <c r="C15" i="20"/>
  <c r="J15" i="20"/>
  <c r="B15" i="20"/>
  <c r="I15" i="20"/>
  <c r="H15" i="20"/>
  <c r="F15" i="20"/>
  <c r="G15" i="20"/>
  <c r="D15" i="20"/>
  <c r="E16" i="19"/>
  <c r="D25" i="20"/>
  <c r="C25" i="20"/>
  <c r="K25" i="20"/>
  <c r="B25" i="20"/>
  <c r="J25" i="20"/>
  <c r="H25" i="20"/>
  <c r="I25" i="20"/>
  <c r="G25" i="20"/>
  <c r="F25" i="20"/>
  <c r="G11" i="19"/>
  <c r="F11" i="19"/>
  <c r="D11" i="19"/>
  <c r="B15" i="19"/>
  <c r="G15" i="19"/>
  <c r="F15" i="19"/>
  <c r="C15" i="19"/>
  <c r="D15" i="19"/>
  <c r="B18" i="19"/>
  <c r="D18" i="19"/>
  <c r="C18" i="19"/>
  <c r="G18" i="19"/>
  <c r="F18" i="19"/>
  <c r="G19" i="19"/>
  <c r="B19" i="19"/>
  <c r="F19" i="19"/>
  <c r="E19" i="19"/>
  <c r="D19" i="19"/>
  <c r="C19" i="19"/>
  <c r="C14" i="19"/>
  <c r="F14" i="19"/>
  <c r="D14" i="19"/>
  <c r="B14" i="19"/>
  <c r="G14" i="19"/>
  <c r="D10" i="19"/>
  <c r="G10" i="19"/>
  <c r="F10" i="19"/>
  <c r="E10" i="19"/>
  <c r="E11" i="19" s="1"/>
  <c r="E12" i="19" s="1"/>
  <c r="C10" i="19"/>
  <c r="B10" i="19"/>
  <c r="C16" i="19"/>
  <c r="G16" i="19"/>
  <c r="F16" i="19"/>
  <c r="D16" i="19"/>
  <c r="B16" i="19"/>
  <c r="F12" i="19"/>
  <c r="D12" i="19"/>
  <c r="B12" i="19"/>
  <c r="G12" i="19"/>
  <c r="C12" i="19"/>
  <c r="G6" i="18"/>
  <c r="L5" i="18"/>
  <c r="A12" i="18" s="1"/>
  <c r="G5" i="18"/>
  <c r="G7" i="17"/>
  <c r="L6" i="17"/>
  <c r="A31" i="17" s="1"/>
  <c r="G6" i="17"/>
  <c r="G5" i="17"/>
  <c r="A13" i="18" l="1"/>
  <c r="G13" i="18" s="1"/>
  <c r="A9" i="18"/>
  <c r="A10" i="18"/>
  <c r="I31" i="17"/>
  <c r="H31" i="17"/>
  <c r="E31" i="17"/>
  <c r="D31" i="17"/>
  <c r="K31" i="17"/>
  <c r="C31" i="17"/>
  <c r="G31" i="17"/>
  <c r="F31" i="17"/>
  <c r="J31" i="17"/>
  <c r="B31" i="17"/>
  <c r="A11" i="17"/>
  <c r="A23" i="17"/>
  <c r="A17" i="17"/>
  <c r="A29" i="17"/>
  <c r="A20" i="17"/>
  <c r="A10" i="17"/>
  <c r="A22" i="17"/>
  <c r="A16" i="17"/>
  <c r="A28" i="17"/>
  <c r="A14" i="17"/>
  <c r="A26" i="17"/>
  <c r="A13" i="17"/>
  <c r="A25" i="17"/>
  <c r="A19" i="17"/>
  <c r="G83" i="3"/>
  <c r="H83" i="3"/>
  <c r="I83" i="3"/>
  <c r="J83" i="3"/>
  <c r="G82" i="3"/>
  <c r="H82" i="3"/>
  <c r="I82" i="3"/>
  <c r="J82" i="3"/>
  <c r="G8" i="16"/>
  <c r="L7" i="16"/>
  <c r="A26" i="16" s="1"/>
  <c r="L6" i="16"/>
  <c r="G6" i="16"/>
  <c r="G5" i="16"/>
  <c r="L6" i="15"/>
  <c r="G6" i="15"/>
  <c r="G7" i="15"/>
  <c r="G5" i="15"/>
  <c r="J13" i="18" l="1"/>
  <c r="D13" i="18"/>
  <c r="C13" i="18"/>
  <c r="B13" i="18"/>
  <c r="K13" i="18"/>
  <c r="I13" i="18"/>
  <c r="H13" i="18"/>
  <c r="F13" i="18"/>
  <c r="G10" i="18"/>
  <c r="K10" i="18"/>
  <c r="B10" i="18"/>
  <c r="H10" i="18"/>
  <c r="F10" i="18"/>
  <c r="C10" i="18"/>
  <c r="D10" i="18"/>
  <c r="J10" i="18"/>
  <c r="I10" i="18"/>
  <c r="J9" i="18"/>
  <c r="B9" i="18"/>
  <c r="F9" i="18"/>
  <c r="D9" i="18"/>
  <c r="K9" i="18"/>
  <c r="C9" i="18"/>
  <c r="I9" i="18"/>
  <c r="H9" i="18"/>
  <c r="G9" i="18"/>
  <c r="E9" i="18"/>
  <c r="E10" i="18" s="1"/>
  <c r="D12" i="18"/>
  <c r="G12" i="18"/>
  <c r="F12" i="18"/>
  <c r="E12" i="18"/>
  <c r="E13" i="18" s="1"/>
  <c r="K12" i="18"/>
  <c r="C12" i="18"/>
  <c r="H12" i="18"/>
  <c r="J12" i="18"/>
  <c r="B12" i="18"/>
  <c r="I12" i="18"/>
  <c r="J14" i="17"/>
  <c r="B14" i="17"/>
  <c r="H14" i="17"/>
  <c r="I14" i="17"/>
  <c r="F14" i="17"/>
  <c r="D14" i="17"/>
  <c r="G14" i="17"/>
  <c r="K14" i="17"/>
  <c r="C14" i="17"/>
  <c r="D29" i="17"/>
  <c r="H29" i="17"/>
  <c r="K29" i="17"/>
  <c r="C29" i="17"/>
  <c r="F29" i="17"/>
  <c r="J29" i="17"/>
  <c r="B29" i="17"/>
  <c r="G29" i="17"/>
  <c r="I29" i="17"/>
  <c r="F20" i="17"/>
  <c r="D20" i="17"/>
  <c r="J20" i="17"/>
  <c r="I20" i="17"/>
  <c r="H20" i="17"/>
  <c r="B20" i="17"/>
  <c r="K20" i="17"/>
  <c r="C20" i="17"/>
  <c r="G20" i="17"/>
  <c r="G28" i="17"/>
  <c r="C28" i="17"/>
  <c r="F28" i="17"/>
  <c r="E28" i="17"/>
  <c r="E29" i="17" s="1"/>
  <c r="K28" i="17"/>
  <c r="B28" i="17"/>
  <c r="I28" i="17"/>
  <c r="J28" i="17"/>
  <c r="D28" i="17"/>
  <c r="H28" i="17"/>
  <c r="D17" i="17"/>
  <c r="B17" i="17"/>
  <c r="H17" i="17"/>
  <c r="K17" i="17"/>
  <c r="C17" i="17"/>
  <c r="F17" i="17"/>
  <c r="J17" i="17"/>
  <c r="G17" i="17"/>
  <c r="I17" i="17"/>
  <c r="E13" i="17"/>
  <c r="E14" i="17" s="1"/>
  <c r="D13" i="17"/>
  <c r="C13" i="17"/>
  <c r="G13" i="17"/>
  <c r="K13" i="17"/>
  <c r="I13" i="17"/>
  <c r="H13" i="17"/>
  <c r="J13" i="17"/>
  <c r="B13" i="17"/>
  <c r="F13" i="17"/>
  <c r="J26" i="17"/>
  <c r="B26" i="17"/>
  <c r="H26" i="17"/>
  <c r="I26" i="17"/>
  <c r="D26" i="17"/>
  <c r="F26" i="17"/>
  <c r="G26" i="17"/>
  <c r="K26" i="17"/>
  <c r="C26" i="17"/>
  <c r="G16" i="17"/>
  <c r="C16" i="17"/>
  <c r="F16" i="17"/>
  <c r="E16" i="17"/>
  <c r="E17" i="17" s="1"/>
  <c r="J16" i="17"/>
  <c r="I16" i="17"/>
  <c r="K16" i="17"/>
  <c r="B16" i="17"/>
  <c r="D16" i="17"/>
  <c r="H16" i="17"/>
  <c r="H23" i="17"/>
  <c r="F23" i="17"/>
  <c r="G23" i="17"/>
  <c r="C23" i="17"/>
  <c r="J23" i="17"/>
  <c r="B23" i="17"/>
  <c r="D23" i="17"/>
  <c r="K23" i="17"/>
  <c r="I23" i="17"/>
  <c r="I19" i="17"/>
  <c r="H19" i="17"/>
  <c r="G19" i="17"/>
  <c r="E19" i="17"/>
  <c r="E20" i="17" s="1"/>
  <c r="D19" i="17"/>
  <c r="K19" i="17"/>
  <c r="C19" i="17"/>
  <c r="F19" i="17"/>
  <c r="J19" i="17"/>
  <c r="B19" i="17"/>
  <c r="H11" i="17"/>
  <c r="F11" i="17"/>
  <c r="G11" i="17"/>
  <c r="D11" i="17"/>
  <c r="K11" i="17"/>
  <c r="J11" i="17"/>
  <c r="B11" i="17"/>
  <c r="C11" i="17"/>
  <c r="I11" i="17"/>
  <c r="K22" i="17"/>
  <c r="C22" i="17"/>
  <c r="J22" i="17"/>
  <c r="B22" i="17"/>
  <c r="I22" i="17"/>
  <c r="G22" i="17"/>
  <c r="E22" i="17"/>
  <c r="E23" i="17" s="1"/>
  <c r="F22" i="17"/>
  <c r="H22" i="17"/>
  <c r="D22" i="17"/>
  <c r="E25" i="17"/>
  <c r="E26" i="17" s="1"/>
  <c r="D25" i="17"/>
  <c r="I25" i="17"/>
  <c r="H25" i="17"/>
  <c r="G25" i="17"/>
  <c r="K25" i="17"/>
  <c r="C25" i="17"/>
  <c r="J25" i="17"/>
  <c r="B25" i="17"/>
  <c r="F25" i="17"/>
  <c r="K10" i="17"/>
  <c r="C10" i="17"/>
  <c r="J10" i="17"/>
  <c r="B10" i="17"/>
  <c r="I10" i="17"/>
  <c r="F10" i="17"/>
  <c r="E10" i="17"/>
  <c r="E11" i="17" s="1"/>
  <c r="G10" i="17"/>
  <c r="H10" i="17"/>
  <c r="D10" i="17"/>
  <c r="A18" i="16"/>
  <c r="A20" i="16"/>
  <c r="A21" i="16"/>
  <c r="A17" i="16"/>
  <c r="A12" i="16"/>
  <c r="A14" i="16"/>
  <c r="A15" i="16"/>
  <c r="A11" i="16"/>
  <c r="A27" i="16"/>
  <c r="B27" i="16" s="1"/>
  <c r="A14" i="15"/>
  <c r="A17" i="15"/>
  <c r="A19" i="15"/>
  <c r="A13" i="15"/>
  <c r="A16" i="15"/>
  <c r="A20" i="15"/>
  <c r="A10" i="15"/>
  <c r="A11" i="15"/>
  <c r="B26" i="16"/>
  <c r="C26" i="16"/>
  <c r="G26" i="16"/>
  <c r="F26" i="16"/>
  <c r="D26" i="16"/>
  <c r="D43" i="8"/>
  <c r="C43" i="8"/>
  <c r="D42" i="8"/>
  <c r="C42" i="8"/>
  <c r="D41" i="8"/>
  <c r="C41" i="8"/>
  <c r="D40" i="8"/>
  <c r="C40" i="8"/>
  <c r="D39" i="8"/>
  <c r="C39" i="8"/>
  <c r="D38" i="8"/>
  <c r="C38" i="8"/>
  <c r="D37" i="8"/>
  <c r="C37" i="8"/>
  <c r="D36" i="8"/>
  <c r="C36" i="8"/>
  <c r="D35" i="8"/>
  <c r="C35" i="8"/>
  <c r="D34" i="8"/>
  <c r="C34" i="8"/>
  <c r="D33" i="8"/>
  <c r="C33" i="8"/>
  <c r="D32" i="8"/>
  <c r="C32" i="8"/>
  <c r="D31" i="8"/>
  <c r="C31" i="8"/>
  <c r="D30" i="8"/>
  <c r="C30" i="8"/>
  <c r="D29" i="8"/>
  <c r="C29" i="8"/>
  <c r="D28" i="8"/>
  <c r="C28" i="8"/>
  <c r="D25" i="8"/>
  <c r="D24" i="8"/>
  <c r="D23" i="8"/>
  <c r="D22" i="8"/>
  <c r="D21" i="8"/>
  <c r="D20" i="8"/>
  <c r="D19" i="8"/>
  <c r="D18" i="8"/>
  <c r="D17" i="8"/>
  <c r="D16" i="8"/>
  <c r="D15" i="8"/>
  <c r="D14" i="8"/>
  <c r="D13" i="8"/>
  <c r="D12" i="8"/>
  <c r="D11" i="8"/>
  <c r="D10" i="8"/>
  <c r="C25" i="8"/>
  <c r="C24" i="8"/>
  <c r="C23" i="8"/>
  <c r="C22" i="8"/>
  <c r="C21" i="8"/>
  <c r="C20" i="8"/>
  <c r="C19" i="8"/>
  <c r="C18" i="8"/>
  <c r="C17" i="8"/>
  <c r="C16" i="8"/>
  <c r="C15" i="8"/>
  <c r="C14" i="8"/>
  <c r="C13" i="8"/>
  <c r="C12" i="8"/>
  <c r="C11" i="8"/>
  <c r="C10" i="8"/>
  <c r="F27" i="16" l="1"/>
  <c r="D27" i="16"/>
  <c r="G27" i="16"/>
  <c r="C27" i="16"/>
  <c r="K15" i="16"/>
  <c r="C15" i="16"/>
  <c r="J15" i="16"/>
  <c r="B15" i="16"/>
  <c r="I15" i="16"/>
  <c r="H15" i="16"/>
  <c r="G15" i="16"/>
  <c r="D15" i="16"/>
  <c r="F15" i="16"/>
  <c r="B12" i="16"/>
  <c r="G12" i="16"/>
  <c r="F12" i="16"/>
  <c r="D12" i="16"/>
  <c r="C12" i="16"/>
  <c r="G21" i="16"/>
  <c r="F21" i="16"/>
  <c r="D21" i="16"/>
  <c r="K21" i="16"/>
  <c r="C21" i="16"/>
  <c r="H21" i="16"/>
  <c r="J21" i="16"/>
  <c r="B21" i="16"/>
  <c r="I21" i="16"/>
  <c r="G17" i="16"/>
  <c r="F17" i="16"/>
  <c r="E17" i="16"/>
  <c r="E18" i="16" s="1"/>
  <c r="D17" i="16"/>
  <c r="C17" i="16"/>
  <c r="B17" i="16"/>
  <c r="D18" i="16"/>
  <c r="C18" i="16"/>
  <c r="F18" i="16"/>
  <c r="B18" i="16"/>
  <c r="G18" i="16"/>
  <c r="B20" i="16"/>
  <c r="G20" i="16"/>
  <c r="F20" i="16"/>
  <c r="C20" i="16"/>
  <c r="E20" i="16"/>
  <c r="E21" i="16" s="1"/>
  <c r="D20" i="16"/>
  <c r="D11" i="16"/>
  <c r="C11" i="16"/>
  <c r="B11" i="16"/>
  <c r="E11" i="16"/>
  <c r="E12" i="16" s="1"/>
  <c r="G11" i="16"/>
  <c r="F11" i="16"/>
  <c r="F14" i="16"/>
  <c r="E14" i="16"/>
  <c r="E15" i="16" s="1"/>
  <c r="D14" i="16"/>
  <c r="G14" i="16"/>
  <c r="C14" i="16"/>
  <c r="B14" i="16"/>
  <c r="G11" i="15"/>
  <c r="F11" i="15"/>
  <c r="B11" i="15"/>
  <c r="D11" i="15"/>
  <c r="C11" i="15"/>
  <c r="F13" i="15"/>
  <c r="E13" i="15"/>
  <c r="E14" i="15" s="1"/>
  <c r="D13" i="15"/>
  <c r="C13" i="15"/>
  <c r="B13" i="15"/>
  <c r="G13" i="15"/>
  <c r="D10" i="15"/>
  <c r="C10" i="15"/>
  <c r="B10" i="15"/>
  <c r="E10" i="15"/>
  <c r="E11" i="15" s="1"/>
  <c r="G10" i="15"/>
  <c r="F10" i="15"/>
  <c r="B19" i="15"/>
  <c r="G19" i="15"/>
  <c r="F19" i="15"/>
  <c r="C19" i="15"/>
  <c r="E19" i="15"/>
  <c r="E20" i="15" s="1"/>
  <c r="D19" i="15"/>
  <c r="D17" i="15"/>
  <c r="C17" i="15"/>
  <c r="B17" i="15"/>
  <c r="F17" i="15"/>
  <c r="G17" i="15"/>
  <c r="G20" i="15"/>
  <c r="F20" i="15"/>
  <c r="C20" i="15"/>
  <c r="D20" i="15"/>
  <c r="B20" i="15"/>
  <c r="C14" i="15"/>
  <c r="B14" i="15"/>
  <c r="G14" i="15"/>
  <c r="D14" i="15"/>
  <c r="F14" i="15"/>
  <c r="G16" i="15"/>
  <c r="F16" i="15"/>
  <c r="D16" i="15"/>
  <c r="E16" i="15"/>
  <c r="E17" i="15" s="1"/>
  <c r="C16" i="15"/>
  <c r="B16" i="15"/>
  <c r="G91" i="3"/>
  <c r="G92" i="3"/>
  <c r="G87" i="3"/>
  <c r="H91" i="3"/>
  <c r="H92" i="3"/>
  <c r="H87" i="3"/>
  <c r="I91" i="3"/>
  <c r="I92" i="3"/>
  <c r="I87" i="3"/>
  <c r="J91" i="3"/>
  <c r="J92" i="3"/>
  <c r="J87" i="3"/>
  <c r="D184" i="8"/>
  <c r="C184" i="8"/>
  <c r="D183" i="8"/>
  <c r="C183" i="8"/>
  <c r="D182" i="8"/>
  <c r="C182" i="8"/>
  <c r="D181" i="8"/>
  <c r="C181" i="8"/>
  <c r="D180" i="8"/>
  <c r="C180" i="8"/>
  <c r="D179" i="8"/>
  <c r="C179" i="8"/>
  <c r="D178" i="8"/>
  <c r="C178" i="8"/>
  <c r="D177" i="8"/>
  <c r="C177" i="8"/>
  <c r="D176" i="8"/>
  <c r="C176" i="8"/>
  <c r="D175" i="8"/>
  <c r="C175" i="8"/>
  <c r="D174" i="8"/>
  <c r="C174" i="8"/>
  <c r="E184" i="8"/>
  <c r="E183" i="8"/>
  <c r="E182" i="8"/>
  <c r="E181" i="8"/>
  <c r="E180" i="8"/>
  <c r="E179" i="8"/>
  <c r="E178" i="8"/>
  <c r="E177" i="8"/>
  <c r="E176" i="8"/>
  <c r="E175" i="8"/>
  <c r="E174" i="8"/>
  <c r="B184" i="8"/>
  <c r="B183" i="8"/>
  <c r="B182" i="8"/>
  <c r="B181" i="8"/>
  <c r="B180" i="8"/>
  <c r="B179" i="8"/>
  <c r="B178" i="8"/>
  <c r="B177" i="8"/>
  <c r="B176" i="8"/>
  <c r="B175" i="8"/>
  <c r="B174" i="8"/>
  <c r="A184" i="8"/>
  <c r="A183" i="8"/>
  <c r="A182" i="8"/>
  <c r="A181" i="8"/>
  <c r="A180" i="8"/>
  <c r="A179" i="8"/>
  <c r="A178" i="8"/>
  <c r="A177" i="8"/>
  <c r="A176" i="8"/>
  <c r="A175" i="8"/>
  <c r="A174" i="8"/>
  <c r="D172" i="8" l="1"/>
  <c r="C172" i="8"/>
  <c r="D171" i="8"/>
  <c r="C171" i="8"/>
  <c r="D166" i="8"/>
  <c r="D173" i="8" l="1"/>
  <c r="C173" i="8"/>
  <c r="D170" i="8"/>
  <c r="C170" i="8"/>
  <c r="D169" i="8"/>
  <c r="C169" i="8"/>
  <c r="D168" i="8"/>
  <c r="C168" i="8"/>
  <c r="D167" i="8"/>
  <c r="C167" i="8"/>
  <c r="E173" i="8"/>
  <c r="B173" i="8"/>
  <c r="A173" i="8"/>
  <c r="E172" i="8"/>
  <c r="B172" i="8"/>
  <c r="A172" i="8"/>
  <c r="E171" i="8"/>
  <c r="B171" i="8"/>
  <c r="A171" i="8"/>
  <c r="E170" i="8"/>
  <c r="B170" i="8"/>
  <c r="A170" i="8"/>
  <c r="E169" i="8"/>
  <c r="B169" i="8"/>
  <c r="A169" i="8"/>
  <c r="E168" i="8"/>
  <c r="B168" i="8"/>
  <c r="A168" i="8"/>
  <c r="E167" i="8"/>
  <c r="B167" i="8"/>
  <c r="A167" i="8"/>
  <c r="E166" i="8"/>
  <c r="B166" i="8"/>
  <c r="A166" i="8"/>
  <c r="D156" i="8"/>
  <c r="C156" i="8"/>
  <c r="D163" i="8"/>
  <c r="C163" i="8"/>
  <c r="D159" i="8"/>
  <c r="C159" i="8"/>
  <c r="D158" i="8"/>
  <c r="C158" i="8"/>
  <c r="Y83" i="3" l="1"/>
  <c r="Y82" i="3"/>
  <c r="Y91" i="3"/>
  <c r="Y92" i="3"/>
  <c r="Y87" i="3"/>
  <c r="Y4" i="3"/>
  <c r="Y12" i="3"/>
  <c r="Y20" i="3"/>
  <c r="Y28" i="3"/>
  <c r="Y36" i="3"/>
  <c r="Y44" i="3"/>
  <c r="Y52" i="3"/>
  <c r="Y60" i="3"/>
  <c r="Y68" i="3"/>
  <c r="Y76" i="3"/>
  <c r="Y97" i="3"/>
  <c r="Y96" i="3"/>
  <c r="Y5" i="3"/>
  <c r="Y13" i="3"/>
  <c r="Y21" i="3"/>
  <c r="Y29" i="3"/>
  <c r="Y37" i="3"/>
  <c r="Y45" i="3"/>
  <c r="Y53" i="3"/>
  <c r="Y61" i="3"/>
  <c r="Y69" i="3"/>
  <c r="Y77" i="3"/>
  <c r="Y86" i="3"/>
  <c r="Y98" i="3"/>
  <c r="Y6" i="3"/>
  <c r="Y14" i="3"/>
  <c r="Y22" i="3"/>
  <c r="Y30" i="3"/>
  <c r="Y38" i="3"/>
  <c r="Y46" i="3"/>
  <c r="Y54" i="3"/>
  <c r="Y62" i="3"/>
  <c r="Y70" i="3"/>
  <c r="Y78" i="3"/>
  <c r="Y88" i="3"/>
  <c r="Y99" i="3"/>
  <c r="Y15" i="3"/>
  <c r="Y23" i="3"/>
  <c r="Y31" i="3"/>
  <c r="Y39" i="3"/>
  <c r="Y47" i="3"/>
  <c r="Y55" i="3"/>
  <c r="Y63" i="3"/>
  <c r="Y71" i="3"/>
  <c r="Y79" i="3"/>
  <c r="Y89" i="3"/>
  <c r="Y100" i="3"/>
  <c r="Y7" i="3"/>
  <c r="Y9" i="3"/>
  <c r="Y17" i="3"/>
  <c r="Y25" i="3"/>
  <c r="Y33" i="3"/>
  <c r="Y41" i="3"/>
  <c r="Y49" i="3"/>
  <c r="Y57" i="3"/>
  <c r="Y65" i="3"/>
  <c r="Y73" i="3"/>
  <c r="Y81" i="3"/>
  <c r="Y93" i="3"/>
  <c r="Y10" i="3"/>
  <c r="Y18" i="3"/>
  <c r="Y27" i="3"/>
  <c r="Y34" i="3"/>
  <c r="Y42" i="3"/>
  <c r="Y50" i="3"/>
  <c r="Y58" i="3"/>
  <c r="Y66" i="3"/>
  <c r="Y74" i="3"/>
  <c r="Y84" i="3"/>
  <c r="Y94" i="3"/>
  <c r="Y11" i="3"/>
  <c r="Y19" i="3"/>
  <c r="Y26" i="3"/>
  <c r="Y35" i="3"/>
  <c r="Y43" i="3"/>
  <c r="Y51" i="3"/>
  <c r="Y59" i="3"/>
  <c r="Y67" i="3"/>
  <c r="Y75" i="3"/>
  <c r="Y85" i="3"/>
  <c r="Y95" i="3"/>
  <c r="Y8" i="3"/>
  <c r="Y72" i="3"/>
  <c r="Y64" i="3"/>
  <c r="Y16" i="3"/>
  <c r="Y80" i="3"/>
  <c r="Y24" i="3"/>
  <c r="Y90" i="3"/>
  <c r="Y40" i="3"/>
  <c r="Y32" i="3"/>
  <c r="Y56" i="3"/>
  <c r="Y48" i="3"/>
  <c r="E163" i="8"/>
  <c r="B163" i="8"/>
  <c r="A163" i="8"/>
  <c r="E162" i="8"/>
  <c r="D162" i="8"/>
  <c r="C162" i="8"/>
  <c r="B162" i="8"/>
  <c r="A162" i="8"/>
  <c r="E161" i="8"/>
  <c r="D161" i="8"/>
  <c r="C161" i="8"/>
  <c r="B161" i="8"/>
  <c r="A161" i="8"/>
  <c r="E160" i="8"/>
  <c r="D160" i="8"/>
  <c r="C160" i="8"/>
  <c r="B160" i="8"/>
  <c r="A160" i="8"/>
  <c r="E159" i="8"/>
  <c r="B159" i="8"/>
  <c r="A159" i="8"/>
  <c r="E158" i="8"/>
  <c r="B158" i="8"/>
  <c r="A158" i="8"/>
  <c r="E157" i="8"/>
  <c r="D157" i="8"/>
  <c r="C157" i="8"/>
  <c r="B157" i="8"/>
  <c r="A157" i="8"/>
  <c r="E156" i="8"/>
  <c r="B156" i="8"/>
  <c r="A156" i="8"/>
  <c r="D153" i="8"/>
  <c r="D152" i="8"/>
  <c r="X83" i="3" l="1"/>
  <c r="X82" i="3"/>
  <c r="X91" i="3"/>
  <c r="X92" i="3"/>
  <c r="X87" i="3"/>
  <c r="X8" i="3"/>
  <c r="X16" i="3"/>
  <c r="X24" i="3"/>
  <c r="X32" i="3"/>
  <c r="X40" i="3"/>
  <c r="X48" i="3"/>
  <c r="X56" i="3"/>
  <c r="X64" i="3"/>
  <c r="X72" i="3"/>
  <c r="X80" i="3"/>
  <c r="X9" i="3"/>
  <c r="X17" i="3"/>
  <c r="X25" i="3"/>
  <c r="X33" i="3"/>
  <c r="X41" i="3"/>
  <c r="X49" i="3"/>
  <c r="X57" i="3"/>
  <c r="X65" i="3"/>
  <c r="X73" i="3"/>
  <c r="X10" i="3"/>
  <c r="X18" i="3"/>
  <c r="X27" i="3"/>
  <c r="X34" i="3"/>
  <c r="X42" i="3"/>
  <c r="X50" i="3"/>
  <c r="X58" i="3"/>
  <c r="X66" i="3"/>
  <c r="X74" i="3"/>
  <c r="X84" i="3"/>
  <c r="X94" i="3"/>
  <c r="X11" i="3"/>
  <c r="X19" i="3"/>
  <c r="X26" i="3"/>
  <c r="X35" i="3"/>
  <c r="X43" i="3"/>
  <c r="X51" i="3"/>
  <c r="X59" i="3"/>
  <c r="X67" i="3"/>
  <c r="X75" i="3"/>
  <c r="X85" i="3"/>
  <c r="X95" i="3"/>
  <c r="X5" i="3"/>
  <c r="X13" i="3"/>
  <c r="X21" i="3"/>
  <c r="X29" i="3"/>
  <c r="X37" i="3"/>
  <c r="X45" i="3"/>
  <c r="X53" i="3"/>
  <c r="X61" i="3"/>
  <c r="X69" i="3"/>
  <c r="X77" i="3"/>
  <c r="X86" i="3"/>
  <c r="X98" i="3"/>
  <c r="X6" i="3"/>
  <c r="X14" i="3"/>
  <c r="X22" i="3"/>
  <c r="X30" i="3"/>
  <c r="X38" i="3"/>
  <c r="X46" i="3"/>
  <c r="X54" i="3"/>
  <c r="X62" i="3"/>
  <c r="X70" i="3"/>
  <c r="X78" i="3"/>
  <c r="X88" i="3"/>
  <c r="X99" i="3"/>
  <c r="X7" i="3"/>
  <c r="X15" i="3"/>
  <c r="X23" i="3"/>
  <c r="X31" i="3"/>
  <c r="X39" i="3"/>
  <c r="X47" i="3"/>
  <c r="X44" i="3"/>
  <c r="X79" i="3"/>
  <c r="X96" i="3"/>
  <c r="X52" i="3"/>
  <c r="X81" i="3"/>
  <c r="X28" i="3"/>
  <c r="X100" i="3"/>
  <c r="X55" i="3"/>
  <c r="X97" i="3"/>
  <c r="X63" i="3"/>
  <c r="X90" i="3"/>
  <c r="X71" i="3"/>
  <c r="X4" i="3"/>
  <c r="X60" i="3"/>
  <c r="X89" i="3"/>
  <c r="X12" i="3"/>
  <c r="X76" i="3"/>
  <c r="X20" i="3"/>
  <c r="X68" i="3"/>
  <c r="X93" i="3"/>
  <c r="X36" i="3"/>
  <c r="E153" i="8"/>
  <c r="B153" i="8"/>
  <c r="A153" i="8"/>
  <c r="E152" i="8"/>
  <c r="B152" i="8"/>
  <c r="A152" i="8"/>
  <c r="E151" i="8"/>
  <c r="D151" i="8"/>
  <c r="C151" i="8"/>
  <c r="B151" i="8"/>
  <c r="A151" i="8"/>
  <c r="W83" i="3" l="1"/>
  <c r="W82" i="3"/>
  <c r="W91" i="3"/>
  <c r="W92" i="3"/>
  <c r="W87" i="3"/>
  <c r="W6" i="3"/>
  <c r="W14" i="3"/>
  <c r="W22" i="3"/>
  <c r="W30" i="3"/>
  <c r="W38" i="3"/>
  <c r="W46" i="3"/>
  <c r="W54" i="3"/>
  <c r="W62" i="3"/>
  <c r="W70" i="3"/>
  <c r="W78" i="3"/>
  <c r="W88" i="3"/>
  <c r="W99" i="3"/>
  <c r="W7" i="3"/>
  <c r="W15" i="3"/>
  <c r="W23" i="3"/>
  <c r="W31" i="3"/>
  <c r="W39" i="3"/>
  <c r="W47" i="3"/>
  <c r="W9" i="3"/>
  <c r="W17" i="3"/>
  <c r="W25" i="3"/>
  <c r="W33" i="3"/>
  <c r="W41" i="3"/>
  <c r="W49" i="3"/>
  <c r="W57" i="3"/>
  <c r="W65" i="3"/>
  <c r="W73" i="3"/>
  <c r="W81" i="3"/>
  <c r="W93" i="3"/>
  <c r="W10" i="3"/>
  <c r="W18" i="3"/>
  <c r="W27" i="3"/>
  <c r="W34" i="3"/>
  <c r="W42" i="3"/>
  <c r="W50" i="3"/>
  <c r="W58" i="3"/>
  <c r="W66" i="3"/>
  <c r="W74" i="3"/>
  <c r="W84" i="3"/>
  <c r="W94" i="3"/>
  <c r="W4" i="3"/>
  <c r="W20" i="3"/>
  <c r="W36" i="3"/>
  <c r="W52" i="3"/>
  <c r="W64" i="3"/>
  <c r="W77" i="3"/>
  <c r="W95" i="3"/>
  <c r="W71" i="3"/>
  <c r="W29" i="3"/>
  <c r="W86" i="3"/>
  <c r="W51" i="3"/>
  <c r="W5" i="3"/>
  <c r="W21" i="3"/>
  <c r="W37" i="3"/>
  <c r="W53" i="3"/>
  <c r="W67" i="3"/>
  <c r="W79" i="3"/>
  <c r="W96" i="3"/>
  <c r="W45" i="3"/>
  <c r="W32" i="3"/>
  <c r="W75" i="3"/>
  <c r="W76" i="3"/>
  <c r="W8" i="3"/>
  <c r="W24" i="3"/>
  <c r="W40" i="3"/>
  <c r="W55" i="3"/>
  <c r="W68" i="3"/>
  <c r="W80" i="3"/>
  <c r="W98" i="3"/>
  <c r="W28" i="3"/>
  <c r="W59" i="3"/>
  <c r="W60" i="3"/>
  <c r="W16" i="3"/>
  <c r="W89" i="3"/>
  <c r="W19" i="3"/>
  <c r="W90" i="3"/>
  <c r="W11" i="3"/>
  <c r="W26" i="3"/>
  <c r="W43" i="3"/>
  <c r="W56" i="3"/>
  <c r="W69" i="3"/>
  <c r="W85" i="3"/>
  <c r="W100" i="3"/>
  <c r="W12" i="3"/>
  <c r="W44" i="3"/>
  <c r="W97" i="3"/>
  <c r="W48" i="3"/>
  <c r="W63" i="3"/>
  <c r="W13" i="3"/>
  <c r="W72" i="3"/>
  <c r="W61" i="3"/>
  <c r="W35" i="3"/>
  <c r="G26" i="3"/>
  <c r="H26" i="3"/>
  <c r="I26" i="3"/>
  <c r="J26" i="3"/>
  <c r="D127" i="8"/>
  <c r="C127" i="8"/>
  <c r="J4" i="3" l="1"/>
  <c r="J5" i="3"/>
  <c r="J6" i="3"/>
  <c r="J7" i="3"/>
  <c r="J8" i="3"/>
  <c r="J9" i="3"/>
  <c r="J10" i="3"/>
  <c r="J11" i="3"/>
  <c r="J12" i="3"/>
  <c r="J13" i="3"/>
  <c r="J14" i="3"/>
  <c r="J15" i="3"/>
  <c r="J16" i="3"/>
  <c r="J17" i="3"/>
  <c r="J18" i="3"/>
  <c r="J19" i="3"/>
  <c r="J20" i="3"/>
  <c r="J21" i="3"/>
  <c r="J22" i="3"/>
  <c r="J23" i="3"/>
  <c r="J24" i="3"/>
  <c r="J25" i="3"/>
  <c r="J27" i="3"/>
  <c r="J28" i="3"/>
  <c r="J29" i="3"/>
  <c r="J30" i="3"/>
  <c r="J31" i="3"/>
  <c r="K11" i="16" s="1"/>
  <c r="J32" i="3"/>
  <c r="J33" i="3"/>
  <c r="K12" i="16" s="1"/>
  <c r="J34" i="3"/>
  <c r="J35" i="3"/>
  <c r="K26" i="16" s="1"/>
  <c r="J36" i="3"/>
  <c r="J37" i="3"/>
  <c r="J38" i="3"/>
  <c r="J39" i="3"/>
  <c r="J40" i="3"/>
  <c r="K27" i="16" s="1"/>
  <c r="J41" i="3"/>
  <c r="J42" i="3"/>
  <c r="J43" i="3"/>
  <c r="J44" i="3"/>
  <c r="K14" i="16" s="1"/>
  <c r="J45" i="3"/>
  <c r="J46" i="3"/>
  <c r="J47" i="3"/>
  <c r="J48" i="3"/>
  <c r="J49" i="3"/>
  <c r="J50" i="3"/>
  <c r="J51" i="3"/>
  <c r="J52" i="3"/>
  <c r="K18" i="16" s="1"/>
  <c r="J53" i="3"/>
  <c r="K19" i="19" s="1"/>
  <c r="J54" i="3"/>
  <c r="J55" i="3"/>
  <c r="J56" i="3"/>
  <c r="J57" i="3"/>
  <c r="J58" i="3"/>
  <c r="J59" i="3"/>
  <c r="J60" i="3"/>
  <c r="J61" i="3"/>
  <c r="J62" i="3"/>
  <c r="J63" i="3"/>
  <c r="J64" i="3"/>
  <c r="J65" i="3"/>
  <c r="J66" i="3"/>
  <c r="J67" i="3"/>
  <c r="J68" i="3"/>
  <c r="J69" i="3"/>
  <c r="J70" i="3"/>
  <c r="J71" i="3"/>
  <c r="J72" i="3"/>
  <c r="J73" i="3"/>
  <c r="J74" i="3"/>
  <c r="J75" i="3"/>
  <c r="K18" i="19" s="1"/>
  <c r="J76" i="3"/>
  <c r="J77" i="3"/>
  <c r="J78" i="3"/>
  <c r="J79" i="3"/>
  <c r="J80" i="3"/>
  <c r="J81" i="3"/>
  <c r="J84" i="3"/>
  <c r="J85" i="3"/>
  <c r="J86" i="3"/>
  <c r="J97" i="3"/>
  <c r="J88" i="3"/>
  <c r="J89" i="3"/>
  <c r="J90" i="3"/>
  <c r="J93" i="3"/>
  <c r="J94" i="3"/>
  <c r="J95" i="3"/>
  <c r="J96" i="3"/>
  <c r="J98" i="3"/>
  <c r="J99" i="3"/>
  <c r="J100" i="3"/>
  <c r="I4" i="3"/>
  <c r="I5" i="3"/>
  <c r="I6" i="3"/>
  <c r="I7" i="3"/>
  <c r="I8" i="3"/>
  <c r="I9" i="3"/>
  <c r="I10" i="3"/>
  <c r="I11" i="3"/>
  <c r="I12" i="3"/>
  <c r="I13" i="3"/>
  <c r="I14" i="3"/>
  <c r="I15" i="3"/>
  <c r="I16" i="3"/>
  <c r="I17" i="3"/>
  <c r="I18" i="3"/>
  <c r="I19" i="3"/>
  <c r="I20" i="3"/>
  <c r="I21" i="3"/>
  <c r="I22" i="3"/>
  <c r="I23" i="3"/>
  <c r="I24" i="3"/>
  <c r="I25" i="3"/>
  <c r="I27" i="3"/>
  <c r="I28" i="3"/>
  <c r="I29" i="3"/>
  <c r="I30" i="3"/>
  <c r="I31" i="3"/>
  <c r="J11" i="16" s="1"/>
  <c r="I32" i="3"/>
  <c r="I33" i="3"/>
  <c r="J12" i="16" s="1"/>
  <c r="I34" i="3"/>
  <c r="I35" i="3"/>
  <c r="J26" i="16" s="1"/>
  <c r="I36" i="3"/>
  <c r="I37" i="3"/>
  <c r="I38" i="3"/>
  <c r="I39" i="3"/>
  <c r="I40" i="3"/>
  <c r="J27" i="16" s="1"/>
  <c r="I41" i="3"/>
  <c r="I42" i="3"/>
  <c r="I43" i="3"/>
  <c r="I44" i="3"/>
  <c r="J14" i="16" s="1"/>
  <c r="I45" i="3"/>
  <c r="I46" i="3"/>
  <c r="I47" i="3"/>
  <c r="I48" i="3"/>
  <c r="I49" i="3"/>
  <c r="I50" i="3"/>
  <c r="I51" i="3"/>
  <c r="I52" i="3"/>
  <c r="J18" i="16" s="1"/>
  <c r="I53" i="3"/>
  <c r="J19" i="19" s="1"/>
  <c r="I54" i="3"/>
  <c r="I55" i="3"/>
  <c r="I56" i="3"/>
  <c r="I57" i="3"/>
  <c r="I58" i="3"/>
  <c r="I59" i="3"/>
  <c r="I60" i="3"/>
  <c r="I61" i="3"/>
  <c r="I62" i="3"/>
  <c r="I63" i="3"/>
  <c r="I64" i="3"/>
  <c r="I65" i="3"/>
  <c r="I66" i="3"/>
  <c r="I67" i="3"/>
  <c r="I68" i="3"/>
  <c r="I69" i="3"/>
  <c r="I70" i="3"/>
  <c r="I71" i="3"/>
  <c r="I72" i="3"/>
  <c r="I73" i="3"/>
  <c r="I74" i="3"/>
  <c r="I75" i="3"/>
  <c r="J18" i="19" s="1"/>
  <c r="I76" i="3"/>
  <c r="I77" i="3"/>
  <c r="I78" i="3"/>
  <c r="I79" i="3"/>
  <c r="I80" i="3"/>
  <c r="I81" i="3"/>
  <c r="I84" i="3"/>
  <c r="I85" i="3"/>
  <c r="I86" i="3"/>
  <c r="I97" i="3"/>
  <c r="I88" i="3"/>
  <c r="I89" i="3"/>
  <c r="I90" i="3"/>
  <c r="I93" i="3"/>
  <c r="I94" i="3"/>
  <c r="I95" i="3"/>
  <c r="I96" i="3"/>
  <c r="I98" i="3"/>
  <c r="I99" i="3"/>
  <c r="I100" i="3"/>
  <c r="H4" i="3"/>
  <c r="H5" i="3"/>
  <c r="H6" i="3"/>
  <c r="H7" i="3"/>
  <c r="H8" i="3"/>
  <c r="H9" i="3"/>
  <c r="H10" i="3"/>
  <c r="H11" i="3"/>
  <c r="H12" i="3"/>
  <c r="H13" i="3"/>
  <c r="H14" i="3"/>
  <c r="H15" i="3"/>
  <c r="H16" i="3"/>
  <c r="H17" i="3"/>
  <c r="H18" i="3"/>
  <c r="H19" i="3"/>
  <c r="H20" i="3"/>
  <c r="H21" i="3"/>
  <c r="H22" i="3"/>
  <c r="H23" i="3"/>
  <c r="H24" i="3"/>
  <c r="H25" i="3"/>
  <c r="H27" i="3"/>
  <c r="H28" i="3"/>
  <c r="H29" i="3"/>
  <c r="H30" i="3"/>
  <c r="H31" i="3"/>
  <c r="I11" i="16" s="1"/>
  <c r="H32" i="3"/>
  <c r="H33" i="3"/>
  <c r="I12" i="16" s="1"/>
  <c r="H34" i="3"/>
  <c r="H35" i="3"/>
  <c r="I26" i="16" s="1"/>
  <c r="H36" i="3"/>
  <c r="H37" i="3"/>
  <c r="H38" i="3"/>
  <c r="H39" i="3"/>
  <c r="H40" i="3"/>
  <c r="I27" i="16" s="1"/>
  <c r="H41" i="3"/>
  <c r="H42" i="3"/>
  <c r="H43" i="3"/>
  <c r="H44" i="3"/>
  <c r="I14" i="16" s="1"/>
  <c r="H45" i="3"/>
  <c r="H46" i="3"/>
  <c r="H47" i="3"/>
  <c r="H48" i="3"/>
  <c r="H49" i="3"/>
  <c r="H50" i="3"/>
  <c r="H51" i="3"/>
  <c r="H52" i="3"/>
  <c r="I18" i="16" s="1"/>
  <c r="H53" i="3"/>
  <c r="I19" i="19" s="1"/>
  <c r="H54" i="3"/>
  <c r="H55" i="3"/>
  <c r="H56" i="3"/>
  <c r="H57" i="3"/>
  <c r="H58" i="3"/>
  <c r="H59" i="3"/>
  <c r="H60" i="3"/>
  <c r="H61" i="3"/>
  <c r="H62" i="3"/>
  <c r="H63" i="3"/>
  <c r="H64" i="3"/>
  <c r="H65" i="3"/>
  <c r="H66" i="3"/>
  <c r="H67" i="3"/>
  <c r="H68" i="3"/>
  <c r="H69" i="3"/>
  <c r="H70" i="3"/>
  <c r="H71" i="3"/>
  <c r="H72" i="3"/>
  <c r="H73" i="3"/>
  <c r="H74" i="3"/>
  <c r="H75" i="3"/>
  <c r="I18" i="19" s="1"/>
  <c r="H76" i="3"/>
  <c r="H77" i="3"/>
  <c r="H78" i="3"/>
  <c r="H79" i="3"/>
  <c r="H80" i="3"/>
  <c r="H81" i="3"/>
  <c r="H84" i="3"/>
  <c r="H85" i="3"/>
  <c r="H86" i="3"/>
  <c r="H97" i="3"/>
  <c r="H88" i="3"/>
  <c r="H89" i="3"/>
  <c r="H90" i="3"/>
  <c r="H93" i="3"/>
  <c r="H94" i="3"/>
  <c r="H95" i="3"/>
  <c r="H96" i="3"/>
  <c r="H98" i="3"/>
  <c r="H99" i="3"/>
  <c r="H100" i="3"/>
  <c r="G4" i="3"/>
  <c r="G5" i="3"/>
  <c r="G6" i="3"/>
  <c r="G7" i="3"/>
  <c r="G8" i="3"/>
  <c r="G9" i="3"/>
  <c r="G10" i="3"/>
  <c r="G11" i="3"/>
  <c r="G12" i="3"/>
  <c r="G13" i="3"/>
  <c r="G14" i="3"/>
  <c r="G15" i="3"/>
  <c r="G16" i="3"/>
  <c r="G17" i="3"/>
  <c r="G18" i="3"/>
  <c r="G19" i="3"/>
  <c r="G20" i="3"/>
  <c r="G21" i="3"/>
  <c r="G22" i="3"/>
  <c r="G23" i="3"/>
  <c r="G24" i="3"/>
  <c r="G25" i="3"/>
  <c r="G27" i="3"/>
  <c r="G28" i="3"/>
  <c r="G29" i="3"/>
  <c r="G30" i="3"/>
  <c r="G31" i="3"/>
  <c r="H11" i="16" s="1"/>
  <c r="G32" i="3"/>
  <c r="G33" i="3"/>
  <c r="H12" i="16" s="1"/>
  <c r="G34" i="3"/>
  <c r="G35" i="3"/>
  <c r="H26" i="16" s="1"/>
  <c r="G36" i="3"/>
  <c r="G37" i="3"/>
  <c r="G38" i="3"/>
  <c r="G39" i="3"/>
  <c r="G40" i="3"/>
  <c r="H27" i="16" s="1"/>
  <c r="G41" i="3"/>
  <c r="G42" i="3"/>
  <c r="G43" i="3"/>
  <c r="G44" i="3"/>
  <c r="H14" i="16" s="1"/>
  <c r="G45" i="3"/>
  <c r="G46" i="3"/>
  <c r="G47" i="3"/>
  <c r="G48" i="3"/>
  <c r="G49" i="3"/>
  <c r="G50" i="3"/>
  <c r="G51" i="3"/>
  <c r="G52" i="3"/>
  <c r="H18" i="16" s="1"/>
  <c r="G53" i="3"/>
  <c r="H19" i="19" s="1"/>
  <c r="G54" i="3"/>
  <c r="G55" i="3"/>
  <c r="G56" i="3"/>
  <c r="G57" i="3"/>
  <c r="G58" i="3"/>
  <c r="G59" i="3"/>
  <c r="G60" i="3"/>
  <c r="G61" i="3"/>
  <c r="G62" i="3"/>
  <c r="G63" i="3"/>
  <c r="G64" i="3"/>
  <c r="G65" i="3"/>
  <c r="G66" i="3"/>
  <c r="G67" i="3"/>
  <c r="G68" i="3"/>
  <c r="G69" i="3"/>
  <c r="G70" i="3"/>
  <c r="G71" i="3"/>
  <c r="G72" i="3"/>
  <c r="G73" i="3"/>
  <c r="G74" i="3"/>
  <c r="G75" i="3"/>
  <c r="H18" i="19" s="1"/>
  <c r="G76" i="3"/>
  <c r="G77" i="3"/>
  <c r="G78" i="3"/>
  <c r="G79" i="3"/>
  <c r="G80" i="3"/>
  <c r="G81" i="3"/>
  <c r="G84" i="3"/>
  <c r="G85" i="3"/>
  <c r="G86" i="3"/>
  <c r="G97" i="3"/>
  <c r="G88" i="3"/>
  <c r="G89" i="3"/>
  <c r="G90" i="3"/>
  <c r="G93" i="3"/>
  <c r="G94" i="3"/>
  <c r="G95" i="3"/>
  <c r="G96" i="3"/>
  <c r="G98" i="3"/>
  <c r="G99" i="3"/>
  <c r="G100" i="3"/>
  <c r="H13" i="15" l="1"/>
  <c r="H14" i="19"/>
  <c r="J19" i="15"/>
  <c r="J16" i="19"/>
  <c r="K11" i="15"/>
  <c r="K11" i="19"/>
  <c r="K14" i="15"/>
  <c r="K15" i="19"/>
  <c r="H10" i="15"/>
  <c r="H10" i="19"/>
  <c r="I16" i="15"/>
  <c r="I12" i="19"/>
  <c r="K13" i="15"/>
  <c r="K14" i="19"/>
  <c r="H14" i="15"/>
  <c r="H15" i="19"/>
  <c r="J10" i="15"/>
  <c r="J10" i="19"/>
  <c r="H19" i="15"/>
  <c r="H16" i="19"/>
  <c r="I11" i="15"/>
  <c r="I11" i="19"/>
  <c r="I14" i="15"/>
  <c r="I15" i="19"/>
  <c r="K10" i="15"/>
  <c r="K10" i="19"/>
  <c r="J13" i="15"/>
  <c r="J14" i="19"/>
  <c r="H11" i="15"/>
  <c r="H11" i="19"/>
  <c r="K16" i="15"/>
  <c r="K12" i="19"/>
  <c r="I13" i="15"/>
  <c r="I14" i="19"/>
  <c r="K19" i="15"/>
  <c r="K16" i="19"/>
  <c r="H16" i="15"/>
  <c r="H12" i="19"/>
  <c r="I10" i="15"/>
  <c r="I10" i="19"/>
  <c r="J16" i="15"/>
  <c r="J12" i="19"/>
  <c r="I19" i="15"/>
  <c r="I16" i="19"/>
  <c r="J11" i="15"/>
  <c r="J11" i="19"/>
  <c r="J14" i="15"/>
  <c r="J15" i="19"/>
  <c r="H17" i="16"/>
  <c r="H17" i="15"/>
  <c r="K17" i="16"/>
  <c r="K17" i="15"/>
  <c r="I20" i="15"/>
  <c r="I20" i="16"/>
  <c r="I17" i="15"/>
  <c r="I17" i="16"/>
  <c r="J20" i="16"/>
  <c r="J20" i="15"/>
  <c r="H20" i="16"/>
  <c r="H20" i="15"/>
  <c r="J17" i="16"/>
  <c r="J17" i="15"/>
  <c r="K20" i="16"/>
  <c r="K20" i="15"/>
  <c r="G6" i="14"/>
  <c r="L5" i="14"/>
  <c r="G5" i="14"/>
  <c r="Q50" i="2" l="1"/>
  <c r="Q49" i="2"/>
  <c r="Q48" i="2"/>
  <c r="Q47" i="2"/>
  <c r="O50" i="2"/>
  <c r="A13" i="14" s="1"/>
  <c r="O49" i="2"/>
  <c r="A12" i="14" s="1"/>
  <c r="O48" i="2"/>
  <c r="A10" i="14" s="1"/>
  <c r="O47" i="2"/>
  <c r="A9" i="14" s="1"/>
  <c r="M57" i="2"/>
  <c r="O57" i="2" s="1"/>
  <c r="Q57" i="2" s="1"/>
  <c r="M56" i="2"/>
  <c r="O56" i="2" s="1"/>
  <c r="Q56" i="2" s="1"/>
  <c r="M55" i="2"/>
  <c r="O55" i="2" s="1"/>
  <c r="Q55" i="2" s="1"/>
  <c r="A19" i="14" l="1"/>
  <c r="G19" i="14" s="1"/>
  <c r="A17" i="14"/>
  <c r="F17" i="14" s="1"/>
  <c r="A18" i="14"/>
  <c r="B18" i="14" s="1"/>
  <c r="F9" i="14"/>
  <c r="D9" i="14"/>
  <c r="E9" i="14"/>
  <c r="E10" i="14" s="1"/>
  <c r="C9" i="14"/>
  <c r="B9" i="14"/>
  <c r="G9" i="14"/>
  <c r="C13" i="14"/>
  <c r="G13" i="14"/>
  <c r="D13" i="14"/>
  <c r="B13" i="14"/>
  <c r="F13" i="14"/>
  <c r="C10" i="14"/>
  <c r="F10" i="14"/>
  <c r="G10" i="14"/>
  <c r="B10" i="14"/>
  <c r="D10" i="14"/>
  <c r="F12" i="14"/>
  <c r="E12" i="14"/>
  <c r="E13" i="14" s="1"/>
  <c r="B12" i="14"/>
  <c r="D12" i="14"/>
  <c r="C12" i="14"/>
  <c r="G12" i="14"/>
  <c r="D18" i="14" l="1"/>
  <c r="B17" i="14"/>
  <c r="C17" i="14"/>
  <c r="D17" i="14"/>
  <c r="G17" i="14"/>
  <c r="C19" i="14"/>
  <c r="F18" i="14"/>
  <c r="D19" i="14"/>
  <c r="C18" i="14"/>
  <c r="G18" i="14"/>
  <c r="B19" i="14"/>
  <c r="F19" i="14"/>
  <c r="L5" i="13"/>
  <c r="G6" i="13"/>
  <c r="G5" i="13"/>
  <c r="A9" i="13" l="1"/>
  <c r="A18" i="13"/>
  <c r="A19" i="13"/>
  <c r="A10" i="13"/>
  <c r="A12" i="13"/>
  <c r="A13" i="13"/>
  <c r="G13" i="13" s="1"/>
  <c r="A15" i="13"/>
  <c r="A16" i="13"/>
  <c r="C13" i="13" l="1"/>
  <c r="B13" i="13"/>
  <c r="D13" i="13"/>
  <c r="F13" i="13"/>
  <c r="B9" i="13"/>
  <c r="G9" i="13"/>
  <c r="F9" i="13"/>
  <c r="E9" i="13"/>
  <c r="E10" i="13" s="1"/>
  <c r="D9" i="13"/>
  <c r="C9" i="13"/>
  <c r="G10" i="13"/>
  <c r="F10" i="13"/>
  <c r="D10" i="13"/>
  <c r="C10" i="13"/>
  <c r="B10" i="13"/>
  <c r="C16" i="13"/>
  <c r="B16" i="13"/>
  <c r="G16" i="13"/>
  <c r="F16" i="13"/>
  <c r="D16" i="13"/>
  <c r="D12" i="13"/>
  <c r="C12" i="13"/>
  <c r="B12" i="13"/>
  <c r="G12" i="13"/>
  <c r="F12" i="13"/>
  <c r="E12" i="13"/>
  <c r="E13" i="13" s="1"/>
  <c r="G18" i="13"/>
  <c r="F18" i="13"/>
  <c r="E18" i="13"/>
  <c r="E19" i="13" s="1"/>
  <c r="D18" i="13"/>
  <c r="C18" i="13"/>
  <c r="B18" i="13"/>
  <c r="D19" i="13"/>
  <c r="C19" i="13"/>
  <c r="B19" i="13"/>
  <c r="G19" i="13"/>
  <c r="F19" i="13"/>
  <c r="F15" i="13"/>
  <c r="E15" i="13"/>
  <c r="E16" i="13" s="1"/>
  <c r="D15" i="13"/>
  <c r="C15" i="13"/>
  <c r="B15" i="13"/>
  <c r="G15" i="13"/>
  <c r="L6" i="12"/>
  <c r="G6" i="12"/>
  <c r="G7" i="12"/>
  <c r="G5" i="12"/>
  <c r="A32" i="12" l="1"/>
  <c r="A24" i="12"/>
  <c r="A29" i="12"/>
  <c r="A30" i="12"/>
  <c r="A28" i="12"/>
  <c r="A27" i="12"/>
  <c r="A26" i="12"/>
  <c r="A25" i="12"/>
  <c r="A31" i="12"/>
  <c r="A20" i="12"/>
  <c r="A19" i="12"/>
  <c r="A16" i="12"/>
  <c r="D16" i="12" s="1"/>
  <c r="A13" i="12"/>
  <c r="A11" i="12"/>
  <c r="B11" i="12" s="1"/>
  <c r="A10" i="12"/>
  <c r="A17" i="12"/>
  <c r="A14" i="12"/>
  <c r="D108" i="8"/>
  <c r="D109" i="8"/>
  <c r="D110" i="8"/>
  <c r="D111" i="8"/>
  <c r="D106" i="8"/>
  <c r="D107" i="8"/>
  <c r="H18" i="13"/>
  <c r="H10" i="13"/>
  <c r="H16" i="13"/>
  <c r="H15" i="13"/>
  <c r="H13" i="13"/>
  <c r="H12" i="13"/>
  <c r="H9" i="13"/>
  <c r="H9" i="14"/>
  <c r="H12" i="14"/>
  <c r="H13" i="14"/>
  <c r="H18" i="14"/>
  <c r="H19" i="14"/>
  <c r="I18" i="13"/>
  <c r="I10" i="13"/>
  <c r="I16" i="13"/>
  <c r="I15" i="13"/>
  <c r="I13" i="13"/>
  <c r="I12" i="13"/>
  <c r="I9" i="13"/>
  <c r="I9" i="14"/>
  <c r="I12" i="14"/>
  <c r="I13" i="14"/>
  <c r="I18" i="14"/>
  <c r="I19" i="14"/>
  <c r="J18" i="13"/>
  <c r="J10" i="13"/>
  <c r="J16" i="13"/>
  <c r="J15" i="13"/>
  <c r="J13" i="13"/>
  <c r="J12" i="13"/>
  <c r="J9" i="13"/>
  <c r="J9" i="14"/>
  <c r="J12" i="14"/>
  <c r="J13" i="14"/>
  <c r="J18" i="14"/>
  <c r="J19" i="14"/>
  <c r="K18" i="13"/>
  <c r="K10" i="13"/>
  <c r="K16" i="13"/>
  <c r="K15" i="13"/>
  <c r="K13" i="13"/>
  <c r="K12" i="13"/>
  <c r="K9" i="13"/>
  <c r="K9" i="14"/>
  <c r="K12" i="14"/>
  <c r="K13" i="14"/>
  <c r="K18" i="14"/>
  <c r="K19" i="14"/>
  <c r="K17" i="14" l="1"/>
  <c r="K10" i="14"/>
  <c r="J17" i="14"/>
  <c r="J10" i="14"/>
  <c r="I17" i="14"/>
  <c r="I10" i="14"/>
  <c r="H17" i="14"/>
  <c r="H10" i="14"/>
  <c r="J25" i="12"/>
  <c r="B25" i="12"/>
  <c r="K25" i="12"/>
  <c r="G25" i="12"/>
  <c r="H25" i="12"/>
  <c r="D25" i="12"/>
  <c r="I25" i="12"/>
  <c r="F25" i="12"/>
  <c r="C25" i="12"/>
  <c r="I26" i="12"/>
  <c r="J26" i="12"/>
  <c r="G26" i="12"/>
  <c r="C26" i="12"/>
  <c r="D26" i="12"/>
  <c r="H26" i="12"/>
  <c r="F26" i="12"/>
  <c r="B26" i="12"/>
  <c r="K26" i="12"/>
  <c r="H27" i="12"/>
  <c r="D27" i="12"/>
  <c r="B27" i="12"/>
  <c r="G27" i="12"/>
  <c r="F27" i="12"/>
  <c r="I27" i="12"/>
  <c r="K27" i="12"/>
  <c r="C27" i="12"/>
  <c r="J27" i="12"/>
  <c r="G28" i="12"/>
  <c r="D28" i="12"/>
  <c r="C28" i="12"/>
  <c r="I28" i="12"/>
  <c r="F28" i="12"/>
  <c r="H28" i="12"/>
  <c r="J28" i="12"/>
  <c r="B28" i="12"/>
  <c r="K28" i="12"/>
  <c r="D30" i="12"/>
  <c r="I30" i="12"/>
  <c r="C30" i="12"/>
  <c r="G30" i="12"/>
  <c r="J30" i="12"/>
  <c r="B30" i="12"/>
  <c r="K30" i="12"/>
  <c r="F30" i="12"/>
  <c r="H30" i="12"/>
  <c r="F29" i="12"/>
  <c r="H29" i="12"/>
  <c r="K29" i="12"/>
  <c r="B29" i="12"/>
  <c r="G29" i="12"/>
  <c r="C29" i="12"/>
  <c r="D29" i="12"/>
  <c r="I29" i="12"/>
  <c r="J29" i="12"/>
  <c r="D24" i="12"/>
  <c r="G24" i="12"/>
  <c r="B24" i="12"/>
  <c r="F24" i="12"/>
  <c r="C24" i="12"/>
  <c r="C31" i="12"/>
  <c r="G31" i="12"/>
  <c r="K31" i="12"/>
  <c r="D31" i="12"/>
  <c r="H31" i="12"/>
  <c r="J31" i="12"/>
  <c r="F31" i="12"/>
  <c r="I31" i="12"/>
  <c r="B31" i="12"/>
  <c r="K32" i="12"/>
  <c r="D32" i="12"/>
  <c r="G32" i="12"/>
  <c r="C32" i="12"/>
  <c r="F32" i="12"/>
  <c r="J32" i="12"/>
  <c r="B32" i="12"/>
  <c r="H32" i="12"/>
  <c r="I32" i="12"/>
  <c r="E16" i="12"/>
  <c r="E17" i="12" s="1"/>
  <c r="J16" i="12"/>
  <c r="B16" i="12"/>
  <c r="K16" i="12"/>
  <c r="F16" i="12"/>
  <c r="I16" i="12"/>
  <c r="C16" i="12"/>
  <c r="G11" i="12"/>
  <c r="J11" i="12"/>
  <c r="C11" i="12"/>
  <c r="K11" i="12"/>
  <c r="F11" i="12"/>
  <c r="I11" i="12"/>
  <c r="H11" i="12"/>
  <c r="D11" i="12"/>
  <c r="G16" i="12"/>
  <c r="H16" i="12"/>
  <c r="D17" i="12"/>
  <c r="G17" i="12"/>
  <c r="C17" i="12"/>
  <c r="B17" i="12"/>
  <c r="F17" i="12"/>
  <c r="I19" i="12"/>
  <c r="E19" i="12"/>
  <c r="E20" i="12" s="1"/>
  <c r="D19" i="12"/>
  <c r="H19" i="12"/>
  <c r="G19" i="12"/>
  <c r="K19" i="12"/>
  <c r="C19" i="12"/>
  <c r="F19" i="12"/>
  <c r="B19" i="12"/>
  <c r="J19" i="12"/>
  <c r="J14" i="12"/>
  <c r="B14" i="12"/>
  <c r="F14" i="12"/>
  <c r="D14" i="12"/>
  <c r="I14" i="12"/>
  <c r="H14" i="12"/>
  <c r="G14" i="12"/>
  <c r="K14" i="12"/>
  <c r="C14" i="12"/>
  <c r="E13" i="12"/>
  <c r="E14" i="12" s="1"/>
  <c r="C13" i="12"/>
  <c r="I13" i="12"/>
  <c r="H13" i="12"/>
  <c r="G13" i="12"/>
  <c r="D13" i="12"/>
  <c r="K13" i="12"/>
  <c r="J13" i="12"/>
  <c r="B13" i="12"/>
  <c r="F13" i="12"/>
  <c r="F20" i="12"/>
  <c r="J20" i="12"/>
  <c r="I20" i="12"/>
  <c r="D20" i="12"/>
  <c r="B20" i="12"/>
  <c r="H20" i="12"/>
  <c r="K20" i="12"/>
  <c r="C20" i="12"/>
  <c r="G20" i="12"/>
  <c r="K10" i="12"/>
  <c r="C10" i="12"/>
  <c r="I10" i="12"/>
  <c r="G10" i="12"/>
  <c r="F10" i="12"/>
  <c r="E10" i="12"/>
  <c r="E11" i="12" s="1"/>
  <c r="J10" i="12"/>
  <c r="B10" i="12"/>
  <c r="H10" i="12"/>
  <c r="D10" i="12"/>
  <c r="E229" i="8"/>
  <c r="D229" i="8"/>
  <c r="C229" i="8"/>
  <c r="B229" i="8"/>
  <c r="A229" i="8"/>
  <c r="E228" i="8"/>
  <c r="D228" i="8"/>
  <c r="C228" i="8"/>
  <c r="B228" i="8"/>
  <c r="A228" i="8"/>
  <c r="E227" i="8"/>
  <c r="D227" i="8"/>
  <c r="C227" i="8"/>
  <c r="B227" i="8"/>
  <c r="A227" i="8"/>
  <c r="E226" i="8"/>
  <c r="D226" i="8"/>
  <c r="C226" i="8"/>
  <c r="B226" i="8"/>
  <c r="A226" i="8"/>
  <c r="T83" i="3" l="1"/>
  <c r="T82" i="3"/>
  <c r="T91" i="3"/>
  <c r="T92" i="3"/>
  <c r="T87" i="3"/>
  <c r="T26" i="3"/>
  <c r="T6" i="3"/>
  <c r="T4" i="3"/>
  <c r="T5" i="3"/>
  <c r="T7" i="3"/>
  <c r="T8" i="3"/>
  <c r="T9" i="3"/>
  <c r="T10" i="3"/>
  <c r="T11" i="3"/>
  <c r="T12" i="3"/>
  <c r="T13" i="3"/>
  <c r="T14" i="3"/>
  <c r="T15" i="3"/>
  <c r="T16" i="3"/>
  <c r="T17" i="3"/>
  <c r="T18" i="3"/>
  <c r="T19" i="3"/>
  <c r="T20" i="3"/>
  <c r="T21" i="3"/>
  <c r="T22" i="3"/>
  <c r="T23" i="3"/>
  <c r="T24" i="3"/>
  <c r="T25"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4" i="3"/>
  <c r="T85" i="3"/>
  <c r="T86" i="3"/>
  <c r="T97" i="3"/>
  <c r="T88" i="3"/>
  <c r="T89" i="3"/>
  <c r="T90" i="3"/>
  <c r="T93" i="3"/>
  <c r="T94" i="3"/>
  <c r="T95" i="3"/>
  <c r="T96" i="3"/>
  <c r="T98" i="3"/>
  <c r="T99" i="3"/>
  <c r="T100" i="3"/>
  <c r="E223" i="8"/>
  <c r="D223" i="8"/>
  <c r="C223" i="8"/>
  <c r="B223" i="8"/>
  <c r="A223" i="8"/>
  <c r="E222" i="8"/>
  <c r="D222" i="8"/>
  <c r="C222" i="8"/>
  <c r="B222" i="8"/>
  <c r="A222" i="8"/>
  <c r="E221" i="8"/>
  <c r="D221" i="8"/>
  <c r="C221" i="8"/>
  <c r="B221" i="8"/>
  <c r="A221" i="8"/>
  <c r="E220" i="8"/>
  <c r="D220" i="8"/>
  <c r="C220" i="8"/>
  <c r="B220" i="8"/>
  <c r="A220" i="8"/>
  <c r="S83" i="3" l="1"/>
  <c r="S82" i="3"/>
  <c r="S91" i="3"/>
  <c r="S92" i="3"/>
  <c r="S87" i="3"/>
  <c r="S26" i="3"/>
  <c r="S6" i="3"/>
  <c r="S4" i="3"/>
  <c r="S5" i="3"/>
  <c r="S7" i="3"/>
  <c r="S8" i="3"/>
  <c r="S9" i="3"/>
  <c r="S10" i="3"/>
  <c r="S11" i="3"/>
  <c r="S12" i="3"/>
  <c r="S13" i="3"/>
  <c r="S14" i="3"/>
  <c r="S15" i="3"/>
  <c r="S16" i="3"/>
  <c r="S17" i="3"/>
  <c r="S18" i="3"/>
  <c r="S19" i="3"/>
  <c r="S20" i="3"/>
  <c r="S21" i="3"/>
  <c r="S22" i="3"/>
  <c r="S23" i="3"/>
  <c r="S24" i="3"/>
  <c r="S25"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4" i="3"/>
  <c r="S85" i="3"/>
  <c r="S86" i="3"/>
  <c r="S97" i="3"/>
  <c r="S88" i="3"/>
  <c r="S89" i="3"/>
  <c r="S90" i="3"/>
  <c r="S93" i="3"/>
  <c r="S94" i="3"/>
  <c r="S95" i="3"/>
  <c r="S96" i="3"/>
  <c r="S98" i="3"/>
  <c r="S99" i="3"/>
  <c r="S100" i="3"/>
  <c r="E216" i="8"/>
  <c r="D216" i="8"/>
  <c r="C216" i="8"/>
  <c r="B216" i="8"/>
  <c r="A216" i="8"/>
  <c r="E215" i="8"/>
  <c r="D215" i="8"/>
  <c r="C215" i="8"/>
  <c r="B215" i="8"/>
  <c r="A215" i="8"/>
  <c r="E214" i="8"/>
  <c r="D214" i="8"/>
  <c r="C214" i="8"/>
  <c r="B214" i="8"/>
  <c r="A214" i="8"/>
  <c r="E213" i="8"/>
  <c r="D213" i="8"/>
  <c r="C213" i="8"/>
  <c r="B213" i="8"/>
  <c r="A213" i="8"/>
  <c r="E212" i="8"/>
  <c r="D212" i="8"/>
  <c r="C212" i="8"/>
  <c r="B212" i="8"/>
  <c r="A212" i="8"/>
  <c r="E211" i="8"/>
  <c r="D211" i="8"/>
  <c r="C211" i="8"/>
  <c r="B211" i="8"/>
  <c r="A211" i="8"/>
  <c r="E210" i="8"/>
  <c r="D210" i="8"/>
  <c r="C210" i="8"/>
  <c r="B210" i="8"/>
  <c r="A210" i="8"/>
  <c r="E209" i="8"/>
  <c r="D209" i="8"/>
  <c r="C209" i="8"/>
  <c r="B209" i="8"/>
  <c r="A209" i="8"/>
  <c r="E208" i="8"/>
  <c r="D208" i="8"/>
  <c r="C208" i="8"/>
  <c r="B208" i="8"/>
  <c r="A208" i="8"/>
  <c r="E207" i="8"/>
  <c r="D207" i="8"/>
  <c r="C207" i="8"/>
  <c r="B207" i="8"/>
  <c r="A207" i="8"/>
  <c r="E206" i="8"/>
  <c r="D206" i="8"/>
  <c r="C206" i="8"/>
  <c r="B206" i="8"/>
  <c r="A206" i="8"/>
  <c r="E205" i="8"/>
  <c r="D205" i="8"/>
  <c r="C205" i="8"/>
  <c r="B205" i="8"/>
  <c r="A205" i="8"/>
  <c r="E204" i="8"/>
  <c r="D204" i="8"/>
  <c r="C204" i="8"/>
  <c r="B204" i="8"/>
  <c r="A204" i="8"/>
  <c r="E203" i="8"/>
  <c r="D203" i="8"/>
  <c r="B203" i="8"/>
  <c r="A203" i="8"/>
  <c r="D200" i="8"/>
  <c r="C200" i="8"/>
  <c r="D199" i="8"/>
  <c r="C199" i="8"/>
  <c r="D197" i="8"/>
  <c r="C197" i="8"/>
  <c r="D192" i="8"/>
  <c r="D193" i="8"/>
  <c r="D194" i="8"/>
  <c r="D195" i="8"/>
  <c r="C192" i="8"/>
  <c r="C193" i="8"/>
  <c r="C194" i="8"/>
  <c r="C195" i="8"/>
  <c r="D191" i="8"/>
  <c r="C191" i="8"/>
  <c r="D190" i="8"/>
  <c r="D196" i="8"/>
  <c r="D198" i="8"/>
  <c r="D187" i="8"/>
  <c r="C190" i="8"/>
  <c r="V83" i="3" l="1"/>
  <c r="V82" i="3"/>
  <c r="V91" i="3"/>
  <c r="V92" i="3"/>
  <c r="V87" i="3"/>
  <c r="V26" i="3"/>
  <c r="V6" i="3"/>
  <c r="V11" i="3"/>
  <c r="V19" i="3"/>
  <c r="V28" i="3"/>
  <c r="V36" i="3"/>
  <c r="V44" i="3"/>
  <c r="V52" i="3"/>
  <c r="V60" i="3"/>
  <c r="V68" i="3"/>
  <c r="V76" i="3"/>
  <c r="V85" i="3"/>
  <c r="V95" i="3"/>
  <c r="V34" i="3"/>
  <c r="V93" i="3"/>
  <c r="V12" i="3"/>
  <c r="V20" i="3"/>
  <c r="V29" i="3"/>
  <c r="V37" i="3"/>
  <c r="V45" i="3"/>
  <c r="V53" i="3"/>
  <c r="V61" i="3"/>
  <c r="V69" i="3"/>
  <c r="V77" i="3"/>
  <c r="V86" i="3"/>
  <c r="V96" i="3"/>
  <c r="V9" i="3"/>
  <c r="V74" i="3"/>
  <c r="V4" i="3"/>
  <c r="V13" i="3"/>
  <c r="V21" i="3"/>
  <c r="V30" i="3"/>
  <c r="V38" i="3"/>
  <c r="V46" i="3"/>
  <c r="V54" i="3"/>
  <c r="V62" i="3"/>
  <c r="V70" i="3"/>
  <c r="V78" i="3"/>
  <c r="V97" i="3"/>
  <c r="V98" i="3"/>
  <c r="V17" i="3"/>
  <c r="V5" i="3"/>
  <c r="V14" i="3"/>
  <c r="V22" i="3"/>
  <c r="V31" i="3"/>
  <c r="V39" i="3"/>
  <c r="V47" i="3"/>
  <c r="V55" i="3"/>
  <c r="V63" i="3"/>
  <c r="V71" i="3"/>
  <c r="V79" i="3"/>
  <c r="V88" i="3"/>
  <c r="V99" i="3"/>
  <c r="V58" i="3"/>
  <c r="V7" i="3"/>
  <c r="V15" i="3"/>
  <c r="V23" i="3"/>
  <c r="V32" i="3"/>
  <c r="V40" i="3"/>
  <c r="V48" i="3"/>
  <c r="V56" i="3"/>
  <c r="V64" i="3"/>
  <c r="V72" i="3"/>
  <c r="V80" i="3"/>
  <c r="V89" i="3"/>
  <c r="V100" i="3"/>
  <c r="V50" i="3"/>
  <c r="V8" i="3"/>
  <c r="V16" i="3"/>
  <c r="V24" i="3"/>
  <c r="V33" i="3"/>
  <c r="V41" i="3"/>
  <c r="V49" i="3"/>
  <c r="V57" i="3"/>
  <c r="V65" i="3"/>
  <c r="V73" i="3"/>
  <c r="V81" i="3"/>
  <c r="V90" i="3"/>
  <c r="V25" i="3"/>
  <c r="V66" i="3"/>
  <c r="V10" i="3"/>
  <c r="V18" i="3"/>
  <c r="V27" i="3"/>
  <c r="V35" i="3"/>
  <c r="V43" i="3"/>
  <c r="V51" i="3"/>
  <c r="V59" i="3"/>
  <c r="V67" i="3"/>
  <c r="V75" i="3"/>
  <c r="V84" i="3"/>
  <c r="V94" i="3"/>
  <c r="V42" i="3"/>
  <c r="E200" i="8"/>
  <c r="B200" i="8"/>
  <c r="A200" i="8"/>
  <c r="E199" i="8"/>
  <c r="B199" i="8"/>
  <c r="A199" i="8"/>
  <c r="E198" i="8"/>
  <c r="C198" i="8"/>
  <c r="B198" i="8"/>
  <c r="A198" i="8"/>
  <c r="E197" i="8"/>
  <c r="B197" i="8"/>
  <c r="A197" i="8"/>
  <c r="E196" i="8"/>
  <c r="C196" i="8"/>
  <c r="B196" i="8"/>
  <c r="A196" i="8"/>
  <c r="E195" i="8"/>
  <c r="B195" i="8"/>
  <c r="A195" i="8"/>
  <c r="E194" i="8"/>
  <c r="B194" i="8"/>
  <c r="A194" i="8"/>
  <c r="E193" i="8"/>
  <c r="B193" i="8"/>
  <c r="A193" i="8"/>
  <c r="E192" i="8"/>
  <c r="B192" i="8"/>
  <c r="A192" i="8"/>
  <c r="E191" i="8"/>
  <c r="B191" i="8"/>
  <c r="A191" i="8"/>
  <c r="E190" i="8"/>
  <c r="B190" i="8"/>
  <c r="A190" i="8"/>
  <c r="E189" i="8"/>
  <c r="D189" i="8"/>
  <c r="C189" i="8"/>
  <c r="B189" i="8"/>
  <c r="A189" i="8"/>
  <c r="E188" i="8"/>
  <c r="D188" i="8"/>
  <c r="C188" i="8"/>
  <c r="B188" i="8"/>
  <c r="A188" i="8"/>
  <c r="E187" i="8"/>
  <c r="B187" i="8"/>
  <c r="A187" i="8"/>
  <c r="U83" i="3" l="1"/>
  <c r="U82" i="3"/>
  <c r="U91" i="3"/>
  <c r="U92" i="3"/>
  <c r="U87" i="3"/>
  <c r="U26" i="3"/>
  <c r="U6" i="3"/>
  <c r="U8" i="3"/>
  <c r="U16" i="3"/>
  <c r="U24" i="3"/>
  <c r="U33" i="3"/>
  <c r="U41" i="3"/>
  <c r="U49" i="3"/>
  <c r="U57" i="3"/>
  <c r="U65" i="3"/>
  <c r="U73" i="3"/>
  <c r="U81" i="3"/>
  <c r="U90" i="3"/>
  <c r="U9" i="3"/>
  <c r="U17" i="3"/>
  <c r="U25" i="3"/>
  <c r="U34" i="3"/>
  <c r="U42" i="3"/>
  <c r="U50" i="3"/>
  <c r="U58" i="3"/>
  <c r="U93" i="3"/>
  <c r="U10" i="3"/>
  <c r="U18" i="3"/>
  <c r="U27" i="3"/>
  <c r="U35" i="3"/>
  <c r="U43" i="3"/>
  <c r="U51" i="3"/>
  <c r="U59" i="3"/>
  <c r="U67" i="3"/>
  <c r="U75" i="3"/>
  <c r="U84" i="3"/>
  <c r="U94" i="3"/>
  <c r="U23" i="3"/>
  <c r="U56" i="3"/>
  <c r="U74" i="3"/>
  <c r="U11" i="3"/>
  <c r="U19" i="3"/>
  <c r="U28" i="3"/>
  <c r="U36" i="3"/>
  <c r="U44" i="3"/>
  <c r="U52" i="3"/>
  <c r="U60" i="3"/>
  <c r="U68" i="3"/>
  <c r="U76" i="3"/>
  <c r="U85" i="3"/>
  <c r="U95" i="3"/>
  <c r="U7" i="3"/>
  <c r="U48" i="3"/>
  <c r="U100" i="3"/>
  <c r="U12" i="3"/>
  <c r="U20" i="3"/>
  <c r="U29" i="3"/>
  <c r="U37" i="3"/>
  <c r="U45" i="3"/>
  <c r="U53" i="3"/>
  <c r="U61" i="3"/>
  <c r="U69" i="3"/>
  <c r="U77" i="3"/>
  <c r="U86" i="3"/>
  <c r="U96" i="3"/>
  <c r="U15" i="3"/>
  <c r="U64" i="3"/>
  <c r="U89" i="3"/>
  <c r="U66" i="3"/>
  <c r="U4" i="3"/>
  <c r="U13" i="3"/>
  <c r="U21" i="3"/>
  <c r="U30" i="3"/>
  <c r="U38" i="3"/>
  <c r="U46" i="3"/>
  <c r="U54" i="3"/>
  <c r="U62" i="3"/>
  <c r="U70" i="3"/>
  <c r="U78" i="3"/>
  <c r="U97" i="3"/>
  <c r="U98" i="3"/>
  <c r="U40" i="3"/>
  <c r="U80" i="3"/>
  <c r="U5" i="3"/>
  <c r="U14" i="3"/>
  <c r="U22" i="3"/>
  <c r="U31" i="3"/>
  <c r="U39" i="3"/>
  <c r="U47" i="3"/>
  <c r="U55" i="3"/>
  <c r="U63" i="3"/>
  <c r="U71" i="3"/>
  <c r="U79" i="3"/>
  <c r="U88" i="3"/>
  <c r="U99" i="3"/>
  <c r="U32" i="3"/>
  <c r="U72" i="3"/>
  <c r="C145" i="8"/>
  <c r="C139" i="8"/>
  <c r="D145" i="8"/>
  <c r="D146" i="8"/>
  <c r="D147" i="8"/>
  <c r="D148" i="8"/>
  <c r="D139" i="8"/>
  <c r="D140" i="8"/>
  <c r="D141" i="8"/>
  <c r="D142" i="8"/>
  <c r="C140" i="8"/>
  <c r="D133" i="8"/>
  <c r="D134" i="8"/>
  <c r="D135" i="8"/>
  <c r="D136" i="8"/>
  <c r="C133" i="8"/>
  <c r="E148" i="8" l="1"/>
  <c r="C148" i="8"/>
  <c r="B148" i="8"/>
  <c r="A148" i="8"/>
  <c r="E147" i="8"/>
  <c r="C147" i="8"/>
  <c r="B147" i="8"/>
  <c r="A147" i="8"/>
  <c r="E146" i="8"/>
  <c r="C146" i="8"/>
  <c r="B146" i="8"/>
  <c r="A146" i="8"/>
  <c r="E145" i="8"/>
  <c r="B145" i="8"/>
  <c r="A145" i="8"/>
  <c r="E142" i="8"/>
  <c r="C142" i="8"/>
  <c r="B142" i="8"/>
  <c r="A142" i="8"/>
  <c r="E141" i="8"/>
  <c r="C141" i="8"/>
  <c r="B141" i="8"/>
  <c r="A141" i="8"/>
  <c r="E140" i="8"/>
  <c r="B140" i="8"/>
  <c r="A140" i="8"/>
  <c r="E139" i="8"/>
  <c r="B139" i="8"/>
  <c r="A139" i="8"/>
  <c r="AB83" i="3" l="1"/>
  <c r="AB82" i="3"/>
  <c r="AB91" i="3"/>
  <c r="AB92" i="3"/>
  <c r="AB87" i="3"/>
  <c r="AC83" i="3"/>
  <c r="AC82" i="3"/>
  <c r="AC91" i="3"/>
  <c r="AC92" i="3"/>
  <c r="AC87" i="3"/>
  <c r="AB26" i="3"/>
  <c r="AC26" i="3"/>
  <c r="AB6" i="3"/>
  <c r="AB4" i="3"/>
  <c r="AB5" i="3"/>
  <c r="AB7" i="3"/>
  <c r="AB8" i="3"/>
  <c r="AB9" i="3"/>
  <c r="AB10" i="3"/>
  <c r="AB11" i="3"/>
  <c r="AB12" i="3"/>
  <c r="AB13" i="3"/>
  <c r="AB14" i="3"/>
  <c r="AB15" i="3"/>
  <c r="AB16" i="3"/>
  <c r="AB17" i="3"/>
  <c r="AB18" i="3"/>
  <c r="AB19" i="3"/>
  <c r="AB20" i="3"/>
  <c r="AB21" i="3"/>
  <c r="AB22" i="3"/>
  <c r="AB23" i="3"/>
  <c r="AB24" i="3"/>
  <c r="AB25"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4" i="3"/>
  <c r="AB85" i="3"/>
  <c r="AB86" i="3"/>
  <c r="AB97" i="3"/>
  <c r="AB88" i="3"/>
  <c r="AB89" i="3"/>
  <c r="AB90" i="3"/>
  <c r="AB93" i="3"/>
  <c r="AB94" i="3"/>
  <c r="AB95" i="3"/>
  <c r="AB96" i="3"/>
  <c r="AB98" i="3"/>
  <c r="AB99" i="3"/>
  <c r="AB100" i="3"/>
  <c r="AC6" i="3"/>
  <c r="AC4" i="3"/>
  <c r="AC5" i="3"/>
  <c r="AC7" i="3"/>
  <c r="AC8" i="3"/>
  <c r="AC9" i="3"/>
  <c r="AC10" i="3"/>
  <c r="AC11" i="3"/>
  <c r="AC12" i="3"/>
  <c r="AC13" i="3"/>
  <c r="AC14" i="3"/>
  <c r="AC15" i="3"/>
  <c r="AC16" i="3"/>
  <c r="AC17" i="3"/>
  <c r="AC18" i="3"/>
  <c r="AC19" i="3"/>
  <c r="AC20" i="3"/>
  <c r="AC21" i="3"/>
  <c r="AC22" i="3"/>
  <c r="AC23" i="3"/>
  <c r="AC24" i="3"/>
  <c r="AC25"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0" i="3"/>
  <c r="AC81" i="3"/>
  <c r="AC84" i="3"/>
  <c r="AC85" i="3"/>
  <c r="AC86" i="3"/>
  <c r="AC97" i="3"/>
  <c r="AC88" i="3"/>
  <c r="AC89" i="3"/>
  <c r="AC90" i="3"/>
  <c r="AC93" i="3"/>
  <c r="AC94" i="3"/>
  <c r="AC95" i="3"/>
  <c r="AC96" i="3"/>
  <c r="AC98" i="3"/>
  <c r="AC99" i="3"/>
  <c r="AC100" i="3"/>
  <c r="E136" i="8"/>
  <c r="C136" i="8"/>
  <c r="B136" i="8"/>
  <c r="A136" i="8"/>
  <c r="E135" i="8"/>
  <c r="C135" i="8"/>
  <c r="B135" i="8"/>
  <c r="A135" i="8"/>
  <c r="E134" i="8"/>
  <c r="C134" i="8"/>
  <c r="B134" i="8"/>
  <c r="A134" i="8"/>
  <c r="E133" i="8"/>
  <c r="B133" i="8"/>
  <c r="A133" i="8"/>
  <c r="D130" i="8"/>
  <c r="D129" i="8"/>
  <c r="D128" i="8"/>
  <c r="D115" i="8"/>
  <c r="D116" i="8"/>
  <c r="D117" i="8"/>
  <c r="D118" i="8"/>
  <c r="D119" i="8"/>
  <c r="D120" i="8"/>
  <c r="D121" i="8"/>
  <c r="D122" i="8"/>
  <c r="D123" i="8"/>
  <c r="D124" i="8"/>
  <c r="D125" i="8"/>
  <c r="D126" i="8"/>
  <c r="C115" i="8"/>
  <c r="C116" i="8"/>
  <c r="C117" i="8"/>
  <c r="C119" i="8"/>
  <c r="C120" i="8"/>
  <c r="C121" i="8"/>
  <c r="C122" i="8"/>
  <c r="C123" i="8"/>
  <c r="C124" i="8"/>
  <c r="C125" i="8"/>
  <c r="C126" i="8"/>
  <c r="AA83" i="3" l="1"/>
  <c r="AA82" i="3"/>
  <c r="AA91" i="3"/>
  <c r="AA92" i="3"/>
  <c r="AA87" i="3"/>
  <c r="AA26" i="3"/>
  <c r="AA6" i="3"/>
  <c r="AA4" i="3"/>
  <c r="AA5" i="3"/>
  <c r="AA7" i="3"/>
  <c r="AA8" i="3"/>
  <c r="AA9" i="3"/>
  <c r="AA10" i="3"/>
  <c r="AA11" i="3"/>
  <c r="AA12" i="3"/>
  <c r="AA13" i="3"/>
  <c r="AA14" i="3"/>
  <c r="AA15" i="3"/>
  <c r="AA16" i="3"/>
  <c r="AA17" i="3"/>
  <c r="AA18" i="3"/>
  <c r="AA19" i="3"/>
  <c r="AA20" i="3"/>
  <c r="AA21" i="3"/>
  <c r="AA22" i="3"/>
  <c r="AA23" i="3"/>
  <c r="AA24" i="3"/>
  <c r="AA25"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4" i="3"/>
  <c r="AA85" i="3"/>
  <c r="AA86" i="3"/>
  <c r="AA97" i="3"/>
  <c r="AA88" i="3"/>
  <c r="AA89" i="3"/>
  <c r="AA90" i="3"/>
  <c r="AA93" i="3"/>
  <c r="AA94" i="3"/>
  <c r="AA95" i="3"/>
  <c r="AA96" i="3"/>
  <c r="AA98" i="3"/>
  <c r="AA99" i="3"/>
  <c r="AA100" i="3"/>
  <c r="E130" i="8"/>
  <c r="B130" i="8"/>
  <c r="A130" i="8"/>
  <c r="E129" i="8"/>
  <c r="B129" i="8"/>
  <c r="A129" i="8"/>
  <c r="E128" i="8"/>
  <c r="B128" i="8"/>
  <c r="A128" i="8"/>
  <c r="E127" i="8"/>
  <c r="B127" i="8"/>
  <c r="A127" i="8"/>
  <c r="E126" i="8"/>
  <c r="B126" i="8"/>
  <c r="A126" i="8"/>
  <c r="E125" i="8"/>
  <c r="B125" i="8"/>
  <c r="A125" i="8"/>
  <c r="E124" i="8"/>
  <c r="B124" i="8"/>
  <c r="A124" i="8"/>
  <c r="E123" i="8"/>
  <c r="B123" i="8"/>
  <c r="A123" i="8"/>
  <c r="E122" i="8"/>
  <c r="B122" i="8"/>
  <c r="A122" i="8"/>
  <c r="E121" i="8"/>
  <c r="B121" i="8"/>
  <c r="A121" i="8"/>
  <c r="E120" i="8"/>
  <c r="B120" i="8"/>
  <c r="A120" i="8"/>
  <c r="E119" i="8"/>
  <c r="B119" i="8"/>
  <c r="A119" i="8"/>
  <c r="E118" i="8"/>
  <c r="B118" i="8"/>
  <c r="A118" i="8"/>
  <c r="E117" i="8"/>
  <c r="B117" i="8"/>
  <c r="A117" i="8"/>
  <c r="E116" i="8"/>
  <c r="B116" i="8"/>
  <c r="A116" i="8"/>
  <c r="E115" i="8"/>
  <c r="B115" i="8"/>
  <c r="A115" i="8"/>
  <c r="C107" i="8"/>
  <c r="C108" i="8"/>
  <c r="C109" i="8"/>
  <c r="C110" i="8"/>
  <c r="C111" i="8"/>
  <c r="Z83" i="3" l="1"/>
  <c r="Z82" i="3"/>
  <c r="Z91" i="3"/>
  <c r="Z92" i="3"/>
  <c r="Z87" i="3"/>
  <c r="Z26" i="3"/>
  <c r="Z6" i="3"/>
  <c r="Z63" i="3"/>
  <c r="Z64" i="3"/>
  <c r="Z67" i="3"/>
  <c r="Z4" i="3"/>
  <c r="Z13" i="3"/>
  <c r="Z21" i="3"/>
  <c r="Z30" i="3"/>
  <c r="Z38" i="3"/>
  <c r="Z46" i="3"/>
  <c r="Z54" i="3"/>
  <c r="Z62" i="3"/>
  <c r="Z70" i="3"/>
  <c r="Z78" i="3"/>
  <c r="Z97" i="3"/>
  <c r="Z98" i="3"/>
  <c r="Z15" i="3"/>
  <c r="Z32" i="3"/>
  <c r="Z48" i="3"/>
  <c r="Z72" i="3"/>
  <c r="Z89" i="3"/>
  <c r="Z60" i="3"/>
  <c r="Z12" i="3"/>
  <c r="Z53" i="3"/>
  <c r="Z86" i="3"/>
  <c r="Z5" i="3"/>
  <c r="Z14" i="3"/>
  <c r="Z22" i="3"/>
  <c r="Z31" i="3"/>
  <c r="Z39" i="3"/>
  <c r="Z47" i="3"/>
  <c r="Z55" i="3"/>
  <c r="Z71" i="3"/>
  <c r="Z79" i="3"/>
  <c r="Z88" i="3"/>
  <c r="Z99" i="3"/>
  <c r="Z23" i="3"/>
  <c r="Z40" i="3"/>
  <c r="Z100" i="3"/>
  <c r="Z28" i="3"/>
  <c r="Z29" i="3"/>
  <c r="Z61" i="3"/>
  <c r="Z7" i="3"/>
  <c r="Z56" i="3"/>
  <c r="Z80" i="3"/>
  <c r="Z36" i="3"/>
  <c r="Z95" i="3"/>
  <c r="Z8" i="3"/>
  <c r="Z16" i="3"/>
  <c r="Z24" i="3"/>
  <c r="Z33" i="3"/>
  <c r="Z41" i="3"/>
  <c r="Z49" i="3"/>
  <c r="Z57" i="3"/>
  <c r="Z65" i="3"/>
  <c r="Z73" i="3"/>
  <c r="Z81" i="3"/>
  <c r="Z90" i="3"/>
  <c r="Z9" i="3"/>
  <c r="Z17" i="3"/>
  <c r="Z34" i="3"/>
  <c r="Z42" i="3"/>
  <c r="Z50" i="3"/>
  <c r="Z58" i="3"/>
  <c r="Z74" i="3"/>
  <c r="Z93" i="3"/>
  <c r="Z52" i="3"/>
  <c r="Z37" i="3"/>
  <c r="Z69" i="3"/>
  <c r="Z25" i="3"/>
  <c r="Z66" i="3"/>
  <c r="Z44" i="3"/>
  <c r="Z85" i="3"/>
  <c r="Z20" i="3"/>
  <c r="Z45" i="3"/>
  <c r="Z77" i="3"/>
  <c r="Z10" i="3"/>
  <c r="Z18" i="3"/>
  <c r="Z27" i="3"/>
  <c r="Z35" i="3"/>
  <c r="Z43" i="3"/>
  <c r="Z51" i="3"/>
  <c r="Z59" i="3"/>
  <c r="Z75" i="3"/>
  <c r="Z84" i="3"/>
  <c r="Z94" i="3"/>
  <c r="Z11" i="3"/>
  <c r="Z19" i="3"/>
  <c r="Z68" i="3"/>
  <c r="Z76" i="3"/>
  <c r="Z96" i="3"/>
  <c r="D98" i="8"/>
  <c r="D99" i="8"/>
  <c r="D100" i="8"/>
  <c r="D101" i="8"/>
  <c r="D102" i="8"/>
  <c r="D103" i="8"/>
  <c r="C102" i="8"/>
  <c r="C103" i="8"/>
  <c r="C99" i="8"/>
  <c r="C100" i="8"/>
  <c r="C98" i="8"/>
  <c r="E111" i="8" l="1"/>
  <c r="B111" i="8"/>
  <c r="A111" i="8"/>
  <c r="E110" i="8"/>
  <c r="B110" i="8"/>
  <c r="A110" i="8"/>
  <c r="E109" i="8"/>
  <c r="B109" i="8"/>
  <c r="A109" i="8"/>
  <c r="E108" i="8"/>
  <c r="B108" i="8"/>
  <c r="A108" i="8"/>
  <c r="E107" i="8"/>
  <c r="B107" i="8"/>
  <c r="A107" i="8"/>
  <c r="E106" i="8"/>
  <c r="B106" i="8"/>
  <c r="A106" i="8"/>
  <c r="Q83" i="3" l="1"/>
  <c r="Q82" i="3"/>
  <c r="Q91" i="3"/>
  <c r="Q92" i="3"/>
  <c r="Q87" i="3"/>
  <c r="Q26" i="3"/>
  <c r="Q6" i="3"/>
  <c r="Q4" i="3"/>
  <c r="Q5" i="3"/>
  <c r="Q7" i="3"/>
  <c r="Q8" i="3"/>
  <c r="Q9" i="3"/>
  <c r="Q10" i="3"/>
  <c r="Q11" i="3"/>
  <c r="Q12" i="3"/>
  <c r="Q13" i="3"/>
  <c r="Q14" i="3"/>
  <c r="Q15" i="3"/>
  <c r="Q16" i="3"/>
  <c r="Q17" i="3"/>
  <c r="Q18" i="3"/>
  <c r="Q19" i="3"/>
  <c r="Q20" i="3"/>
  <c r="Q21" i="3"/>
  <c r="Q22" i="3"/>
  <c r="Q23" i="3"/>
  <c r="Q24" i="3"/>
  <c r="Q25"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4" i="3"/>
  <c r="Q85" i="3"/>
  <c r="Q86" i="3"/>
  <c r="Q97" i="3"/>
  <c r="Q88" i="3"/>
  <c r="Q89" i="3"/>
  <c r="Q90" i="3"/>
  <c r="Q93" i="3"/>
  <c r="Q94" i="3"/>
  <c r="Q95" i="3"/>
  <c r="Q96" i="3"/>
  <c r="Q98" i="3"/>
  <c r="Q99" i="3"/>
  <c r="Q100" i="3"/>
  <c r="E103" i="8"/>
  <c r="B103" i="8"/>
  <c r="A103" i="8"/>
  <c r="E102" i="8"/>
  <c r="B102" i="8"/>
  <c r="A102" i="8"/>
  <c r="E101" i="8"/>
  <c r="B101" i="8"/>
  <c r="A101" i="8"/>
  <c r="E100" i="8"/>
  <c r="B100" i="8"/>
  <c r="A100" i="8"/>
  <c r="E99" i="8"/>
  <c r="B99" i="8"/>
  <c r="A99" i="8"/>
  <c r="E98" i="8"/>
  <c r="B98" i="8"/>
  <c r="A98" i="8"/>
  <c r="D90" i="8"/>
  <c r="D91" i="8"/>
  <c r="D92" i="8"/>
  <c r="D93" i="8"/>
  <c r="D94" i="8"/>
  <c r="D95" i="8"/>
  <c r="C90" i="8"/>
  <c r="C91" i="8"/>
  <c r="C92" i="8"/>
  <c r="C93" i="8"/>
  <c r="C94" i="8"/>
  <c r="C95" i="8"/>
  <c r="D89" i="8"/>
  <c r="C89" i="8"/>
  <c r="P83" i="3" l="1"/>
  <c r="P82" i="3"/>
  <c r="P91" i="3"/>
  <c r="P92" i="3"/>
  <c r="P87" i="3"/>
  <c r="P26" i="3"/>
  <c r="P6" i="3"/>
  <c r="P4" i="3"/>
  <c r="P5" i="3"/>
  <c r="P7" i="3"/>
  <c r="P8" i="3"/>
  <c r="P9" i="3"/>
  <c r="P10" i="3"/>
  <c r="P11" i="3"/>
  <c r="P12" i="3"/>
  <c r="P13" i="3"/>
  <c r="P14" i="3"/>
  <c r="P15" i="3"/>
  <c r="P16" i="3"/>
  <c r="P17" i="3"/>
  <c r="P18" i="3"/>
  <c r="P19" i="3"/>
  <c r="P20" i="3"/>
  <c r="P21" i="3"/>
  <c r="P22" i="3"/>
  <c r="P23" i="3"/>
  <c r="P24" i="3"/>
  <c r="P25"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4" i="3"/>
  <c r="P85" i="3"/>
  <c r="P86" i="3"/>
  <c r="P97" i="3"/>
  <c r="P88" i="3"/>
  <c r="P89" i="3"/>
  <c r="P90" i="3"/>
  <c r="P93" i="3"/>
  <c r="P94" i="3"/>
  <c r="P95" i="3"/>
  <c r="P96" i="3"/>
  <c r="P98" i="3"/>
  <c r="P99" i="3"/>
  <c r="P100" i="3"/>
  <c r="E95" i="8"/>
  <c r="B95" i="8"/>
  <c r="A95" i="8"/>
  <c r="E94" i="8"/>
  <c r="B94" i="8"/>
  <c r="A94" i="8"/>
  <c r="E93" i="8"/>
  <c r="B93" i="8"/>
  <c r="A93" i="8"/>
  <c r="E92" i="8"/>
  <c r="B92" i="8"/>
  <c r="A92" i="8"/>
  <c r="E91" i="8"/>
  <c r="B91" i="8"/>
  <c r="A91" i="8"/>
  <c r="E90" i="8"/>
  <c r="B90" i="8"/>
  <c r="A90" i="8"/>
  <c r="E89" i="8"/>
  <c r="B89" i="8"/>
  <c r="A89" i="8"/>
  <c r="O28" i="11"/>
  <c r="N28" i="11"/>
  <c r="M28" i="11"/>
  <c r="L28" i="11"/>
  <c r="K28" i="11"/>
  <c r="J28" i="11"/>
  <c r="O27" i="11"/>
  <c r="N27" i="11"/>
  <c r="M27" i="11"/>
  <c r="L27" i="11"/>
  <c r="K27" i="11"/>
  <c r="J27" i="11"/>
  <c r="R83" i="3" l="1"/>
  <c r="R82" i="3"/>
  <c r="R91" i="3"/>
  <c r="R92" i="3"/>
  <c r="R87" i="3"/>
  <c r="R26" i="3"/>
  <c r="R6" i="3"/>
  <c r="R4" i="3"/>
  <c r="R5" i="3"/>
  <c r="R7" i="3"/>
  <c r="R8" i="3"/>
  <c r="R9" i="3"/>
  <c r="R10" i="3"/>
  <c r="R11" i="3"/>
  <c r="R12" i="3"/>
  <c r="R13" i="3"/>
  <c r="R14" i="3"/>
  <c r="R15" i="3"/>
  <c r="R16" i="3"/>
  <c r="R17" i="3"/>
  <c r="R18" i="3"/>
  <c r="R19" i="3"/>
  <c r="R20" i="3"/>
  <c r="R21" i="3"/>
  <c r="R22" i="3"/>
  <c r="R23" i="3"/>
  <c r="R24" i="3"/>
  <c r="R25"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4" i="3"/>
  <c r="R85" i="3"/>
  <c r="R86" i="3"/>
  <c r="R97" i="3"/>
  <c r="R88" i="3"/>
  <c r="R89" i="3"/>
  <c r="R90" i="3"/>
  <c r="R93" i="3"/>
  <c r="R94" i="3"/>
  <c r="R95" i="3"/>
  <c r="R96" i="3"/>
  <c r="R98" i="3"/>
  <c r="R99" i="3"/>
  <c r="R100" i="3"/>
  <c r="L8" i="10"/>
  <c r="A44" i="10" s="1"/>
  <c r="L7" i="10"/>
  <c r="A42" i="10" s="1"/>
  <c r="G6" i="10"/>
  <c r="G5" i="10"/>
  <c r="L6" i="5"/>
  <c r="G6" i="5"/>
  <c r="G5" i="5"/>
  <c r="A43" i="10" l="1"/>
  <c r="B43" i="10" s="1"/>
  <c r="G42" i="10"/>
  <c r="F42" i="10"/>
  <c r="H42" i="10"/>
  <c r="A39" i="10"/>
  <c r="A38" i="10"/>
  <c r="I38" i="10" s="1"/>
  <c r="A40" i="10"/>
  <c r="I42" i="10"/>
  <c r="B42" i="10"/>
  <c r="J42" i="10"/>
  <c r="C42" i="10"/>
  <c r="K42" i="10"/>
  <c r="D42" i="10"/>
  <c r="D59" i="8"/>
  <c r="D52" i="8"/>
  <c r="D57" i="8"/>
  <c r="C57" i="8"/>
  <c r="D56" i="8"/>
  <c r="C56" i="8"/>
  <c r="D46" i="8"/>
  <c r="D47" i="8"/>
  <c r="D48" i="8"/>
  <c r="D49" i="8"/>
  <c r="D50" i="8"/>
  <c r="D51" i="8"/>
  <c r="D53" i="8"/>
  <c r="D54" i="8"/>
  <c r="D55" i="8"/>
  <c r="D58" i="8"/>
  <c r="D60" i="8"/>
  <c r="D61" i="8"/>
  <c r="D62" i="8"/>
  <c r="D63" i="8"/>
  <c r="D64" i="8"/>
  <c r="D65" i="8"/>
  <c r="D66" i="8"/>
  <c r="D67" i="8"/>
  <c r="D68" i="8"/>
  <c r="D69" i="8"/>
  <c r="D70" i="8"/>
  <c r="D71" i="8"/>
  <c r="D72" i="8"/>
  <c r="D73" i="8"/>
  <c r="D74" i="8"/>
  <c r="D75" i="8"/>
  <c r="D76" i="8"/>
  <c r="D77" i="8"/>
  <c r="D78" i="8"/>
  <c r="D79" i="8"/>
  <c r="D80" i="8"/>
  <c r="D81" i="8"/>
  <c r="D82" i="8"/>
  <c r="D83" i="8"/>
  <c r="D84" i="8"/>
  <c r="D85" i="8"/>
  <c r="C46" i="8"/>
  <c r="C47" i="8"/>
  <c r="C48" i="8"/>
  <c r="C49" i="8"/>
  <c r="C50" i="8"/>
  <c r="C51" i="8"/>
  <c r="C53" i="8"/>
  <c r="C54" i="8"/>
  <c r="C55" i="8"/>
  <c r="C58" i="8"/>
  <c r="C60" i="8"/>
  <c r="C61" i="8"/>
  <c r="C62" i="8"/>
  <c r="C63" i="8"/>
  <c r="C64" i="8"/>
  <c r="C65" i="8"/>
  <c r="C66" i="8"/>
  <c r="C67" i="8"/>
  <c r="C68" i="8"/>
  <c r="C69" i="8"/>
  <c r="C70" i="8"/>
  <c r="C71" i="8"/>
  <c r="C72" i="8"/>
  <c r="C73" i="8"/>
  <c r="C74" i="8"/>
  <c r="C75" i="8"/>
  <c r="C76" i="8"/>
  <c r="C77" i="8"/>
  <c r="C78" i="8"/>
  <c r="C79" i="8"/>
  <c r="C80" i="8"/>
  <c r="C81" i="8"/>
  <c r="C82" i="8"/>
  <c r="C83" i="8"/>
  <c r="C84" i="8"/>
  <c r="C85" i="8"/>
  <c r="K38" i="10" l="1"/>
  <c r="D38" i="10"/>
  <c r="H44" i="10"/>
  <c r="F43" i="10"/>
  <c r="K43" i="10"/>
  <c r="G43" i="10"/>
  <c r="H40" i="10"/>
  <c r="J39" i="10"/>
  <c r="I43" i="10"/>
  <c r="D43" i="10"/>
  <c r="C43" i="10"/>
  <c r="F38" i="10"/>
  <c r="H43" i="10"/>
  <c r="J43" i="10"/>
  <c r="B39" i="10"/>
  <c r="B44" i="10"/>
  <c r="G44" i="10"/>
  <c r="I44" i="10"/>
  <c r="F44" i="10"/>
  <c r="J38" i="10"/>
  <c r="F40" i="10"/>
  <c r="H39" i="10"/>
  <c r="B38" i="10"/>
  <c r="C39" i="10"/>
  <c r="I39" i="10"/>
  <c r="H38" i="10"/>
  <c r="G39" i="10"/>
  <c r="C38" i="10"/>
  <c r="G38" i="10"/>
  <c r="J40" i="10"/>
  <c r="I40" i="10"/>
  <c r="G40" i="10"/>
  <c r="K40" i="10"/>
  <c r="C40" i="10"/>
  <c r="J44" i="10"/>
  <c r="K44" i="10"/>
  <c r="D44" i="10"/>
  <c r="C44" i="10"/>
  <c r="K39" i="10"/>
  <c r="F39" i="10"/>
  <c r="D39" i="10"/>
  <c r="B40" i="10"/>
  <c r="D40" i="10"/>
  <c r="A73" i="8" l="1"/>
  <c r="A74" i="8"/>
  <c r="A75" i="8"/>
  <c r="A76" i="8"/>
  <c r="A77" i="8"/>
  <c r="A78" i="8"/>
  <c r="A79" i="8"/>
  <c r="A80" i="8"/>
  <c r="A81" i="8"/>
  <c r="A82" i="8"/>
  <c r="A83" i="8"/>
  <c r="A84" i="8"/>
  <c r="A85" i="8"/>
  <c r="B73" i="8"/>
  <c r="B74" i="8"/>
  <c r="B75" i="8"/>
  <c r="B76" i="8"/>
  <c r="B77" i="8"/>
  <c r="B78" i="8"/>
  <c r="B79" i="8"/>
  <c r="B80" i="8"/>
  <c r="B81" i="8"/>
  <c r="B82" i="8"/>
  <c r="B83" i="8"/>
  <c r="B84" i="8"/>
  <c r="B85" i="8"/>
  <c r="E73" i="8"/>
  <c r="E74" i="8"/>
  <c r="E75" i="8"/>
  <c r="E76" i="8"/>
  <c r="E77" i="8"/>
  <c r="E78" i="8"/>
  <c r="E79" i="8"/>
  <c r="E80" i="8"/>
  <c r="E81" i="8"/>
  <c r="E82" i="8"/>
  <c r="E83" i="8"/>
  <c r="E84" i="8"/>
  <c r="E85" i="8"/>
  <c r="K24" i="12" l="1"/>
  <c r="J24" i="12"/>
  <c r="I24" i="12"/>
  <c r="H24" i="12"/>
  <c r="AQ23" i="2" l="1"/>
  <c r="AQ22" i="2"/>
  <c r="AQ21" i="2"/>
  <c r="AQ20" i="2"/>
  <c r="AQ19" i="2"/>
  <c r="AQ18" i="2"/>
  <c r="AQ17" i="2"/>
  <c r="AQ16" i="2"/>
  <c r="AQ14" i="2"/>
  <c r="AQ13" i="2"/>
  <c r="AQ12" i="2"/>
  <c r="AQ11" i="2"/>
  <c r="AQ10" i="2"/>
  <c r="AQ9" i="2"/>
  <c r="AQ8" i="2"/>
  <c r="AQ7" i="2"/>
  <c r="AQ6" i="2"/>
  <c r="AQ5" i="2"/>
  <c r="G9" i="10" l="1"/>
  <c r="L6" i="10"/>
  <c r="A34" i="10" l="1"/>
  <c r="A33" i="10"/>
  <c r="E33" i="10" s="1"/>
  <c r="A21" i="10"/>
  <c r="E21" i="10" s="1"/>
  <c r="A16" i="10"/>
  <c r="A13" i="10"/>
  <c r="A22" i="10"/>
  <c r="A31" i="10"/>
  <c r="A19" i="10"/>
  <c r="A18" i="10"/>
  <c r="E18" i="10" s="1"/>
  <c r="A12" i="10"/>
  <c r="E12" i="10" s="1"/>
  <c r="A30" i="10"/>
  <c r="E30" i="10" s="1"/>
  <c r="A28" i="10"/>
  <c r="A27" i="10"/>
  <c r="E27" i="10" s="1"/>
  <c r="A15" i="10"/>
  <c r="E15" i="10" s="1"/>
  <c r="A25" i="10"/>
  <c r="A24" i="10"/>
  <c r="E24" i="10" s="1"/>
  <c r="E25" i="10" l="1"/>
  <c r="E34" i="10"/>
  <c r="E28" i="10"/>
  <c r="E31" i="10"/>
  <c r="J25" i="10"/>
  <c r="I25" i="10"/>
  <c r="H25" i="10"/>
  <c r="K25" i="10"/>
  <c r="J19" i="10"/>
  <c r="H19" i="10"/>
  <c r="I19" i="10"/>
  <c r="K19" i="10"/>
  <c r="J22" i="10"/>
  <c r="H22" i="10"/>
  <c r="K22" i="10"/>
  <c r="I22" i="10"/>
  <c r="J13" i="10"/>
  <c r="H13" i="10"/>
  <c r="I13" i="10"/>
  <c r="K13" i="10"/>
  <c r="J16" i="10"/>
  <c r="I16" i="10"/>
  <c r="H16" i="10"/>
  <c r="K16" i="10"/>
  <c r="K30" i="10"/>
  <c r="J30" i="10"/>
  <c r="I30" i="10"/>
  <c r="H30" i="10"/>
  <c r="K27" i="10"/>
  <c r="H27" i="10"/>
  <c r="J27" i="10"/>
  <c r="I27" i="10"/>
  <c r="E19" i="10"/>
  <c r="K18" i="10"/>
  <c r="I18" i="10"/>
  <c r="H18" i="10"/>
  <c r="J18" i="10"/>
  <c r="K33" i="10"/>
  <c r="J33" i="10"/>
  <c r="I33" i="10"/>
  <c r="H33" i="10"/>
  <c r="K24" i="10"/>
  <c r="J24" i="10"/>
  <c r="I24" i="10"/>
  <c r="H24" i="10"/>
  <c r="K12" i="10"/>
  <c r="J12" i="10"/>
  <c r="E13" i="10"/>
  <c r="H12" i="10"/>
  <c r="I12" i="10"/>
  <c r="J28" i="10"/>
  <c r="H28" i="10"/>
  <c r="I28" i="10"/>
  <c r="K28" i="10"/>
  <c r="E22" i="10"/>
  <c r="K21" i="10"/>
  <c r="J21" i="10"/>
  <c r="I21" i="10"/>
  <c r="H21" i="10"/>
  <c r="J31" i="10"/>
  <c r="H31" i="10"/>
  <c r="I31" i="10"/>
  <c r="K31" i="10"/>
  <c r="J34" i="10"/>
  <c r="K34" i="10"/>
  <c r="I34" i="10"/>
  <c r="H34" i="10"/>
  <c r="B15" i="10"/>
  <c r="K15" i="10"/>
  <c r="E16" i="10"/>
  <c r="J15" i="10"/>
  <c r="I15" i="10"/>
  <c r="H15" i="10"/>
  <c r="D15"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H19" i="13" l="1"/>
  <c r="H17" i="12"/>
  <c r="I19" i="13"/>
  <c r="I17" i="12"/>
  <c r="J19" i="13"/>
  <c r="J17" i="12"/>
  <c r="K19" i="13"/>
  <c r="K17" i="12"/>
  <c r="AU22" i="2"/>
  <c r="AW23" i="2"/>
  <c r="AT22" i="2"/>
  <c r="AV23" i="2"/>
  <c r="AV22" i="2"/>
  <c r="AX23" i="2"/>
  <c r="AY23" i="2"/>
  <c r="AR23" i="2"/>
  <c r="AZ23" i="2"/>
  <c r="AS23" i="2"/>
  <c r="AR22" i="2"/>
  <c r="AT23" i="2"/>
  <c r="AS22" i="2"/>
  <c r="AU23" i="2"/>
  <c r="AW22" i="2" l="1"/>
  <c r="AY22" i="2"/>
  <c r="AZ22" i="2"/>
  <c r="AX22" i="2"/>
  <c r="A34" i="5" l="1"/>
  <c r="E34" i="5" s="1"/>
  <c r="A22" i="5"/>
  <c r="E22" i="5" s="1"/>
  <c r="A10" i="5"/>
  <c r="E10" i="5" s="1"/>
  <c r="A32" i="5"/>
  <c r="A20" i="5"/>
  <c r="A31" i="5"/>
  <c r="E31" i="5" s="1"/>
  <c r="A19" i="5"/>
  <c r="E19" i="5" s="1"/>
  <c r="A16" i="5"/>
  <c r="E16" i="5" s="1"/>
  <c r="A14" i="5"/>
  <c r="A29" i="5"/>
  <c r="A17" i="5"/>
  <c r="A28" i="5"/>
  <c r="E28" i="5" s="1"/>
  <c r="A26" i="5"/>
  <c r="A25" i="5"/>
  <c r="E25" i="5" s="1"/>
  <c r="A13" i="5"/>
  <c r="E13" i="5" s="1"/>
  <c r="A23" i="5"/>
  <c r="A11" i="5"/>
  <c r="AV13" i="2"/>
  <c r="AZ13" i="2"/>
  <c r="AY13" i="2"/>
  <c r="AX13" i="2"/>
  <c r="AV20" i="2"/>
  <c r="AX20" i="2"/>
  <c r="AZ20" i="2"/>
  <c r="AY20" i="2"/>
  <c r="AV5" i="2"/>
  <c r="AY5" i="2"/>
  <c r="AX5" i="2"/>
  <c r="AZ5" i="2"/>
  <c r="AV6" i="2"/>
  <c r="AY6" i="2"/>
  <c r="AX6" i="2"/>
  <c r="AZ6" i="2"/>
  <c r="AV14" i="2"/>
  <c r="AY14" i="2"/>
  <c r="AX14" i="2"/>
  <c r="AZ14" i="2"/>
  <c r="AV16" i="2"/>
  <c r="AZ16" i="2"/>
  <c r="AY16" i="2"/>
  <c r="AX16" i="2"/>
  <c r="AV12" i="2"/>
  <c r="AY12" i="2"/>
  <c r="AX12" i="2"/>
  <c r="AZ12" i="2"/>
  <c r="AV8" i="2"/>
  <c r="AY8" i="2"/>
  <c r="AX8" i="2"/>
  <c r="AZ8" i="2"/>
  <c r="AV17" i="2"/>
  <c r="AY17" i="2"/>
  <c r="AX17" i="2"/>
  <c r="AZ17" i="2"/>
  <c r="AV21" i="2"/>
  <c r="AY21" i="2"/>
  <c r="AX21" i="2"/>
  <c r="AZ21" i="2"/>
  <c r="AV9" i="2"/>
  <c r="AX9" i="2"/>
  <c r="AZ9" i="2"/>
  <c r="AY9" i="2"/>
  <c r="AV18" i="2"/>
  <c r="AX18" i="2"/>
  <c r="AZ18" i="2"/>
  <c r="AY18" i="2"/>
  <c r="AV11" i="2"/>
  <c r="AZ11" i="2"/>
  <c r="AY11" i="2"/>
  <c r="AX11" i="2"/>
  <c r="AV7" i="2"/>
  <c r="AZ7" i="2"/>
  <c r="AY7" i="2"/>
  <c r="AX7" i="2"/>
  <c r="AV10" i="2"/>
  <c r="AY10" i="2"/>
  <c r="AX10" i="2"/>
  <c r="AZ10" i="2"/>
  <c r="AV19" i="2"/>
  <c r="AY19" i="2"/>
  <c r="AX19" i="2"/>
  <c r="AZ19" i="2"/>
  <c r="E26" i="5" l="1"/>
  <c r="E32" i="5"/>
  <c r="E17" i="5"/>
  <c r="E20" i="5"/>
  <c r="E29" i="5"/>
  <c r="E23" i="5"/>
  <c r="E14" i="5"/>
  <c r="E11" i="5"/>
  <c r="K34" i="5"/>
  <c r="F34" i="5"/>
  <c r="C34" i="5"/>
  <c r="H34" i="5"/>
  <c r="I34" i="5"/>
  <c r="J34" i="5"/>
  <c r="B34" i="5"/>
  <c r="D34" i="5"/>
  <c r="G34" i="5"/>
  <c r="J16" i="5"/>
  <c r="K16" i="5"/>
  <c r="I16" i="5"/>
  <c r="H16" i="5"/>
  <c r="I13" i="5"/>
  <c r="K13" i="5"/>
  <c r="J13" i="5"/>
  <c r="H13" i="5"/>
  <c r="J19" i="5"/>
  <c r="I19" i="5"/>
  <c r="K19" i="5"/>
  <c r="H19" i="5"/>
  <c r="J25" i="5"/>
  <c r="I25" i="5"/>
  <c r="K25" i="5"/>
  <c r="H25" i="5"/>
  <c r="I31" i="5"/>
  <c r="K31" i="5"/>
  <c r="J31" i="5"/>
  <c r="H31" i="5"/>
  <c r="H20" i="5"/>
  <c r="J20" i="5"/>
  <c r="I20" i="5"/>
  <c r="K20" i="5"/>
  <c r="K28" i="5"/>
  <c r="J28" i="5"/>
  <c r="I28" i="5"/>
  <c r="H28" i="5"/>
  <c r="H32" i="5"/>
  <c r="I32" i="5"/>
  <c r="K32" i="5"/>
  <c r="J32" i="5"/>
  <c r="H26" i="5"/>
  <c r="I26" i="5"/>
  <c r="K26" i="5"/>
  <c r="J26" i="5"/>
  <c r="H17" i="5"/>
  <c r="I17" i="5"/>
  <c r="K17" i="5"/>
  <c r="J17" i="5"/>
  <c r="J10" i="5"/>
  <c r="K10" i="5"/>
  <c r="I10" i="5"/>
  <c r="H10" i="5"/>
  <c r="H11" i="5"/>
  <c r="I11" i="5"/>
  <c r="J11" i="5"/>
  <c r="K11" i="5"/>
  <c r="K22" i="5"/>
  <c r="J22" i="5"/>
  <c r="I22" i="5"/>
  <c r="H22" i="5"/>
  <c r="H29" i="5"/>
  <c r="I29" i="5"/>
  <c r="K29" i="5"/>
  <c r="J29" i="5"/>
  <c r="H23" i="5"/>
  <c r="J23" i="5"/>
  <c r="K23" i="5"/>
  <c r="I23" i="5"/>
  <c r="H14" i="5"/>
  <c r="J14" i="5"/>
  <c r="K14" i="5"/>
  <c r="I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E64" i="8"/>
  <c r="E65" i="8"/>
  <c r="E66" i="8"/>
  <c r="E67" i="8"/>
  <c r="E68" i="8"/>
  <c r="E69" i="8"/>
  <c r="E70" i="8"/>
  <c r="E71" i="8"/>
  <c r="E72" i="8"/>
  <c r="A57" i="8" l="1"/>
  <c r="A58" i="8"/>
  <c r="A59" i="8"/>
  <c r="A60" i="8"/>
  <c r="A61" i="8"/>
  <c r="A62" i="8"/>
  <c r="A63" i="8"/>
  <c r="B57" i="8"/>
  <c r="B58" i="8"/>
  <c r="B59" i="8"/>
  <c r="B60" i="8"/>
  <c r="B61" i="8"/>
  <c r="B62" i="8"/>
  <c r="B63" i="8"/>
  <c r="E57" i="8"/>
  <c r="E58" i="8"/>
  <c r="E59" i="8"/>
  <c r="E60" i="8"/>
  <c r="E61" i="8"/>
  <c r="E62" i="8"/>
  <c r="E63" i="8"/>
  <c r="A43" i="8" l="1"/>
  <c r="B43" i="8"/>
  <c r="E43" i="8"/>
  <c r="A37" i="8" l="1"/>
  <c r="A38" i="8"/>
  <c r="B37" i="8"/>
  <c r="B38" i="8"/>
  <c r="E37" i="8"/>
  <c r="E38" i="8"/>
  <c r="A33" i="8" l="1"/>
  <c r="A34" i="8"/>
  <c r="B33" i="8"/>
  <c r="B34" i="8"/>
  <c r="E33" i="8"/>
  <c r="E34" i="8"/>
  <c r="A21" i="8" l="1"/>
  <c r="A22" i="8"/>
  <c r="A23" i="8"/>
  <c r="A24" i="8"/>
  <c r="A25" i="8"/>
  <c r="B21" i="8"/>
  <c r="B22" i="8"/>
  <c r="B23" i="8"/>
  <c r="B24" i="8"/>
  <c r="B25" i="8"/>
  <c r="E21" i="8"/>
  <c r="E22" i="8"/>
  <c r="E23" i="8"/>
  <c r="E24" i="8"/>
  <c r="E25" i="8"/>
  <c r="E56" i="8" l="1"/>
  <c r="B56" i="8"/>
  <c r="A56" i="8"/>
  <c r="E55" i="8"/>
  <c r="B55" i="8"/>
  <c r="A55" i="8"/>
  <c r="E54" i="8"/>
  <c r="B54" i="8"/>
  <c r="A54" i="8"/>
  <c r="E53" i="8"/>
  <c r="B53" i="8"/>
  <c r="A53" i="8"/>
  <c r="E52" i="8"/>
  <c r="B52" i="8"/>
  <c r="A52" i="8"/>
  <c r="E51" i="8"/>
  <c r="B51" i="8"/>
  <c r="A51" i="8"/>
  <c r="E50" i="8"/>
  <c r="B50" i="8"/>
  <c r="A50" i="8"/>
  <c r="E49" i="8"/>
  <c r="B49" i="8"/>
  <c r="A49" i="8"/>
  <c r="E48" i="8"/>
  <c r="B48" i="8"/>
  <c r="A48" i="8"/>
  <c r="E47" i="8"/>
  <c r="B47" i="8"/>
  <c r="A47" i="8"/>
  <c r="E46" i="8"/>
  <c r="B46" i="8"/>
  <c r="A46" i="8"/>
  <c r="A6" i="8"/>
  <c r="A7" i="8"/>
  <c r="B6" i="8"/>
  <c r="B7" i="8"/>
  <c r="D6" i="8"/>
  <c r="D7" i="8"/>
  <c r="E6" i="8"/>
  <c r="E7" i="8"/>
  <c r="O83" i="3" l="1"/>
  <c r="O82" i="3"/>
  <c r="O91" i="3"/>
  <c r="O92" i="3"/>
  <c r="O87" i="3"/>
  <c r="O26" i="3"/>
  <c r="O6" i="3"/>
  <c r="O64" i="3"/>
  <c r="O85" i="3"/>
  <c r="O61" i="3"/>
  <c r="O84" i="3"/>
  <c r="O62" i="3"/>
  <c r="O65" i="3"/>
  <c r="O66" i="3"/>
  <c r="O56" i="3"/>
  <c r="O54" i="3"/>
  <c r="O57" i="3"/>
  <c r="O7" i="3"/>
  <c r="O55" i="3"/>
  <c r="O58" i="3"/>
  <c r="O63" i="3"/>
  <c r="O67" i="3"/>
  <c r="O97" i="3"/>
  <c r="O68" i="3"/>
  <c r="O69" i="3"/>
  <c r="O70" i="3"/>
  <c r="O71" i="3"/>
  <c r="O72" i="3"/>
  <c r="O73" i="3"/>
  <c r="O74" i="3"/>
  <c r="O88" i="3"/>
  <c r="O89" i="3"/>
  <c r="O90" i="3"/>
  <c r="O86" i="3"/>
  <c r="O18" i="3"/>
  <c r="O19" i="3"/>
  <c r="O20" i="3"/>
  <c r="O21" i="3"/>
  <c r="O81" i="3"/>
  <c r="O99" i="3"/>
  <c r="O100" i="3"/>
  <c r="O98" i="3"/>
  <c r="O79" i="3"/>
  <c r="O80" i="3"/>
  <c r="O11" i="3"/>
  <c r="O14" i="3"/>
  <c r="O25" i="3"/>
  <c r="O32" i="3"/>
  <c r="O36" i="3"/>
  <c r="O45" i="3"/>
  <c r="O52" i="3"/>
  <c r="O24" i="3"/>
  <c r="O15" i="3"/>
  <c r="O13" i="3"/>
  <c r="O77" i="3"/>
  <c r="O33" i="3"/>
  <c r="O37" i="3"/>
  <c r="O46" i="3"/>
  <c r="O76" i="3"/>
  <c r="O10" i="3"/>
  <c r="O35" i="3"/>
  <c r="O93" i="3"/>
  <c r="O12" i="3"/>
  <c r="O16" i="3"/>
  <c r="O29" i="3"/>
  <c r="O34" i="3"/>
  <c r="O38" i="3"/>
  <c r="O47" i="3"/>
  <c r="O8" i="3"/>
  <c r="O94" i="3"/>
  <c r="O51" i="3"/>
  <c r="O17" i="3"/>
  <c r="O27" i="3"/>
  <c r="O44" i="3"/>
  <c r="O39" i="3"/>
  <c r="O48" i="3"/>
  <c r="O23" i="3"/>
  <c r="O31" i="3"/>
  <c r="O95" i="3"/>
  <c r="O50" i="3"/>
  <c r="O53" i="3"/>
  <c r="O28" i="3"/>
  <c r="O78" i="3"/>
  <c r="O40" i="3"/>
  <c r="O60" i="3"/>
  <c r="O9" i="3"/>
  <c r="O42" i="3"/>
  <c r="O59" i="3"/>
  <c r="O75" i="3"/>
  <c r="O22" i="3"/>
  <c r="O30" i="3"/>
  <c r="O49" i="3"/>
  <c r="O41" i="3"/>
  <c r="O96" i="3"/>
  <c r="O43" i="3"/>
  <c r="O5" i="3"/>
  <c r="O4" i="3"/>
  <c r="A5" i="8"/>
  <c r="B5" i="8"/>
  <c r="D5" i="8"/>
  <c r="E5" i="8"/>
  <c r="E28" i="8" l="1"/>
  <c r="E29" i="8"/>
  <c r="E30" i="8"/>
  <c r="E31" i="8"/>
  <c r="E32" i="8"/>
  <c r="E35" i="8"/>
  <c r="E36" i="8"/>
  <c r="E39" i="8"/>
  <c r="E40" i="8"/>
  <c r="E41" i="8"/>
  <c r="E42" i="8"/>
  <c r="E10" i="8"/>
  <c r="E11" i="8"/>
  <c r="E12" i="8"/>
  <c r="E13" i="8"/>
  <c r="E14" i="8"/>
  <c r="E15" i="8"/>
  <c r="E18" i="8"/>
  <c r="E16" i="8"/>
  <c r="E17" i="8"/>
  <c r="E19" i="8"/>
  <c r="E20" i="8"/>
  <c r="E4"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L26" i="3" l="1"/>
  <c r="L83" i="3"/>
  <c r="L82" i="3"/>
  <c r="L91" i="3"/>
  <c r="L92" i="3"/>
  <c r="L87" i="3"/>
  <c r="M83" i="3"/>
  <c r="M82" i="3"/>
  <c r="M91" i="3"/>
  <c r="M92" i="3"/>
  <c r="M87" i="3"/>
  <c r="N83" i="3"/>
  <c r="N82" i="3"/>
  <c r="N87" i="3"/>
  <c r="N92" i="3"/>
  <c r="N91" i="3"/>
  <c r="N26" i="3"/>
  <c r="M26" i="3"/>
  <c r="L6" i="3"/>
  <c r="L64" i="3"/>
  <c r="L85" i="3"/>
  <c r="L61" i="3"/>
  <c r="L84" i="3"/>
  <c r="L62" i="3"/>
  <c r="L65" i="3"/>
  <c r="L66" i="3"/>
  <c r="L56" i="3"/>
  <c r="L54" i="3"/>
  <c r="L57" i="3"/>
  <c r="L7" i="3"/>
  <c r="L55" i="3"/>
  <c r="L58" i="3"/>
  <c r="L63" i="3"/>
  <c r="L67" i="3"/>
  <c r="L97" i="3"/>
  <c r="L68" i="3"/>
  <c r="L69" i="3"/>
  <c r="L70" i="3"/>
  <c r="L71" i="3"/>
  <c r="L72" i="3"/>
  <c r="L73" i="3"/>
  <c r="L74" i="3"/>
  <c r="L88" i="3"/>
  <c r="L89" i="3"/>
  <c r="L90" i="3"/>
  <c r="L86" i="3"/>
  <c r="L18" i="3"/>
  <c r="L19" i="3"/>
  <c r="L20" i="3"/>
  <c r="L21" i="3"/>
  <c r="M6" i="3"/>
  <c r="M64" i="3"/>
  <c r="M85" i="3"/>
  <c r="M61" i="3"/>
  <c r="M84" i="3"/>
  <c r="M62" i="3"/>
  <c r="M65" i="3"/>
  <c r="M66" i="3"/>
  <c r="M56" i="3"/>
  <c r="M54" i="3"/>
  <c r="M57" i="3"/>
  <c r="M7" i="3"/>
  <c r="M55" i="3"/>
  <c r="M58" i="3"/>
  <c r="M63" i="3"/>
  <c r="M67" i="3"/>
  <c r="M97" i="3"/>
  <c r="M68" i="3"/>
  <c r="M69" i="3"/>
  <c r="M70" i="3"/>
  <c r="M71" i="3"/>
  <c r="M72" i="3"/>
  <c r="M73" i="3"/>
  <c r="M74" i="3"/>
  <c r="M88" i="3"/>
  <c r="M89" i="3"/>
  <c r="M90" i="3"/>
  <c r="M86" i="3"/>
  <c r="M18" i="3"/>
  <c r="M19" i="3"/>
  <c r="M20" i="3"/>
  <c r="M21" i="3"/>
  <c r="N6" i="3"/>
  <c r="N64" i="3"/>
  <c r="N85" i="3"/>
  <c r="N61" i="3"/>
  <c r="N84" i="3"/>
  <c r="N62" i="3"/>
  <c r="N65" i="3"/>
  <c r="N66" i="3"/>
  <c r="N56" i="3"/>
  <c r="N54" i="3"/>
  <c r="N57" i="3"/>
  <c r="N7" i="3"/>
  <c r="N55" i="3"/>
  <c r="N58" i="3"/>
  <c r="N63" i="3"/>
  <c r="N67" i="3"/>
  <c r="N97" i="3"/>
  <c r="N68" i="3"/>
  <c r="N69" i="3"/>
  <c r="N70" i="3"/>
  <c r="N71" i="3"/>
  <c r="N72" i="3"/>
  <c r="N73" i="3"/>
  <c r="N74" i="3"/>
  <c r="N88" i="3"/>
  <c r="N89" i="3"/>
  <c r="N90" i="3"/>
  <c r="N86" i="3"/>
  <c r="N18" i="3"/>
  <c r="N19" i="3"/>
  <c r="N20" i="3"/>
  <c r="N21" i="3"/>
  <c r="N81" i="3"/>
  <c r="N99" i="3"/>
  <c r="N80" i="3"/>
  <c r="N98" i="3"/>
  <c r="N79" i="3"/>
  <c r="N100" i="3"/>
  <c r="N94" i="3"/>
  <c r="N51" i="3"/>
  <c r="N17" i="3"/>
  <c r="N27" i="3"/>
  <c r="N44" i="3"/>
  <c r="N39" i="3"/>
  <c r="N48" i="3"/>
  <c r="N46" i="3"/>
  <c r="N12" i="3"/>
  <c r="N38" i="3"/>
  <c r="N95" i="3"/>
  <c r="N50" i="3"/>
  <c r="N53" i="3"/>
  <c r="N28" i="3"/>
  <c r="N78" i="3"/>
  <c r="N40" i="3"/>
  <c r="N60" i="3"/>
  <c r="N77" i="3"/>
  <c r="N34" i="3"/>
  <c r="N59" i="3"/>
  <c r="N75" i="3"/>
  <c r="N22" i="3"/>
  <c r="N30" i="3"/>
  <c r="N49" i="3"/>
  <c r="N41" i="3"/>
  <c r="N9" i="3"/>
  <c r="N76" i="3"/>
  <c r="N23" i="3"/>
  <c r="N52" i="3"/>
  <c r="N96" i="3"/>
  <c r="N42" i="3"/>
  <c r="N15" i="3"/>
  <c r="N37" i="3"/>
  <c r="N16" i="3"/>
  <c r="N10" i="3"/>
  <c r="N8" i="3"/>
  <c r="N24" i="3"/>
  <c r="N31" i="3"/>
  <c r="N35" i="3"/>
  <c r="N43" i="3"/>
  <c r="N13" i="3"/>
  <c r="N11" i="3"/>
  <c r="N14" i="3"/>
  <c r="N25" i="3"/>
  <c r="N32" i="3"/>
  <c r="N36" i="3"/>
  <c r="N45" i="3"/>
  <c r="N33" i="3"/>
  <c r="N93" i="3"/>
  <c r="N29" i="3"/>
  <c r="N47" i="3"/>
  <c r="L98" i="3"/>
  <c r="L80" i="3"/>
  <c r="L81" i="3"/>
  <c r="L99" i="3"/>
  <c r="L79" i="3"/>
  <c r="L100" i="3"/>
  <c r="L15" i="3"/>
  <c r="L13" i="3"/>
  <c r="L77" i="3"/>
  <c r="L33" i="3"/>
  <c r="L37" i="3"/>
  <c r="L46" i="3"/>
  <c r="L24" i="3"/>
  <c r="L25" i="3"/>
  <c r="L45" i="3"/>
  <c r="L93" i="3"/>
  <c r="L12" i="3"/>
  <c r="L16" i="3"/>
  <c r="L29" i="3"/>
  <c r="L34" i="3"/>
  <c r="L38" i="3"/>
  <c r="L47" i="3"/>
  <c r="L31" i="3"/>
  <c r="L14" i="3"/>
  <c r="L94" i="3"/>
  <c r="L51" i="3"/>
  <c r="L17" i="3"/>
  <c r="L27" i="3"/>
  <c r="L44" i="3"/>
  <c r="L39" i="3"/>
  <c r="L48" i="3"/>
  <c r="L95" i="3"/>
  <c r="L50" i="3"/>
  <c r="L53" i="3"/>
  <c r="L28" i="3"/>
  <c r="L78" i="3"/>
  <c r="L40" i="3"/>
  <c r="L60" i="3"/>
  <c r="L11" i="3"/>
  <c r="L36" i="3"/>
  <c r="L59" i="3"/>
  <c r="L75" i="3"/>
  <c r="L22" i="3"/>
  <c r="L30" i="3"/>
  <c r="L49" i="3"/>
  <c r="L41" i="3"/>
  <c r="L8" i="3"/>
  <c r="L43" i="3"/>
  <c r="L9" i="3"/>
  <c r="L76" i="3"/>
  <c r="L23" i="3"/>
  <c r="L52" i="3"/>
  <c r="L96" i="3"/>
  <c r="L42" i="3"/>
  <c r="L10" i="3"/>
  <c r="L35" i="3"/>
  <c r="L32" i="3"/>
  <c r="M81" i="3"/>
  <c r="M99" i="3"/>
  <c r="M98" i="3"/>
  <c r="M79" i="3"/>
  <c r="M100" i="3"/>
  <c r="M80" i="3"/>
  <c r="M9" i="3"/>
  <c r="M76" i="3"/>
  <c r="M23" i="3"/>
  <c r="M52" i="3"/>
  <c r="M96" i="3"/>
  <c r="M42" i="3"/>
  <c r="M60" i="3"/>
  <c r="M30" i="3"/>
  <c r="M10" i="3"/>
  <c r="M8" i="3"/>
  <c r="M24" i="3"/>
  <c r="M31" i="3"/>
  <c r="M35" i="3"/>
  <c r="M43" i="3"/>
  <c r="M78" i="3"/>
  <c r="M59" i="3"/>
  <c r="M49" i="3"/>
  <c r="M11" i="3"/>
  <c r="M14" i="3"/>
  <c r="M25" i="3"/>
  <c r="M32" i="3"/>
  <c r="M36" i="3"/>
  <c r="M45" i="3"/>
  <c r="M22" i="3"/>
  <c r="M15" i="3"/>
  <c r="M13" i="3"/>
  <c r="M77" i="3"/>
  <c r="M33" i="3"/>
  <c r="M37" i="3"/>
  <c r="M46" i="3"/>
  <c r="M50" i="3"/>
  <c r="M41" i="3"/>
  <c r="M93" i="3"/>
  <c r="M12" i="3"/>
  <c r="M16" i="3"/>
  <c r="M29" i="3"/>
  <c r="M34" i="3"/>
  <c r="M38" i="3"/>
  <c r="M47" i="3"/>
  <c r="M28" i="3"/>
  <c r="M94" i="3"/>
  <c r="M51" i="3"/>
  <c r="M17" i="3"/>
  <c r="M27" i="3"/>
  <c r="M44" i="3"/>
  <c r="M39" i="3"/>
  <c r="M48" i="3"/>
  <c r="M95" i="3"/>
  <c r="M53" i="3"/>
  <c r="M40" i="3"/>
  <c r="M75" i="3"/>
  <c r="L5" i="3"/>
  <c r="M5" i="3"/>
  <c r="N5" i="3"/>
  <c r="N4" i="3"/>
  <c r="L4" i="3"/>
  <c r="M4" i="3"/>
  <c r="G7" i="5"/>
  <c r="AW21" i="2" l="1"/>
  <c r="AU21" i="2"/>
  <c r="AT21" i="2"/>
  <c r="AS21" i="2"/>
  <c r="AR21" i="2"/>
  <c r="AU20" i="2"/>
  <c r="AT20" i="2"/>
  <c r="AS20" i="2"/>
  <c r="AR20" i="2"/>
  <c r="AU19" i="2"/>
  <c r="AT19" i="2"/>
  <c r="AS19" i="2"/>
  <c r="AR19" i="2"/>
  <c r="AU18" i="2"/>
  <c r="AT18" i="2"/>
  <c r="AS18" i="2"/>
  <c r="AR18" i="2"/>
  <c r="AU17" i="2"/>
  <c r="AT17" i="2"/>
  <c r="AS17" i="2"/>
  <c r="AR17" i="2"/>
  <c r="AR5" i="2" l="1"/>
  <c r="AS5" i="2"/>
  <c r="AR16" i="2"/>
  <c r="AR14" i="2"/>
  <c r="AR13" i="2"/>
  <c r="AR12" i="2"/>
  <c r="AR11" i="2"/>
  <c r="AR10" i="2"/>
  <c r="AR9" i="2"/>
  <c r="AR8" i="2"/>
  <c r="AR7" i="2"/>
  <c r="AR6" i="2"/>
  <c r="AW16" i="2"/>
  <c r="AU16" i="2"/>
  <c r="AT16" i="2"/>
  <c r="AS16" i="2"/>
  <c r="AU14" i="2"/>
  <c r="AT14" i="2"/>
  <c r="AS14" i="2"/>
  <c r="AU13" i="2"/>
  <c r="AT13" i="2"/>
  <c r="AS13" i="2"/>
  <c r="AU12" i="2"/>
  <c r="AT12" i="2"/>
  <c r="AS12" i="2"/>
  <c r="AU11" i="2"/>
  <c r="AT11" i="2"/>
  <c r="AS11" i="2"/>
  <c r="AU10" i="2"/>
  <c r="AT10" i="2"/>
  <c r="AS10" i="2"/>
  <c r="AU9" i="2"/>
  <c r="AT9" i="2"/>
  <c r="AS9" i="2"/>
  <c r="AU8" i="2"/>
  <c r="AT8" i="2"/>
  <c r="AS8" i="2"/>
  <c r="AU7" i="2"/>
  <c r="AT7" i="2"/>
  <c r="AS7" i="2"/>
  <c r="AU6" i="2"/>
  <c r="AT6" i="2"/>
  <c r="AS6" i="2"/>
  <c r="AU5" i="2"/>
  <c r="AT5" i="2"/>
  <c r="AW5" i="2"/>
  <c r="AW6" i="2"/>
  <c r="AW9" i="2"/>
  <c r="AW10" i="2"/>
  <c r="AW20" i="2"/>
  <c r="AW7" i="2"/>
  <c r="AW18" i="2"/>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 r="AW14" i="2"/>
  <c r="AW11" i="2"/>
  <c r="AW13" i="2"/>
  <c r="AW19" i="2"/>
  <c r="AW17" i="2"/>
  <c r="AW12" i="2"/>
  <c r="AW8" i="2"/>
</calcChain>
</file>

<file path=xl/sharedStrings.xml><?xml version="1.0" encoding="utf-8"?>
<sst xmlns="http://schemas.openxmlformats.org/spreadsheetml/2006/main" count="3608" uniqueCount="607">
  <si>
    <t>UDC</t>
  </si>
  <si>
    <t>Ver</t>
  </si>
  <si>
    <t>OUA Cd</t>
  </si>
  <si>
    <t>Unit Title</t>
  </si>
  <si>
    <t>Pre-reqs</t>
  </si>
  <si>
    <t>Credits</t>
  </si>
  <si>
    <t>Availabilities</t>
  </si>
  <si>
    <t>Progress Notes</t>
  </si>
  <si>
    <r>
      <t>Curtin University</t>
    </r>
    <r>
      <rPr>
        <sz val="11"/>
        <color theme="0"/>
        <rFont val="Arial"/>
        <family val="2"/>
      </rPr>
      <t xml:space="preserve">
School of Education</t>
    </r>
  </si>
  <si>
    <t>2024 Enrolment Planner</t>
  </si>
  <si>
    <t>Course:</t>
  </si>
  <si>
    <t>Master of Teaching (OpenUnis)</t>
  </si>
  <si>
    <t>Course version:</t>
  </si>
  <si>
    <t>Major:</t>
  </si>
  <si>
    <t>Early Childhood Education Major (MTeach OpenUnis)</t>
  </si>
  <si>
    <t>Major version:</t>
  </si>
  <si>
    <t>Commencing:</t>
  </si>
  <si>
    <t>Choose your commencing study period (drop-down list)</t>
  </si>
  <si>
    <t>Credits to Complete:</t>
  </si>
  <si>
    <t>2024 Availabilities</t>
  </si>
  <si>
    <t>Year 1</t>
  </si>
  <si>
    <t>OUA Code</t>
  </si>
  <si>
    <t>Study Period</t>
  </si>
  <si>
    <t>Pre Requisites</t>
  </si>
  <si>
    <t>CP</t>
  </si>
  <si>
    <t>SP1</t>
  </si>
  <si>
    <t>SP2</t>
  </si>
  <si>
    <t>SP3</t>
  </si>
  <si>
    <t>SP4</t>
  </si>
  <si>
    <t>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</si>
  <si>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</si>
  <si>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</si>
  <si>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</si>
  <si>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</si>
  <si>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</si>
  <si>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</si>
  <si>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 OpenUnis)</t>
  </si>
  <si>
    <t>Master of Education (OpenUnis)</t>
  </si>
  <si>
    <t>Specialisation:</t>
  </si>
  <si>
    <t>Choose your MEd Specialisation (drop-down list)</t>
  </si>
  <si>
    <t>Specialisation version:</t>
  </si>
  <si>
    <t>Pre Requisite(s)</t>
  </si>
  <si>
    <t>Specified Electives</t>
  </si>
  <si>
    <t>Master of Arts (Applied Linguistics) (OpenUnis)</t>
  </si>
  <si>
    <t>Graduate Certificate in Teaching English to Speakers of Other Languages (TESOL) (OpenUnis)</t>
  </si>
  <si>
    <t>Alternate Core Subjects</t>
  </si>
  <si>
    <t>Graduate Certificate in Higher Education Innovative Learning and Teaching (OpenUnis)</t>
  </si>
  <si>
    <t>OM/OW-TEACH Master of Teaching (OpenUnis)</t>
  </si>
  <si>
    <t>MJRP-TCHECSSP1</t>
  </si>
  <si>
    <t>STRP-SCART</t>
  </si>
  <si>
    <t>ECE</t>
  </si>
  <si>
    <t>Primary</t>
  </si>
  <si>
    <t>RangeUnitsetsECEPR</t>
  </si>
  <si>
    <t>OUMP-TCHECSP1</t>
  </si>
  <si>
    <t>OUMP-TCHECSP2</t>
  </si>
  <si>
    <t>OUMP-TCHECSP3</t>
  </si>
  <si>
    <t>OUMP-TCHECSP4</t>
  </si>
  <si>
    <t>OUMP-TCHPESP1</t>
  </si>
  <si>
    <t>OUMP-TCHPESP2</t>
  </si>
  <si>
    <t>OUMP-TCHPESP3</t>
  </si>
  <si>
    <t>OUMP-TCHPESP4</t>
  </si>
  <si>
    <t>Spk Cd</t>
  </si>
  <si>
    <t>Structure Line</t>
  </si>
  <si>
    <t>Prereqs</t>
  </si>
  <si>
    <t>Y1SP1</t>
  </si>
  <si>
    <t>EDUC5012</t>
  </si>
  <si>
    <t>Y1SP2</t>
  </si>
  <si>
    <t>EDEC5017</t>
  </si>
  <si>
    <t>Y1SP3</t>
  </si>
  <si>
    <t>Y1SP4</t>
  </si>
  <si>
    <t>EDUC5013</t>
  </si>
  <si>
    <t>EDUC5032</t>
  </si>
  <si>
    <t>TableCourses</t>
  </si>
  <si>
    <t>EDEC5019</t>
  </si>
  <si>
    <t>EDEC5016</t>
  </si>
  <si>
    <t>EDEC5020</t>
  </si>
  <si>
    <t>EDPR5012</t>
  </si>
  <si>
    <t>EDPR5010</t>
  </si>
  <si>
    <t>Choose your Course</t>
  </si>
  <si>
    <t>Version</t>
  </si>
  <si>
    <t>Credit Points</t>
  </si>
  <si>
    <t>Effective Date</t>
  </si>
  <si>
    <t>Akari Update</t>
  </si>
  <si>
    <t>Graduate Certificate in Education (OpenUnis CSP)</t>
  </si>
  <si>
    <t>OC-EDUCS1</t>
  </si>
  <si>
    <t>v.1</t>
  </si>
  <si>
    <t>100 credit points required</t>
  </si>
  <si>
    <t>None</t>
  </si>
  <si>
    <t>EDEC5013</t>
  </si>
  <si>
    <t>EDPR5011</t>
  </si>
  <si>
    <t>Graduate Certificate in Education (OpenUnis)</t>
  </si>
  <si>
    <t>OC-EDUC</t>
  </si>
  <si>
    <t>SP1; SP2; SP3; SP4</t>
  </si>
  <si>
    <t>EDUC5017</t>
  </si>
  <si>
    <t>EDUC5014</t>
  </si>
  <si>
    <t>Graduate Certificate in Higher Education Innovative Learning and Teaching (OpenUnis CSP)</t>
  </si>
  <si>
    <t>OC-EDHE1</t>
  </si>
  <si>
    <t>EDEC5015</t>
  </si>
  <si>
    <t>EDPR5013</t>
  </si>
  <si>
    <t>OC-EDHE</t>
  </si>
  <si>
    <t>Graduate Certificate in Teaching English to Speakers of Other Languages (TESOL) (OpenUnis CSP)</t>
  </si>
  <si>
    <t>OC-TESOL1</t>
  </si>
  <si>
    <t>EDEC5018</t>
  </si>
  <si>
    <t>EDPR5017</t>
  </si>
  <si>
    <t>OC-TESOL</t>
  </si>
  <si>
    <t>v.2</t>
  </si>
  <si>
    <t>Y2SP1</t>
  </si>
  <si>
    <t>Y2SP2</t>
  </si>
  <si>
    <t>Y2SP3</t>
  </si>
  <si>
    <t>Y2SP4</t>
  </si>
  <si>
    <t>EDEC6002</t>
  </si>
  <si>
    <t>EDPR5016</t>
  </si>
  <si>
    <t>EDPR5015</t>
  </si>
  <si>
    <t>Graduate Diploma in Education (OpenUnis)</t>
  </si>
  <si>
    <t>OG-EDUC</t>
  </si>
  <si>
    <t>200 credit points required</t>
  </si>
  <si>
    <t>SP1 only</t>
  </si>
  <si>
    <t>EDEC5012</t>
  </si>
  <si>
    <t>EDEC6004</t>
  </si>
  <si>
    <t>EDUC6063</t>
  </si>
  <si>
    <t>EDPR6001</t>
  </si>
  <si>
    <t>EDUC6067</t>
  </si>
  <si>
    <t>Graduate Diploma in Education (OpenUnis CSP)</t>
  </si>
  <si>
    <t>OG-EDUC1</t>
  </si>
  <si>
    <t>OM-APLING</t>
  </si>
  <si>
    <t>OM-EDUC</t>
  </si>
  <si>
    <t>OM-TEACH1</t>
  </si>
  <si>
    <t>400 credit points required</t>
  </si>
  <si>
    <t>TableStudyPeriods</t>
  </si>
  <si>
    <t>EDUC6065</t>
  </si>
  <si>
    <t>---</t>
  </si>
  <si>
    <t>START</t>
  </si>
  <si>
    <t>Next</t>
  </si>
  <si>
    <t>Next2</t>
  </si>
  <si>
    <t>Next3</t>
  </si>
  <si>
    <t>Y3SP1</t>
  </si>
  <si>
    <t>--</t>
  </si>
  <si>
    <t>Y3SP2</t>
  </si>
  <si>
    <t>Y3SP3</t>
  </si>
  <si>
    <t>Y3SP4</t>
  </si>
  <si>
    <t>Study Period 1 (February - May)</t>
  </si>
  <si>
    <t>Study Period 2 (May - August)</t>
  </si>
  <si>
    <t>Study Period 3 (August - November)</t>
  </si>
  <si>
    <t>Study Period 4 (November - February)</t>
  </si>
  <si>
    <t>RangeUnitsetsOMEDUC</t>
  </si>
  <si>
    <t>OSEP-NoneSP1</t>
  </si>
  <si>
    <t>OSEP-NoneSP2</t>
  </si>
  <si>
    <t>OSEP-NoneSP3</t>
  </si>
  <si>
    <t>OSEP-NoneSP4</t>
  </si>
  <si>
    <t>OSEP-CULINSP1</t>
  </si>
  <si>
    <t>OSEP-CULINSP2</t>
  </si>
  <si>
    <t>OSEP-CULINSP3</t>
  </si>
  <si>
    <t>OSEP-CULINSP4</t>
  </si>
  <si>
    <t>OSEP-LNTCHSP1</t>
  </si>
  <si>
    <t>OSEP-LNTCHSP2</t>
  </si>
  <si>
    <t>OSEP-LNTCHSP3</t>
  </si>
  <si>
    <t>OSEP-LNTCHSP4</t>
  </si>
  <si>
    <t>OSEP-STEMESP1</t>
  </si>
  <si>
    <t>OSEP-STEMESP2</t>
  </si>
  <si>
    <t>OSEP-STEMESP3</t>
  </si>
  <si>
    <t>OSEP-STEMESP4</t>
  </si>
  <si>
    <t>Y1SSP1</t>
  </si>
  <si>
    <t>EDUC6034</t>
  </si>
  <si>
    <t>Y1SSP2</t>
  </si>
  <si>
    <t>EDUC6047</t>
  </si>
  <si>
    <t>Y1SSP3</t>
  </si>
  <si>
    <t>Y1SSP4</t>
  </si>
  <si>
    <t>TableMajorsMTeach</t>
  </si>
  <si>
    <t>SpecElectMEd</t>
  </si>
  <si>
    <t>EDUC6057</t>
  </si>
  <si>
    <t>EDUC6053</t>
  </si>
  <si>
    <t>EDUC6026</t>
  </si>
  <si>
    <t>EDUC6055</t>
  </si>
  <si>
    <t>EDUC6059</t>
  </si>
  <si>
    <t>EDUC6061</t>
  </si>
  <si>
    <t>EDUC6049</t>
  </si>
  <si>
    <t>Choose your Major</t>
  </si>
  <si>
    <t>OUMP-TCHEC</t>
  </si>
  <si>
    <t>OUMP-TCHPE</t>
  </si>
  <si>
    <t>EDUC6036</t>
  </si>
  <si>
    <t>LING6008</t>
  </si>
  <si>
    <t>EDUC6051</t>
  </si>
  <si>
    <t>Secondary Education Major (MTeach OpenUnis)</t>
  </si>
  <si>
    <t>OUMP-TCHSE</t>
  </si>
  <si>
    <t>v.3</t>
  </si>
  <si>
    <t>-</t>
  </si>
  <si>
    <t>TableMajorsGradDip</t>
  </si>
  <si>
    <t>Option1</t>
  </si>
  <si>
    <t>Primary Education Major (GradDipEdu OpenUnis)</t>
  </si>
  <si>
    <t>OUMP-EDUPR</t>
  </si>
  <si>
    <t>Option2</t>
  </si>
  <si>
    <t>Secondary Education Major (GradDipEdu OpenUnis)</t>
  </si>
  <si>
    <t>OUMP-EDUSC</t>
  </si>
  <si>
    <t>Option3</t>
  </si>
  <si>
    <t>Option4</t>
  </si>
  <si>
    <t>TableSpecialisationsOMEDUC</t>
  </si>
  <si>
    <t>Option5</t>
  </si>
  <si>
    <t>Option6</t>
  </si>
  <si>
    <t>No Specialisation - study 4 Option subjects</t>
  </si>
  <si>
    <t>OSEP-None</t>
  </si>
  <si>
    <t>Option7</t>
  </si>
  <si>
    <t>Cultural and Linguistic Diversity Specialisation (MEd OpenUnis)</t>
  </si>
  <si>
    <t>OSEP-CULIN</t>
  </si>
  <si>
    <t>Option8</t>
  </si>
  <si>
    <t>Innovative Learning and Teaching Specialisation (MEd OpenUnis)</t>
  </si>
  <si>
    <t>OSEP-LNTCH</t>
  </si>
  <si>
    <t>Option9</t>
  </si>
  <si>
    <t>Innovative STEM Education Specialisation (MEd OpenUnis)</t>
  </si>
  <si>
    <t>OSEP-STEME</t>
  </si>
  <si>
    <t>Check highlighted cells (Hanbook &amp; Structures as well)</t>
  </si>
  <si>
    <t>RangeUnitsetsTESOL</t>
  </si>
  <si>
    <t>OC-TESOLSP1</t>
  </si>
  <si>
    <t>OC-TESOLSP2</t>
  </si>
  <si>
    <t>OC-TESOLSP3</t>
  </si>
  <si>
    <t>OC-TESOLSP4</t>
  </si>
  <si>
    <t>OM-APLINGSP1</t>
  </si>
  <si>
    <t>OM-APLINGSP2</t>
  </si>
  <si>
    <t>OM-APLINGSP3</t>
  </si>
  <si>
    <t>OM-APLINGSP4</t>
  </si>
  <si>
    <t>Confirm sequences</t>
  </si>
  <si>
    <t>EDUC5024</t>
  </si>
  <si>
    <t>EDUC5020</t>
  </si>
  <si>
    <t>EDUC6043</t>
  </si>
  <si>
    <t>EDUC6042</t>
  </si>
  <si>
    <t>AltCoreTESOL</t>
  </si>
  <si>
    <t>EDUC5026</t>
  </si>
  <si>
    <t>LING6009</t>
  </si>
  <si>
    <t>EDUC6028</t>
  </si>
  <si>
    <t>AltCore1</t>
  </si>
  <si>
    <t>AltCore2</t>
  </si>
  <si>
    <t>EDUC5022</t>
  </si>
  <si>
    <t>AltCore3</t>
  </si>
  <si>
    <t>EDUC5029</t>
  </si>
  <si>
    <t>RangeUnitsetsOCEDHE</t>
  </si>
  <si>
    <t>OC-EDHESP1</t>
  </si>
  <si>
    <t>OC-EDHESP2</t>
  </si>
  <si>
    <t>OC-EDHESP3</t>
  </si>
  <si>
    <t>OC-EDHESP4</t>
  </si>
  <si>
    <t>EDHE5001</t>
  </si>
  <si>
    <t>EDHE5002</t>
  </si>
  <si>
    <t>EDHE5004</t>
  </si>
  <si>
    <t>EDHE5005</t>
  </si>
  <si>
    <t>First Teaching Area:</t>
  </si>
  <si>
    <t>Choose your First Approved Teaching Area (drop-down list)</t>
  </si>
  <si>
    <t>Second Teaching Area:</t>
  </si>
  <si>
    <t>Choose your Second Approved Teaching Area (drop-down list)</t>
  </si>
  <si>
    <t>Teaching Area Subjects</t>
  </si>
  <si>
    <t>Teaching Area:</t>
  </si>
  <si>
    <t>Choose your Approved Teaching Area (drop-down list)</t>
  </si>
  <si>
    <t>Teaching Area subject (study Lower before Senior)</t>
  </si>
  <si>
    <t>OM/OW-TEACH Master of Teaching (OpenUnis) (Secondary)</t>
  </si>
  <si>
    <t>RangeUnitsetsSec</t>
  </si>
  <si>
    <t>OUMP-TCHSESP1</t>
  </si>
  <si>
    <t>OUMP-TCHSESP2</t>
  </si>
  <si>
    <t>OUMP-TCHSESP3</t>
  </si>
  <si>
    <t>OUMP-TCHSESP4</t>
  </si>
  <si>
    <t>DropDownLists</t>
  </si>
  <si>
    <t>EDSC5037</t>
  </si>
  <si>
    <t>EDSC5038</t>
  </si>
  <si>
    <t>TableFirstTeachingArea</t>
  </si>
  <si>
    <t>First Teaching Area</t>
  </si>
  <si>
    <t>EDSC5040</t>
  </si>
  <si>
    <t>FTAL</t>
  </si>
  <si>
    <t>Code</t>
  </si>
  <si>
    <t>The Arts</t>
  </si>
  <si>
    <t>FTAArts</t>
  </si>
  <si>
    <t xml:space="preserve">English </t>
  </si>
  <si>
    <t>EDSC5039</t>
  </si>
  <si>
    <t>FTAEnglish</t>
  </si>
  <si>
    <t>Health and Physical Education (HPE)</t>
  </si>
  <si>
    <t>STAL</t>
  </si>
  <si>
    <t>FTAHPE</t>
  </si>
  <si>
    <t>Humanities and Social Sciences (HASS)</t>
  </si>
  <si>
    <t>EDSC5051</t>
  </si>
  <si>
    <t>FTAHASS</t>
  </si>
  <si>
    <t>Mathematics</t>
  </si>
  <si>
    <t>FTAMaths</t>
  </si>
  <si>
    <t>Science</t>
  </si>
  <si>
    <t>FTAScience</t>
  </si>
  <si>
    <t>EDSC6001</t>
  </si>
  <si>
    <t>FTAS</t>
  </si>
  <si>
    <t>The Arts only (no second teaching area)</t>
  </si>
  <si>
    <t>TableSecondTeachingArea</t>
  </si>
  <si>
    <t>Teaching Area</t>
  </si>
  <si>
    <t>STAS</t>
  </si>
  <si>
    <t>FTAOnly</t>
  </si>
  <si>
    <t>English only (no second teaching area)</t>
  </si>
  <si>
    <t>HPE only (no second teaching area)</t>
  </si>
  <si>
    <t>RangeTeachingAreas</t>
  </si>
  <si>
    <t>HASS only (no second teaching area)</t>
  </si>
  <si>
    <t>FTA</t>
  </si>
  <si>
    <t>FTALower</t>
  </si>
  <si>
    <t>EDSC5041</t>
  </si>
  <si>
    <t>EDSC5042</t>
  </si>
  <si>
    <t>EDSC5056</t>
  </si>
  <si>
    <t>EDSC5043</t>
  </si>
  <si>
    <t>EDSC5044</t>
  </si>
  <si>
    <t>EDSC5045</t>
  </si>
  <si>
    <t>Mathematics only (no second teaching area)</t>
  </si>
  <si>
    <t>FTASenior</t>
  </si>
  <si>
    <t>EDSC5046</t>
  </si>
  <si>
    <t>EDSC5054</t>
  </si>
  <si>
    <t>EDSC5058</t>
  </si>
  <si>
    <t>EDSC5048</t>
  </si>
  <si>
    <t>EDSC5049</t>
  </si>
  <si>
    <t>EDSC5050</t>
  </si>
  <si>
    <t>STA</t>
  </si>
  <si>
    <t>Science only (no second teaching area)</t>
  </si>
  <si>
    <t>STALower</t>
  </si>
  <si>
    <t>EDUC5034</t>
  </si>
  <si>
    <t>STASenior</t>
  </si>
  <si>
    <t>EDSC5060</t>
  </si>
  <si>
    <t>TableOGEDUCTeachingArea</t>
  </si>
  <si>
    <t>RangeUnitsetsOGEDUC</t>
  </si>
  <si>
    <t>OUMP-EDUPRSP1</t>
  </si>
  <si>
    <t>OUMP-EDUPRSP2</t>
  </si>
  <si>
    <t>OUMP-EDUPRSP3</t>
  </si>
  <si>
    <t>OUMP-EDUPRSP4</t>
  </si>
  <si>
    <t>OUMP-EDUSCSP1</t>
  </si>
  <si>
    <t>OUMP-EDUSCSP2</t>
  </si>
  <si>
    <t>OUMP-EDUSCSP3</t>
  </si>
  <si>
    <t>OUMP-EDUSCSP4</t>
  </si>
  <si>
    <t>GDTAL</t>
  </si>
  <si>
    <t>GDTAS</t>
  </si>
  <si>
    <t>Title</t>
  </si>
  <si>
    <t>Notes</t>
  </si>
  <si>
    <t>Please note this is a Double (50CP) subject</t>
  </si>
  <si>
    <t>Not relevant to this study sequence</t>
  </si>
  <si>
    <t>No unit available</t>
  </si>
  <si>
    <t>Study either TESOL501 or TESOL505 (see below)</t>
  </si>
  <si>
    <t>See below</t>
  </si>
  <si>
    <t>MTEC506</t>
  </si>
  <si>
    <t>Numeracy for Birth to 4 Year-Olds</t>
  </si>
  <si>
    <t>Nil</t>
  </si>
  <si>
    <t>MTEC501</t>
  </si>
  <si>
    <t>Early Childhood Professional Experience 1: Planning and Documentation</t>
  </si>
  <si>
    <t>MTPS500</t>
  </si>
  <si>
    <t>MTEC502</t>
  </si>
  <si>
    <t>Early Childhood Professional Experience 2: Planning for Writing, Assessment and Reporting</t>
  </si>
  <si>
    <t>MTEC501* + MTC510</t>
  </si>
  <si>
    <t>S1 has MTEC501 Concurrent, Akari does not.</t>
  </si>
  <si>
    <t>MTEC503</t>
  </si>
  <si>
    <t>Numeracy for 5 to 8 Year-Olds</t>
  </si>
  <si>
    <t>MTEC507</t>
  </si>
  <si>
    <t>Family and Community Contexts</t>
  </si>
  <si>
    <t>MTEC509</t>
  </si>
  <si>
    <t>Creative and Media Arts in Early Childhood</t>
  </si>
  <si>
    <t>MTEC508</t>
  </si>
  <si>
    <t>Humanities and Science in Early Childhood</t>
  </si>
  <si>
    <t>MTEC504</t>
  </si>
  <si>
    <t>Health, Safety and Physical Education in Early Childhood</t>
  </si>
  <si>
    <t>MTEC600</t>
  </si>
  <si>
    <t>Early Literacies and Play-Based Pedagogies</t>
  </si>
  <si>
    <t>MTEC610</t>
  </si>
  <si>
    <t>Philosophy, Management and Leadership in Early Childhood Education and Care</t>
  </si>
  <si>
    <t xml:space="preserve">EDHE501 </t>
  </si>
  <si>
    <t>The Learning Cycle: Design and Curriculum</t>
  </si>
  <si>
    <t xml:space="preserve">EDHE502 </t>
  </si>
  <si>
    <t>Design Thinking and Educational Innovation</t>
  </si>
  <si>
    <t xml:space="preserve">EDHE504 </t>
  </si>
  <si>
    <t>Research for the Scholarship of Learning and Teaching</t>
  </si>
  <si>
    <t xml:space="preserve">EDHE505 </t>
  </si>
  <si>
    <t>Teaching Portfolio</t>
  </si>
  <si>
    <t>MTP501</t>
  </si>
  <si>
    <t>Teaching Number, Algebra and Probability in the Primary Years</t>
  </si>
  <si>
    <t>MTP502</t>
  </si>
  <si>
    <t>Primary Professional Experience 1: Planning for Writing</t>
  </si>
  <si>
    <t>2024 - Pre Reqs being removed MTPS500 + MTC510</t>
  </si>
  <si>
    <t>MTP505</t>
  </si>
  <si>
    <t>Teaching Science in the Primary Years</t>
  </si>
  <si>
    <t>MTP506</t>
  </si>
  <si>
    <t>Primary Professional Experience 2: Assessment and Reporting</t>
  </si>
  <si>
    <t>MTP508</t>
  </si>
  <si>
    <t>Statistics For Educators</t>
  </si>
  <si>
    <t>2024 Late Change</t>
  </si>
  <si>
    <t>EDPR5015.PO</t>
  </si>
  <si>
    <t>Quantitative Mathematics for Science Inquiry</t>
  </si>
  <si>
    <t>MTP509</t>
  </si>
  <si>
    <t>Teaching Arts in the Primary Years</t>
  </si>
  <si>
    <t>MTP504</t>
  </si>
  <si>
    <t>Teaching Humanities and Social Sciences in the Primary Years</t>
  </si>
  <si>
    <t>MTP600</t>
  </si>
  <si>
    <t>Extending English in the Primary Years</t>
  </si>
  <si>
    <t>MTS500</t>
  </si>
  <si>
    <t>Teaching in the Secondary School</t>
  </si>
  <si>
    <t>MTS501</t>
  </si>
  <si>
    <t>Literacy and Numeracy across the Curriculum</t>
  </si>
  <si>
    <t>MTS502</t>
  </si>
  <si>
    <t>Secondary Professional Experience 1: Planning</t>
  </si>
  <si>
    <t>2024 - Pre Reqs being removed MTPS500</t>
  </si>
  <si>
    <t>MTS503</t>
  </si>
  <si>
    <t>Managing the Learning Environment</t>
  </si>
  <si>
    <t>MTS506</t>
  </si>
  <si>
    <t>Curriculum and Instruction Lower Secondary: The Arts</t>
  </si>
  <si>
    <t>MTS507</t>
  </si>
  <si>
    <t>Curriculum and Instruction Lower Secondary: English</t>
  </si>
  <si>
    <t>MTS508</t>
  </si>
  <si>
    <t>Curriculum and Instruction Lower Secondary: Humanities and Social Sciences</t>
  </si>
  <si>
    <t>MTS509</t>
  </si>
  <si>
    <t>Curriculum and Instruction Lower Secondary: Mathematics</t>
  </si>
  <si>
    <t>MTS510</t>
  </si>
  <si>
    <t>Curriculum and Instruction Lower Secondary: Science</t>
  </si>
  <si>
    <t>MTS511</t>
  </si>
  <si>
    <t>Curriculum and Instruction Senior Secondary: The Arts</t>
  </si>
  <si>
    <t>MTS513</t>
  </si>
  <si>
    <t>Curriculum and Instruction Senior Secondary: Humanities and Social Sciences</t>
  </si>
  <si>
    <t>MTS514</t>
  </si>
  <si>
    <t>Curriculum and Instruction Senior Secondary: Mathematics</t>
  </si>
  <si>
    <t>MTS515</t>
  </si>
  <si>
    <t>Curriculum and Instruction Senior Secondary: Science</t>
  </si>
  <si>
    <t>MTS504</t>
  </si>
  <si>
    <t>Secondary Professional Experience 2: Assessment and Reporting</t>
  </si>
  <si>
    <t>MTS512</t>
  </si>
  <si>
    <t>Curriculum and Instruction Senior Secondary: English</t>
  </si>
  <si>
    <t>MTS516</t>
  </si>
  <si>
    <t>Curriculum and Instruction Lower Secondary: Health and Physical Education</t>
  </si>
  <si>
    <t>MTS517</t>
  </si>
  <si>
    <t>Curriculum and Instruction Senior Secondary: Health and Physical Education</t>
  </si>
  <si>
    <t>MTS520</t>
  </si>
  <si>
    <t>Integrated Practice in the Secondary School</t>
  </si>
  <si>
    <t>MTS600</t>
  </si>
  <si>
    <t>Research-Based Inquiry to Enhance Practice</t>
  </si>
  <si>
    <t>Theories of Development and Learning</t>
  </si>
  <si>
    <t>MTP503</t>
  </si>
  <si>
    <t>Developing Positive Learning Environments</t>
  </si>
  <si>
    <t>MTPS501</t>
  </si>
  <si>
    <t>Pedagogies for Diversity</t>
  </si>
  <si>
    <t>MTPS504</t>
  </si>
  <si>
    <t>Creative Technologies</t>
  </si>
  <si>
    <t>TESOL503</t>
  </si>
  <si>
    <t>Introduction to Language</t>
  </si>
  <si>
    <t>TESOL501</t>
  </si>
  <si>
    <t>Materials Design and Assessment</t>
  </si>
  <si>
    <t>TESOL502</t>
  </si>
  <si>
    <t>Teaching English to Speakers of Other Languages Methodologies</t>
  </si>
  <si>
    <t>TESOL504</t>
  </si>
  <si>
    <t>Transcultural Communication</t>
  </si>
  <si>
    <t>TESOL505</t>
  </si>
  <si>
    <t>Language Teaching Practice</t>
  </si>
  <si>
    <t>MTC510</t>
  </si>
  <si>
    <t>Introduction to English: Reading</t>
  </si>
  <si>
    <t>MTC520</t>
  </si>
  <si>
    <t>Mentoring, Coaching and Tutoring</t>
  </si>
  <si>
    <t>EDML501</t>
  </si>
  <si>
    <t>Language Teaching Methodologies</t>
  </si>
  <si>
    <t>EDML503</t>
  </si>
  <si>
    <t>Language Teaching Course Design and Assessment</t>
  </si>
  <si>
    <t>EDMC500</t>
  </si>
  <si>
    <t>Perspectives on Educational Research</t>
  </si>
  <si>
    <t>EDMC502</t>
  </si>
  <si>
    <t>Negotiated Capstone Project</t>
  </si>
  <si>
    <t>EDMC500 or EDML550</t>
  </si>
  <si>
    <t>EDML540</t>
  </si>
  <si>
    <t>Special Topics in Applied Linguistics</t>
  </si>
  <si>
    <t>EDML550</t>
  </si>
  <si>
    <t>Research Methods in Applied Linguistics</t>
  </si>
  <si>
    <t>EDMC600</t>
  </si>
  <si>
    <t>Education in the Post-Truth Era</t>
  </si>
  <si>
    <t>EDMS610</t>
  </si>
  <si>
    <t>Designing STEM Integration</t>
  </si>
  <si>
    <t>EDMP600</t>
  </si>
  <si>
    <t>Education for a Future: Learning for Sustainability</t>
  </si>
  <si>
    <t>EDMP610</t>
  </si>
  <si>
    <t>Emerging Technologies and the Future of Learning</t>
  </si>
  <si>
    <t>EDMP620</t>
  </si>
  <si>
    <t>Empowering Learners Through Social Justice Leadership</t>
  </si>
  <si>
    <t>EDML600</t>
  </si>
  <si>
    <t>Leading Learning in Multilingual Contexts</t>
  </si>
  <si>
    <t>EDMP630</t>
  </si>
  <si>
    <t>Pedagogies for Learner and Community Diversity</t>
  </si>
  <si>
    <t>EDMS600</t>
  </si>
  <si>
    <t>Becoming a Leader of STEM Education</t>
  </si>
  <si>
    <t>MTC600</t>
  </si>
  <si>
    <t>Professional Experience 3: Using Data to Inform Teaching and Learning</t>
  </si>
  <si>
    <t>MTEC502 or MTP506 or MTS504</t>
  </si>
  <si>
    <t>MTC610</t>
  </si>
  <si>
    <t>Professional Experience 4: Transition into the Profession</t>
  </si>
  <si>
    <t>MTC620</t>
  </si>
  <si>
    <t>Schooling and Australian Society</t>
  </si>
  <si>
    <t>First Teaching Area Subjects</t>
  </si>
  <si>
    <t>Select optional units (see option list) to the value of:</t>
  </si>
  <si>
    <t>First Teaching Area subject (study Lower before Senior)</t>
  </si>
  <si>
    <t>First Teaching Area LOWER subject (see below)</t>
  </si>
  <si>
    <t>First Teaching Area SENIOR subject (see below)</t>
  </si>
  <si>
    <t>Teaching Area LOWER subject (see below)</t>
  </si>
  <si>
    <t>Teaching Area SENIOR subject (see below)</t>
  </si>
  <si>
    <t>EDML502</t>
  </si>
  <si>
    <t>Language in Society</t>
  </si>
  <si>
    <t>EDML500</t>
  </si>
  <si>
    <t>Language Acquisition</t>
  </si>
  <si>
    <t>OptionOC-EDUC</t>
  </si>
  <si>
    <t>Choose Option subjects to the value of 100CP</t>
  </si>
  <si>
    <t>OptionOG-EDUC</t>
  </si>
  <si>
    <t>Teaching Area Options</t>
  </si>
  <si>
    <t/>
  </si>
  <si>
    <t>Second Teaching Area Subjects</t>
  </si>
  <si>
    <t>Study a Specified Elective from the list below</t>
  </si>
  <si>
    <t>Second Teaching Area subject (study Lower before Senior OR MTC520 before MTS520)</t>
  </si>
  <si>
    <t>Second Teaching Area LOWER subject (see below)</t>
  </si>
  <si>
    <t>Second Teaching Area SENIOR subject (see below)</t>
  </si>
  <si>
    <t>Structures downloaded from S1 (check instructions before copy/pasting into tables)</t>
  </si>
  <si>
    <t>Effective:</t>
  </si>
  <si>
    <t>Master of Teaching (Open Unis)</t>
  </si>
  <si>
    <t>Downloaded:</t>
  </si>
  <si>
    <t>CPs</t>
  </si>
  <si>
    <t>No.</t>
  </si>
  <si>
    <t>Component Type</t>
  </si>
  <si>
    <t>Year Level</t>
  </si>
  <si>
    <t>Study Package Code</t>
  </si>
  <si>
    <t>Effective</t>
  </si>
  <si>
    <t>Discont.</t>
  </si>
  <si>
    <t>Column1</t>
  </si>
  <si>
    <t>Column2</t>
  </si>
  <si>
    <t>AltCore</t>
  </si>
  <si>
    <t>NA</t>
  </si>
  <si>
    <t>Master of Teaching Major List</t>
  </si>
  <si>
    <t>Core</t>
  </si>
  <si>
    <t>MTC510 Introduction to English: Reading</t>
  </si>
  <si>
    <t>MTEC501 Early Childhood Professional Experience 1: Planning and Documentation</t>
  </si>
  <si>
    <t>MTEC502 Early Childhood Professional Experience 2: Planning for Writing, Assessment and Reporting</t>
  </si>
  <si>
    <t>MTEC503 Numeracy for 5 to 8 Year-Olds</t>
  </si>
  <si>
    <t>MTEC504 Health, Safety and Physical Education in Early Childhood</t>
  </si>
  <si>
    <t>MTEC507 Family and Community Contexts</t>
  </si>
  <si>
    <t>MTP503 Developing Positive Learning Environments</t>
  </si>
  <si>
    <t>MTPS500 Theories of Development and Learning</t>
  </si>
  <si>
    <t>MTC600 Professional Experience 3: Using Data to Inform Teaching and Learning</t>
  </si>
  <si>
    <t>MTC610 Professional Experience 4: Transition into the Profession</t>
  </si>
  <si>
    <t>MTEC506 Numeracy for Birth to 4 Year-Olds</t>
  </si>
  <si>
    <t>MTEC508 Humanities and Science in Early Childhood</t>
  </si>
  <si>
    <t>MTEC509 Creative and Media Arts in Early Childhood</t>
  </si>
  <si>
    <t>MTEC600 Early Literacies and Play-Based Pedagogies</t>
  </si>
  <si>
    <t>MTEC610 Philosophy, Management and Leadership in Early Childhood Education and Care</t>
  </si>
  <si>
    <t>MTPS504 Creative Technologies</t>
  </si>
  <si>
    <t>MTP501 Teaching Number, Algebra and Probability in the Primary Years</t>
  </si>
  <si>
    <t>MTP502 Primary Professional Experience 1: Planning for Writing</t>
  </si>
  <si>
    <t>MTP505 Teaching Science in the Primary Years</t>
  </si>
  <si>
    <t>MTP506 Primary Professional Experience 2: Assessment and Reporting</t>
  </si>
  <si>
    <t>MTC620 Schooling and Australian Society</t>
  </si>
  <si>
    <t>MTP504 Teaching Humanities and Social Sciences in the Primary Years</t>
  </si>
  <si>
    <t>MTP508 Statistics for Educators</t>
  </si>
  <si>
    <t>MTP509 Teaching Arts in the Primary Years</t>
  </si>
  <si>
    <t>MTP600 Extending English in the Primary Years</t>
  </si>
  <si>
    <t>MTPS501 Pedagogies for Diversity</t>
  </si>
  <si>
    <t>MTS500 Teaching in the Secondary School</t>
  </si>
  <si>
    <t>MTS501 Literacy and Numeracy across the Curriculum</t>
  </si>
  <si>
    <t>MTS502 Secondary Professional Experience 1: Planning</t>
  </si>
  <si>
    <t>MTS503 Managing the Learning Environment</t>
  </si>
  <si>
    <t>MTS504 Secondary Professional Experience 2: Assessment and Reporting</t>
  </si>
  <si>
    <t>Option</t>
  </si>
  <si>
    <t>MTS600 Research-Based Inquiry to Enhance Practice</t>
  </si>
  <si>
    <t>MTS506 Curriculum and Instruction Lower Secondary: The Arts</t>
  </si>
  <si>
    <t>MTS507 Curriculum and Instruction Lower Secondary: English</t>
  </si>
  <si>
    <t>MTS508 Curriculum and Instruction Lower Secondary: Humanities and Social Sciences</t>
  </si>
  <si>
    <t>MTS509 Curriculum and Instruction Lower Secondary: Mathematics</t>
  </si>
  <si>
    <t>MTS510 Curriculum and Instruction Lower Secondary: Science</t>
  </si>
  <si>
    <t>MTS511 Curriculum and Instruction Senior Secondary: The Arts</t>
  </si>
  <si>
    <t>MTS513 Curriculum and Instruction Senior Secondary: Humanities and Social Sciences</t>
  </si>
  <si>
    <t>MTS514 Curriculum and Instruction Senior Secondary: Mathematics</t>
  </si>
  <si>
    <t>MTS515 Curriculum and Instruction Senior Secondary: Science</t>
  </si>
  <si>
    <t>MTS512 Curriculum and Instruction Senior Secondary: English</t>
  </si>
  <si>
    <t>MTS516 Curriculum and Instruction Lower Secondary: Health and Physical Education</t>
  </si>
  <si>
    <t>MTS517 Curriculum and Instruction Senior Secondary: Health and Physical Education</t>
  </si>
  <si>
    <t>MTS520 Integrated Practice in the Secondary School</t>
  </si>
  <si>
    <t>MTC520 Mentoring, Coaching and Tutoring</t>
  </si>
  <si>
    <t>EDMC502 Negotiated Capstone Project</t>
  </si>
  <si>
    <t>EDML500 Language Acquisition</t>
  </si>
  <si>
    <t>EDML501 Language Teaching Methodologies</t>
  </si>
  <si>
    <t>EDML502 Language in Society</t>
  </si>
  <si>
    <t>EDML503 Language Teaching Course Design and Assessment</t>
  </si>
  <si>
    <t>EDML540 Special Topics in Applied Linguistics</t>
  </si>
  <si>
    <t>EDML550 Research Methods in Applied Linguistics</t>
  </si>
  <si>
    <t>TESOL502 Teaching English to Speakers of Other Languages Methodologies</t>
  </si>
  <si>
    <t>TESOL503 Introduction to Language</t>
  </si>
  <si>
    <t>TESOL504 Transcultural Communication</t>
  </si>
  <si>
    <t>Choose TESOL501 or TESOL505</t>
  </si>
  <si>
    <t>TESOL501 Materials Design and Assessment</t>
  </si>
  <si>
    <t>TESOL505 Language Teaching Practice</t>
  </si>
  <si>
    <t>EDMC500 Perspectives on Educational Research</t>
  </si>
  <si>
    <t>EDMC600 Education in the Post-Truth Era</t>
  </si>
  <si>
    <t>OptionMEd</t>
  </si>
  <si>
    <t>Choose a specialisation OR Choose Optional units from the list to the value of 100 credit points</t>
  </si>
  <si>
    <t>EDMS610 Designing STEM Integration</t>
  </si>
  <si>
    <t>EDMP600 Education for a Future: Learning for Sustainability</t>
  </si>
  <si>
    <t>EDMP610 Emerging Technologies and the Future of Learning</t>
  </si>
  <si>
    <t>EDMP620 Empowering Learners Through Social Justice Leadership</t>
  </si>
  <si>
    <t>EDML600 Leading Learning in Multilingual Contexts</t>
  </si>
  <si>
    <t>EDMP630 Pedagogies for Learner and Community Diversity</t>
  </si>
  <si>
    <t>EDMS600 Becoming a Leader of STEM Education</t>
  </si>
  <si>
    <t>LING6000</t>
  </si>
  <si>
    <t>Major</t>
  </si>
  <si>
    <t>Choose a Major</t>
  </si>
  <si>
    <t>OpenUnis SP 1</t>
  </si>
  <si>
    <t>OpenUnis SP 2</t>
  </si>
  <si>
    <t>OpenUnis SP 3</t>
  </si>
  <si>
    <t>OpenUnis SP 4</t>
  </si>
  <si>
    <t>Choose Options to the value of 100CP</t>
  </si>
  <si>
    <t>EDHE501 The Learning Cycle: Design and Curriculum</t>
  </si>
  <si>
    <t>EDHE502 Design Thinking and Educational Innovation</t>
  </si>
  <si>
    <t>EDHE504 Research for the Scholarship of Learning and Teaching</t>
  </si>
  <si>
    <t>EDHE505 Teaching Portfolio</t>
  </si>
  <si>
    <t>PivotTable copied from download of availabilities from S1 (check instructions before copy/pasting this table)</t>
  </si>
  <si>
    <t>Downloaded 2024:</t>
  </si>
  <si>
    <t>Count of Availability Available to Students Flag</t>
  </si>
  <si>
    <t>Column Labels</t>
  </si>
  <si>
    <t>Row Labels</t>
  </si>
  <si>
    <t>RangeUnitsetsOGEDUCAcc</t>
  </si>
  <si>
    <t>Graduate Diploma in Education (OpenUnis) (Accelerated)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</si>
</sst>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i/>
      <sz val="10"/>
      <color rgb="FF000000"/>
      <name val="Arial"/>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sz val="12"/>
      <color rgb="FFFF0000"/>
      <name val="Calibri"/>
      <family val="2"/>
      <scheme val="minor"/>
    </font>
    <font>
      <i/>
      <sz val="10"/>
      <color theme="0" tint="-0.499984740745262"/>
      <name val="Arial"/>
      <family val="2"/>
    </font>
    <font>
      <b/>
      <i/>
      <sz val="12"/>
      <color rgb="FFC00000"/>
      <name val="Calibri"/>
      <family val="2"/>
      <scheme val="minor"/>
    </font>
    <font>
      <b/>
      <sz val="10"/>
      <color rgb="FFC00000"/>
      <name val="Arial"/>
      <family val="2"/>
    </font>
    <font>
      <sz val="9"/>
      <color rgb="FFFF0000"/>
      <name val="Segoe UI"/>
      <family val="2"/>
    </font>
    <font>
      <b/>
      <sz val="10"/>
      <name val="Segoe UI"/>
      <family val="2"/>
    </font>
    <font>
      <b/>
      <sz val="10"/>
      <color theme="1"/>
      <name val="Segoe UI"/>
      <family val="2"/>
    </font>
    <font>
      <sz val="8"/>
      <color rgb="FFC00000"/>
      <name val="Arial"/>
      <family val="2"/>
    </font>
    <font>
      <i/>
      <sz val="8"/>
      <color theme="0" tint="-0.499984740745262"/>
      <name val="Arial"/>
      <family val="2"/>
    </font>
    <font>
      <b/>
      <i/>
      <sz val="8"/>
      <color theme="0" tint="-0.499984740745262"/>
      <name val="Arial"/>
      <family val="2"/>
    </font>
    <font>
      <b/>
      <sz val="9"/>
      <name val="Segoe UI"/>
      <family val="2"/>
    </font>
    <font>
      <b/>
      <sz val="16"/>
      <color theme="0"/>
      <name val="Segoe UI"/>
      <family val="2"/>
    </font>
    <font>
      <b/>
      <i/>
      <sz val="10"/>
      <color theme="0" tint="-0.499984740745262"/>
      <name val="Arial"/>
      <family val="2"/>
    </font>
    <font>
      <b/>
      <sz val="12"/>
      <color theme="0"/>
      <name val="Segoe UI"/>
      <family val="2"/>
    </font>
    <font>
      <i/>
      <sz val="8"/>
      <color theme="0" tint="-0.34998626667073579"/>
      <name val="Arial"/>
      <family val="2"/>
    </font>
    <font>
      <b/>
      <sz val="16"/>
      <color theme="1"/>
      <name val="Segoe UI"/>
      <family val="2"/>
    </font>
    <font>
      <sz val="12"/>
      <name val="Calibri"/>
      <family val="2"/>
      <scheme val="minor"/>
    </font>
    <font>
      <b/>
      <sz val="10"/>
      <color theme="0"/>
      <name val="Segoe UI"/>
      <family val="2"/>
    </font>
    <font>
      <sz val="10"/>
      <color theme="1"/>
      <name val="Arial"/>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999999"/>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7" tint="-0.249977111117893"/>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4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double">
        <color auto="1"/>
      </right>
      <top/>
      <bottom/>
      <diagonal/>
    </border>
    <border>
      <left style="thin">
        <color theme="0" tint="-0.24994659260841701"/>
      </left>
      <right style="thin">
        <color theme="0" tint="-0.24994659260841701"/>
      </right>
      <top style="thin">
        <color indexed="64"/>
      </top>
      <bottom/>
      <diagonal/>
    </border>
    <border>
      <left style="thin">
        <color theme="0" tint="-0.14990691854609822"/>
      </left>
      <right/>
      <top/>
      <bottom style="thin">
        <color theme="0" tint="-0.14993743705557422"/>
      </bottom>
      <diagonal/>
    </border>
    <border>
      <left/>
      <right style="thin">
        <color theme="0" tint="-0.1498764000366222"/>
      </right>
      <top/>
      <bottom style="thin">
        <color theme="0" tint="-0.14993743705557422"/>
      </bottom>
      <diagonal/>
    </border>
    <border>
      <left/>
      <right style="thin">
        <color theme="0" tint="-0.14990691854609822"/>
      </right>
      <top/>
      <bottom style="thin">
        <color theme="0" tint="-0.14993743705557422"/>
      </bottom>
      <diagonal/>
    </border>
    <border>
      <left/>
      <right style="thin">
        <color theme="0" tint="-0.1498764000366222"/>
      </right>
      <top/>
      <bottom/>
      <diagonal/>
    </border>
    <border>
      <left/>
      <right style="thin">
        <color theme="0" tint="-0.1498764000366222"/>
      </right>
      <top style="thin">
        <color theme="0" tint="-0.14993743705557422"/>
      </top>
      <bottom style="thin">
        <color theme="0" tint="-0.14993743705557422"/>
      </bottom>
      <diagonal/>
    </border>
    <border>
      <left style="thin">
        <color theme="0" tint="-0.24994659260841701"/>
      </left>
      <right style="thin">
        <color theme="0" tint="-0.2499465926084170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24994659260841701"/>
      </right>
      <top style="thin">
        <color indexed="64"/>
      </top>
      <bottom/>
      <diagonal/>
    </border>
    <border>
      <left style="thin">
        <color theme="0" tint="-0.24994659260841701"/>
      </left>
      <right style="medium">
        <color indexed="64"/>
      </right>
      <top style="thin">
        <color indexed="64"/>
      </top>
      <bottom/>
      <diagonal/>
    </border>
    <border>
      <left style="medium">
        <color indexed="64"/>
      </left>
      <right style="thin">
        <color theme="0" tint="-0.24994659260841701"/>
      </right>
      <top/>
      <bottom/>
      <diagonal/>
    </border>
    <border>
      <left style="thin">
        <color theme="0" tint="-0.24994659260841701"/>
      </left>
      <right style="medium">
        <color indexed="64"/>
      </right>
      <top/>
      <bottom/>
      <diagonal/>
    </border>
  </borders>
  <cellStyleXfs count="3">
    <xf numFmtId="0" fontId="0" fillId="0" borderId="0"/>
    <xf numFmtId="0" fontId="1" fillId="0" borderId="0"/>
    <xf numFmtId="0" fontId="28" fillId="0" borderId="0" applyNumberFormat="0" applyFill="0" applyBorder="0" applyAlignment="0" applyProtection="0"/>
  </cellStyleXfs>
  <cellXfs count="438">
    <xf numFmtId="0" fontId="0" fillId="0" borderId="0" xfId="0"/>
    <xf numFmtId="0" fontId="0" fillId="0" borderId="0" xfId="0" applyAlignment="1">
      <alignment horizontal="center"/>
    </xf>
    <xf numFmtId="0" fontId="5" fillId="0" borderId="0" xfId="0" applyFont="1"/>
    <xf numFmtId="0" fontId="10" fillId="0" borderId="0" xfId="0" applyFont="1"/>
    <xf numFmtId="0" fontId="10" fillId="0" borderId="0" xfId="0" applyFont="1" applyAlignment="1">
      <alignment horizontal="center"/>
    </xf>
    <xf numFmtId="0" fontId="5" fillId="4" borderId="0" xfId="0" applyFont="1" applyFill="1"/>
    <xf numFmtId="0" fontId="5" fillId="4" borderId="0" xfId="0" applyFont="1" applyFill="1" applyAlignment="1">
      <alignment horizontal="center"/>
    </xf>
    <xf numFmtId="0" fontId="5" fillId="4" borderId="0" xfId="0" applyFont="1" applyFill="1" applyAlignment="1">
      <alignment horizontal="left"/>
    </xf>
    <xf numFmtId="0" fontId="5" fillId="4" borderId="7" xfId="0" applyFont="1" applyFill="1" applyBorder="1" applyAlignment="1">
      <alignment horizontal="left"/>
    </xf>
    <xf numFmtId="0" fontId="18" fillId="0" borderId="12" xfId="1" applyFont="1" applyBorder="1" applyAlignment="1">
      <alignment horizontal="center"/>
    </xf>
    <xf numFmtId="0" fontId="18" fillId="0" borderId="13" xfId="1" applyFont="1" applyBorder="1" applyAlignment="1">
      <alignment horizontal="center"/>
    </xf>
    <xf numFmtId="0" fontId="18" fillId="0" borderId="13" xfId="1" applyFont="1" applyBorder="1"/>
    <xf numFmtId="0" fontId="18" fillId="0" borderId="14" xfId="1" applyFont="1" applyBorder="1"/>
    <xf numFmtId="0" fontId="1" fillId="0" borderId="0" xfId="1"/>
    <xf numFmtId="0" fontId="19" fillId="5" borderId="16" xfId="1" applyFont="1" applyFill="1" applyBorder="1" applyAlignment="1">
      <alignment vertical="center"/>
    </xf>
    <xf numFmtId="0" fontId="19" fillId="5" borderId="17" xfId="1" applyFont="1" applyFill="1" applyBorder="1" applyAlignment="1">
      <alignment vertical="center"/>
    </xf>
    <xf numFmtId="0" fontId="1" fillId="0" borderId="0" xfId="1" applyAlignment="1">
      <alignment horizontal="center"/>
    </xf>
    <xf numFmtId="0" fontId="20" fillId="2" borderId="0" xfId="1" applyFont="1" applyFill="1" applyAlignment="1">
      <alignment horizontal="right" vertical="center" indent="1"/>
    </xf>
    <xf numFmtId="0" fontId="20" fillId="2" borderId="0" xfId="1" applyFont="1" applyFill="1" applyAlignment="1">
      <alignment vertical="center"/>
    </xf>
    <xf numFmtId="14" fontId="22" fillId="2" borderId="0" xfId="1" applyNumberFormat="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1" fillId="0" borderId="0" xfId="1" applyProtection="1">
      <protection locked="0"/>
    </xf>
    <xf numFmtId="0" fontId="24" fillId="2" borderId="0" xfId="1" applyFont="1" applyFill="1" applyAlignment="1" applyProtection="1">
      <alignment vertical="center"/>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4" fillId="2" borderId="0" xfId="1" applyFont="1" applyFill="1" applyAlignment="1" applyProtection="1">
      <alignment wrapText="1"/>
      <protection locked="0"/>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5" borderId="14" xfId="1" applyFont="1" applyFill="1" applyBorder="1" applyAlignment="1">
      <alignment horizontal="center" vertical="center" wrapText="1"/>
    </xf>
    <xf numFmtId="0" fontId="22" fillId="5" borderId="0" xfId="1" applyFont="1" applyFill="1" applyAlignment="1">
      <alignment horizontal="center" vertical="center" wrapText="1"/>
    </xf>
    <xf numFmtId="0" fontId="22" fillId="5" borderId="0" xfId="1" applyFont="1" applyFill="1" applyAlignment="1">
      <alignment vertical="center" wrapText="1"/>
    </xf>
    <xf numFmtId="0" fontId="25" fillId="5" borderId="0" xfId="1" applyFont="1" applyFill="1" applyAlignment="1">
      <alignment horizontal="left" vertical="center" wrapText="1"/>
    </xf>
    <xf numFmtId="0" fontId="22" fillId="5" borderId="18" xfId="1" applyFont="1" applyFill="1" applyBorder="1" applyAlignment="1" applyProtection="1">
      <alignment horizontal="center" vertical="center" wrapText="1"/>
      <protection locked="0"/>
    </xf>
    <xf numFmtId="0" fontId="26" fillId="0" borderId="0" xfId="1" applyFont="1" applyAlignment="1" applyProtection="1">
      <alignment vertical="center" wrapText="1"/>
      <protection locked="0"/>
    </xf>
    <xf numFmtId="0" fontId="24" fillId="2" borderId="0" xfId="1" applyFont="1" applyFill="1" applyProtection="1">
      <protection locked="0"/>
    </xf>
    <xf numFmtId="0" fontId="25" fillId="2" borderId="0" xfId="1" applyFont="1" applyFill="1" applyProtection="1">
      <protection locked="0"/>
    </xf>
    <xf numFmtId="0" fontId="25" fillId="2" borderId="0" xfId="1" applyFont="1" applyFill="1"/>
    <xf numFmtId="0" fontId="29" fillId="5" borderId="0" xfId="2" applyFont="1" applyFill="1" applyAlignment="1" applyProtection="1">
      <alignment vertical="center"/>
    </xf>
    <xf numFmtId="0" fontId="28" fillId="5" borderId="0" xfId="2" applyFill="1" applyAlignment="1" applyProtection="1">
      <alignment vertical="center"/>
    </xf>
    <xf numFmtId="0" fontId="31" fillId="2" borderId="0" xfId="1" applyFont="1" applyFill="1" applyAlignment="1">
      <alignment vertical="center"/>
    </xf>
    <xf numFmtId="0" fontId="33" fillId="2" borderId="0" xfId="1" applyFont="1" applyFill="1" applyAlignment="1">
      <alignment vertical="center"/>
    </xf>
    <xf numFmtId="0" fontId="34"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1" fillId="0" borderId="0" xfId="1" applyAlignment="1" applyProtection="1">
      <alignment horizontal="center" vertical="top"/>
      <protection locked="0"/>
    </xf>
    <xf numFmtId="0" fontId="1" fillId="0" borderId="0" xfId="1" applyAlignment="1">
      <alignment horizontal="center" vertical="top"/>
    </xf>
    <xf numFmtId="0" fontId="35" fillId="0" borderId="20" xfId="1" applyFont="1" applyBorder="1" applyAlignment="1">
      <alignment horizontal="left" vertical="center"/>
    </xf>
    <xf numFmtId="0" fontId="35" fillId="0" borderId="20" xfId="1" applyFont="1" applyBorder="1" applyAlignment="1">
      <alignment vertical="center"/>
    </xf>
    <xf numFmtId="0" fontId="35" fillId="0" borderId="20" xfId="1" applyFont="1" applyBorder="1" applyAlignment="1">
      <alignment vertical="center" wrapText="1"/>
    </xf>
    <xf numFmtId="0" fontId="35" fillId="0" borderId="20" xfId="1" applyFont="1" applyBorder="1" applyAlignment="1">
      <alignment horizontal="center" vertical="center" wrapText="1"/>
    </xf>
    <xf numFmtId="0" fontId="12" fillId="2" borderId="0" xfId="1" applyFont="1" applyFill="1" applyAlignment="1">
      <alignment vertical="center"/>
    </xf>
    <xf numFmtId="0" fontId="33" fillId="2" borderId="0" xfId="1" applyFont="1" applyFill="1" applyAlignment="1">
      <alignment horizontal="right" vertical="center"/>
    </xf>
    <xf numFmtId="0" fontId="18" fillId="0" borderId="0" xfId="0" applyFont="1" applyAlignment="1">
      <alignment horizontal="center"/>
    </xf>
    <xf numFmtId="0" fontId="25" fillId="2" borderId="20" xfId="1" applyFont="1" applyFill="1" applyBorder="1" applyAlignment="1">
      <alignment horizontal="center" vertical="center" wrapText="1"/>
    </xf>
    <xf numFmtId="0" fontId="22" fillId="2" borderId="20" xfId="1" applyFont="1" applyFill="1" applyBorder="1" applyAlignment="1">
      <alignment horizontal="center" vertical="center" wrapText="1"/>
    </xf>
    <xf numFmtId="0" fontId="22" fillId="0" borderId="21" xfId="1" applyFont="1" applyBorder="1" applyAlignment="1">
      <alignment horizontal="center" vertical="center" wrapText="1"/>
    </xf>
    <xf numFmtId="0" fontId="22" fillId="0" borderId="20" xfId="1" applyFont="1" applyBorder="1" applyAlignment="1">
      <alignment horizontal="center" vertical="center" wrapText="1"/>
    </xf>
    <xf numFmtId="0" fontId="22" fillId="0" borderId="20" xfId="1" applyFont="1" applyBorder="1" applyAlignment="1">
      <alignment vertical="center" wrapText="1"/>
    </xf>
    <xf numFmtId="0" fontId="22" fillId="2" borderId="21" xfId="1" applyFont="1" applyFill="1" applyBorder="1" applyAlignment="1" applyProtection="1">
      <alignment horizontal="left" vertical="center" wrapText="1"/>
      <protection locked="0"/>
    </xf>
    <xf numFmtId="0" fontId="22" fillId="0" borderId="20" xfId="1" applyFont="1" applyBorder="1" applyAlignment="1">
      <alignment horizontal="left" vertical="center"/>
    </xf>
    <xf numFmtId="0" fontId="22" fillId="2" borderId="19" xfId="1" applyFont="1" applyFill="1" applyBorder="1" applyAlignment="1">
      <alignment horizontal="center" vertical="center" wrapText="1"/>
    </xf>
    <xf numFmtId="0" fontId="22" fillId="2" borderId="20" xfId="1" applyFont="1" applyFill="1" applyBorder="1" applyAlignment="1">
      <alignment vertical="center" wrapText="1"/>
    </xf>
    <xf numFmtId="0" fontId="22" fillId="2" borderId="21" xfId="1" applyFont="1" applyFill="1" applyBorder="1" applyAlignment="1" applyProtection="1">
      <alignment horizontal="center" vertical="center" wrapText="1"/>
      <protection locked="0"/>
    </xf>
    <xf numFmtId="0" fontId="22" fillId="0" borderId="21" xfId="1" applyFont="1" applyBorder="1" applyAlignment="1" applyProtection="1">
      <alignment horizontal="center" vertical="center" wrapText="1"/>
      <protection locked="0"/>
    </xf>
    <xf numFmtId="0" fontId="22" fillId="2" borderId="24"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22" fillId="0" borderId="24" xfId="1" applyFont="1" applyBorder="1" applyAlignment="1">
      <alignment horizontal="center" vertical="center" wrapText="1"/>
    </xf>
    <xf numFmtId="0" fontId="22" fillId="0" borderId="25" xfId="1" applyFont="1" applyBorder="1" applyAlignment="1">
      <alignment horizontal="center" vertical="center" wrapText="1"/>
    </xf>
    <xf numFmtId="0" fontId="42" fillId="5" borderId="17" xfId="1" applyFont="1" applyFill="1" applyBorder="1" applyAlignment="1">
      <alignment vertical="center"/>
    </xf>
    <xf numFmtId="0" fontId="5" fillId="4" borderId="11" xfId="0" applyFont="1" applyFill="1" applyBorder="1" applyAlignment="1">
      <alignment horizontal="left"/>
    </xf>
    <xf numFmtId="0" fontId="26" fillId="0" borderId="0" xfId="1" applyFont="1" applyAlignment="1" applyProtection="1">
      <alignment horizontal="left" vertical="top" wrapText="1"/>
      <protection locked="0"/>
    </xf>
    <xf numFmtId="0" fontId="27" fillId="2" borderId="0" xfId="1" applyFont="1" applyFill="1" applyAlignment="1">
      <alignment horizontal="centerContinuous" vertical="center" wrapText="1"/>
    </xf>
    <xf numFmtId="0" fontId="22" fillId="0" borderId="0" xfId="1" applyFont="1" applyAlignment="1" applyProtection="1">
      <alignment vertical="top"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4"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0" fontId="9" fillId="0" borderId="0" xfId="0" applyFont="1" applyAlignment="1" applyProtection="1">
      <alignment horizontal="left" vertical="center"/>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37" fillId="6" borderId="0" xfId="0" applyFont="1" applyFill="1"/>
    <xf numFmtId="0" fontId="3" fillId="6" borderId="0" xfId="0" applyFont="1" applyFill="1" applyAlignment="1">
      <alignment horizontal="center" vertical="center"/>
    </xf>
    <xf numFmtId="0" fontId="37" fillId="6" borderId="0" xfId="0" applyFont="1" applyFill="1" applyAlignment="1">
      <alignment horizontal="center" vertical="center" wrapText="1"/>
    </xf>
    <xf numFmtId="0" fontId="0" fillId="6" borderId="0" xfId="0" applyFill="1" applyAlignment="1">
      <alignment wrapText="1"/>
    </xf>
    <xf numFmtId="0" fontId="6" fillId="0" borderId="26" xfId="0" applyFont="1" applyBorder="1"/>
    <xf numFmtId="0" fontId="6" fillId="0" borderId="0" xfId="0" applyFont="1" applyAlignment="1">
      <alignment horizontal="center"/>
    </xf>
    <xf numFmtId="0" fontId="6" fillId="0" borderId="0" xfId="0" applyFont="1"/>
    <xf numFmtId="0" fontId="6" fillId="0" borderId="0" xfId="0" applyFont="1" applyAlignment="1">
      <alignment horizontal="center" vertical="center"/>
    </xf>
    <xf numFmtId="0" fontId="6" fillId="0" borderId="28" xfId="0" applyFont="1" applyBorder="1" applyAlignment="1">
      <alignment horizontal="center"/>
    </xf>
    <xf numFmtId="0" fontId="0" fillId="0" borderId="28" xfId="0" applyBorder="1"/>
    <xf numFmtId="0" fontId="6" fillId="0" borderId="28" xfId="0" applyFont="1" applyBorder="1"/>
    <xf numFmtId="0" fontId="6" fillId="0" borderId="28" xfId="0" applyFont="1" applyBorder="1" applyAlignment="1">
      <alignment horizontal="center" vertical="center"/>
    </xf>
    <xf numFmtId="0" fontId="0" fillId="0" borderId="28" xfId="0" applyBorder="1" applyAlignment="1">
      <alignment horizontal="center"/>
    </xf>
    <xf numFmtId="0" fontId="10" fillId="0" borderId="26" xfId="0" applyFont="1" applyBorder="1"/>
    <xf numFmtId="0" fontId="45" fillId="0" borderId="0" xfId="0" applyFont="1"/>
    <xf numFmtId="0" fontId="45" fillId="0" borderId="0" xfId="0" applyFont="1" applyAlignment="1">
      <alignment horizontal="right"/>
    </xf>
    <xf numFmtId="14" fontId="45" fillId="0" borderId="0" xfId="0" applyNumberFormat="1" applyFont="1"/>
    <xf numFmtId="0" fontId="45" fillId="0" borderId="0" xfId="0" applyFont="1" applyAlignment="1">
      <alignment horizontal="center"/>
    </xf>
    <xf numFmtId="0" fontId="0" fillId="0" borderId="29" xfId="0" applyBorder="1" applyAlignment="1">
      <alignment horizontal="center"/>
    </xf>
    <xf numFmtId="0" fontId="10" fillId="7" borderId="4" xfId="0" applyFont="1" applyFill="1" applyBorder="1" applyAlignment="1">
      <alignment horizontal="center"/>
    </xf>
    <xf numFmtId="0" fontId="10" fillId="7" borderId="5" xfId="0" applyFont="1" applyFill="1" applyBorder="1" applyAlignment="1">
      <alignment horizontal="center"/>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46" fillId="9" borderId="0" xfId="0" applyFont="1" applyFill="1" applyAlignment="1">
      <alignment horizontal="right"/>
    </xf>
    <xf numFmtId="0" fontId="10" fillId="0" borderId="27" xfId="0" applyFont="1" applyBorder="1"/>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0" fillId="7" borderId="30" xfId="0" applyFont="1" applyFill="1" applyBorder="1" applyAlignment="1">
      <alignment horizontal="center"/>
    </xf>
    <xf numFmtId="0" fontId="5" fillId="4" borderId="1" xfId="0" applyFont="1" applyFill="1" applyBorder="1" applyAlignment="1">
      <alignment horizontal="left" wrapText="1"/>
    </xf>
    <xf numFmtId="0" fontId="5" fillId="4" borderId="3" xfId="0" applyFont="1" applyFill="1" applyBorder="1" applyAlignment="1">
      <alignment horizontal="left" wrapText="1"/>
    </xf>
    <xf numFmtId="0" fontId="5" fillId="4" borderId="2" xfId="0" applyFont="1" applyFill="1" applyBorder="1" applyAlignment="1">
      <alignment horizontal="left" wrapText="1"/>
    </xf>
    <xf numFmtId="0" fontId="47" fillId="5" borderId="23" xfId="1" applyFont="1" applyFill="1" applyBorder="1" applyAlignment="1">
      <alignment horizontal="center" vertical="center" wrapText="1"/>
    </xf>
    <xf numFmtId="0" fontId="39" fillId="10" borderId="0" xfId="1" applyFont="1" applyFill="1" applyAlignment="1">
      <alignment vertical="center" wrapText="1"/>
    </xf>
    <xf numFmtId="0" fontId="36" fillId="10" borderId="0" xfId="1" applyFont="1" applyFill="1" applyAlignment="1">
      <alignment horizontal="left" vertical="center" readingOrder="1"/>
    </xf>
    <xf numFmtId="0" fontId="21" fillId="10" borderId="0" xfId="1" applyFont="1" applyFill="1" applyAlignment="1">
      <alignment horizontal="left" vertical="center" readingOrder="1"/>
    </xf>
    <xf numFmtId="0" fontId="41" fillId="10" borderId="0" xfId="1" applyFont="1" applyFill="1" applyAlignment="1">
      <alignment horizontal="center" vertical="center" readingOrder="1"/>
    </xf>
    <xf numFmtId="0" fontId="23" fillId="10" borderId="23" xfId="1" applyFont="1" applyFill="1" applyBorder="1" applyAlignment="1">
      <alignment vertical="center" readingOrder="1"/>
    </xf>
    <xf numFmtId="0" fontId="23" fillId="10" borderId="0" xfId="1" applyFont="1" applyFill="1" applyAlignment="1">
      <alignment vertical="center" readingOrder="1"/>
    </xf>
    <xf numFmtId="0" fontId="41" fillId="10" borderId="0" xfId="1" applyFont="1" applyFill="1" applyAlignment="1">
      <alignment vertical="center" readingOrder="1"/>
    </xf>
    <xf numFmtId="0" fontId="41" fillId="10" borderId="18" xfId="1" applyFont="1" applyFill="1" applyBorder="1" applyAlignment="1">
      <alignment vertical="center" readingOrder="1"/>
    </xf>
    <xf numFmtId="0" fontId="38" fillId="10" borderId="0" xfId="1" applyFont="1" applyFill="1"/>
    <xf numFmtId="0" fontId="3" fillId="0" borderId="8" xfId="0" quotePrefix="1" applyFont="1" applyBorder="1" applyAlignment="1" applyProtection="1">
      <alignment horizontal="center" vertical="center"/>
      <protection locked="0"/>
    </xf>
    <xf numFmtId="0" fontId="3" fillId="0" borderId="9" xfId="0" quotePrefix="1" applyFont="1" applyBorder="1" applyAlignment="1" applyProtection="1">
      <alignment horizontal="center" vertical="center"/>
      <protection locked="0"/>
    </xf>
    <xf numFmtId="0" fontId="6" fillId="0" borderId="4" xfId="0" applyFont="1" applyBorder="1"/>
    <xf numFmtId="0" fontId="6" fillId="0" borderId="5" xfId="0" applyFont="1" applyBorder="1" applyAlignment="1">
      <alignment horizontal="center"/>
    </xf>
    <xf numFmtId="0" fontId="0" fillId="0" borderId="5" xfId="0" applyBorder="1"/>
    <xf numFmtId="0" fontId="6" fillId="0" borderId="5" xfId="0" applyFont="1" applyBorder="1"/>
    <xf numFmtId="0" fontId="6" fillId="0" borderId="5" xfId="0" applyFont="1" applyBorder="1" applyAlignment="1">
      <alignment horizontal="center" vertical="center"/>
    </xf>
    <xf numFmtId="0" fontId="0" fillId="0" borderId="5" xfId="0" applyBorder="1" applyAlignment="1">
      <alignment horizontal="center"/>
    </xf>
    <xf numFmtId="0" fontId="6" fillId="0" borderId="10" xfId="0" applyFont="1" applyBorder="1"/>
    <xf numFmtId="0" fontId="6" fillId="0" borderId="11" xfId="0" applyFont="1" applyBorder="1" applyAlignment="1">
      <alignment horizontal="center"/>
    </xf>
    <xf numFmtId="0" fontId="0" fillId="0" borderId="11" xfId="0" applyBorder="1"/>
    <xf numFmtId="0" fontId="6" fillId="0" borderId="11" xfId="0" applyFont="1" applyBorder="1"/>
    <xf numFmtId="0" fontId="6" fillId="0" borderId="11" xfId="0" applyFont="1" applyBorder="1" applyAlignment="1">
      <alignment horizontal="center" vertical="center"/>
    </xf>
    <xf numFmtId="0" fontId="0" fillId="0" borderId="11" xfId="0" applyBorder="1" applyAlignment="1">
      <alignment horizontal="center"/>
    </xf>
    <xf numFmtId="0" fontId="10" fillId="0" borderId="4" xfId="0" applyFont="1" applyBorder="1"/>
    <xf numFmtId="0" fontId="10" fillId="0" borderId="10" xfId="0" applyFont="1" applyBorder="1"/>
    <xf numFmtId="0" fontId="23" fillId="11" borderId="0" xfId="1" applyFont="1" applyFill="1" applyAlignment="1">
      <alignment horizontal="center" vertical="center"/>
    </xf>
    <xf numFmtId="0" fontId="23" fillId="11" borderId="0" xfId="1" applyFont="1" applyFill="1" applyAlignment="1">
      <alignment horizontal="left" vertical="center" indent="1"/>
    </xf>
    <xf numFmtId="0" fontId="23" fillId="11" borderId="0" xfId="1" applyFont="1" applyFill="1" applyAlignment="1">
      <alignment vertical="center"/>
    </xf>
    <xf numFmtId="0" fontId="23" fillId="11" borderId="23" xfId="1" applyFont="1" applyFill="1" applyBorder="1" applyAlignment="1">
      <alignment horizontal="left" vertical="center"/>
    </xf>
    <xf numFmtId="0" fontId="23" fillId="11" borderId="18" xfId="1" applyFont="1" applyFill="1" applyBorder="1" applyAlignment="1">
      <alignment horizontal="left" vertical="center"/>
    </xf>
    <xf numFmtId="0" fontId="23" fillId="11" borderId="0" xfId="1" applyFont="1" applyFill="1" applyAlignment="1" applyProtection="1">
      <alignment vertical="center"/>
      <protection locked="0"/>
    </xf>
    <xf numFmtId="0" fontId="23" fillId="11" borderId="0" xfId="1" applyFont="1" applyFill="1" applyAlignment="1" applyProtection="1">
      <alignment horizontal="center" vertical="center"/>
      <protection locked="0"/>
    </xf>
    <xf numFmtId="0" fontId="23" fillId="11" borderId="31" xfId="1" applyFont="1" applyFill="1" applyBorder="1" applyAlignment="1">
      <alignment horizontal="center" vertical="center" wrapText="1"/>
    </xf>
    <xf numFmtId="0" fontId="23" fillId="11" borderId="33" xfId="1" applyFont="1" applyFill="1" applyBorder="1" applyAlignment="1">
      <alignment horizontal="center" vertical="center" wrapText="1"/>
    </xf>
    <xf numFmtId="0" fontId="10" fillId="0" borderId="0" xfId="0" quotePrefix="1" applyFont="1"/>
    <xf numFmtId="0" fontId="48" fillId="2" borderId="0" xfId="1" applyFont="1" applyFill="1" applyAlignment="1">
      <alignment vertical="center"/>
    </xf>
    <xf numFmtId="0" fontId="49" fillId="2" borderId="0" xfId="1" applyFont="1" applyFill="1" applyAlignment="1">
      <alignment vertical="center"/>
    </xf>
    <xf numFmtId="0" fontId="10" fillId="7" borderId="6" xfId="0" applyFont="1" applyFill="1" applyBorder="1" applyAlignment="1">
      <alignment horizontal="center"/>
    </xf>
    <xf numFmtId="0" fontId="5" fillId="4" borderId="3" xfId="0" applyFont="1" applyFill="1" applyBorder="1" applyAlignment="1">
      <alignment horizontal="left"/>
    </xf>
    <xf numFmtId="0" fontId="23" fillId="11" borderId="34" xfId="1" applyFont="1" applyFill="1" applyBorder="1" applyAlignment="1">
      <alignment horizontal="left" vertical="center"/>
    </xf>
    <xf numFmtId="0" fontId="45" fillId="0" borderId="0" xfId="0" applyFont="1" applyAlignment="1">
      <alignment horizontal="left"/>
    </xf>
    <xf numFmtId="0" fontId="18" fillId="0" borderId="0" xfId="1" applyFont="1" applyAlignment="1">
      <alignment horizontal="center"/>
    </xf>
    <xf numFmtId="0" fontId="18" fillId="0" borderId="0" xfId="1" applyFont="1"/>
    <xf numFmtId="0" fontId="50" fillId="0" borderId="0" xfId="1" applyFont="1" applyAlignment="1">
      <alignment horizontal="center"/>
    </xf>
    <xf numFmtId="0" fontId="23" fillId="11" borderId="0" xfId="1" applyFont="1" applyFill="1" applyAlignment="1">
      <alignment horizontal="left" vertical="center"/>
    </xf>
    <xf numFmtId="0" fontId="23" fillId="11" borderId="22" xfId="1" applyFont="1" applyFill="1" applyBorder="1" applyAlignment="1">
      <alignment horizontal="center" vertical="center" wrapText="1"/>
    </xf>
    <xf numFmtId="0" fontId="23" fillId="11" borderId="32" xfId="1" applyFont="1" applyFill="1" applyBorder="1" applyAlignment="1">
      <alignment horizontal="center" vertical="center" wrapText="1"/>
    </xf>
    <xf numFmtId="0" fontId="22" fillId="2" borderId="35" xfId="1" applyFont="1" applyFill="1" applyBorder="1" applyAlignment="1">
      <alignment horizontal="center" vertical="center" wrapText="1"/>
    </xf>
    <xf numFmtId="0" fontId="47" fillId="5" borderId="0" xfId="1" applyFont="1" applyFill="1" applyAlignment="1">
      <alignment horizontal="center" vertical="center" wrapText="1"/>
    </xf>
    <xf numFmtId="0" fontId="47" fillId="5" borderId="34" xfId="1" applyFont="1" applyFill="1" applyBorder="1" applyAlignment="1">
      <alignment horizontal="center" vertical="center" wrapText="1"/>
    </xf>
    <xf numFmtId="0" fontId="22" fillId="0" borderId="35" xfId="1" applyFont="1" applyBorder="1" applyAlignment="1">
      <alignment horizontal="center" vertical="center" wrapText="1"/>
    </xf>
    <xf numFmtId="0" fontId="23" fillId="11" borderId="0" xfId="1" applyFont="1" applyFill="1" applyAlignment="1">
      <alignment horizontal="center" vertical="center" wrapText="1"/>
    </xf>
    <xf numFmtId="0" fontId="10" fillId="7" borderId="36" xfId="0" applyFont="1" applyFill="1" applyBorder="1" applyAlignment="1">
      <alignment horizontal="center"/>
    </xf>
    <xf numFmtId="0" fontId="10" fillId="8" borderId="0" xfId="0" applyFont="1" applyFill="1" applyAlignment="1">
      <alignment wrapText="1"/>
    </xf>
    <xf numFmtId="0" fontId="7" fillId="8" borderId="0" xfId="0" applyFont="1" applyFill="1" applyAlignment="1">
      <alignment wrapText="1"/>
    </xf>
    <xf numFmtId="0" fontId="22" fillId="2" borderId="0" xfId="1" applyFont="1" applyFill="1" applyAlignment="1">
      <alignment horizontal="right" vertical="center" indent="1"/>
    </xf>
    <xf numFmtId="0" fontId="5" fillId="0" borderId="0" xfId="0" applyFont="1" applyAlignment="1" applyProtection="1">
      <alignment horizontal="left"/>
      <protection locked="0"/>
    </xf>
    <xf numFmtId="0" fontId="3" fillId="12" borderId="8" xfId="0" applyFont="1" applyFill="1" applyBorder="1" applyAlignment="1" applyProtection="1">
      <alignment horizontal="center" vertical="center"/>
      <protection locked="0"/>
    </xf>
    <xf numFmtId="0" fontId="3" fillId="7" borderId="8" xfId="0" applyFont="1" applyFill="1" applyBorder="1" applyAlignment="1" applyProtection="1">
      <alignment horizontal="center" vertical="center"/>
      <protection locked="0"/>
    </xf>
    <xf numFmtId="0" fontId="3" fillId="12" borderId="6" xfId="0" applyFont="1" applyFill="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51" fillId="0" borderId="38" xfId="0" applyFont="1" applyBorder="1" applyAlignment="1" applyProtection="1">
      <alignment horizontal="center" vertical="center"/>
      <protection locked="0"/>
    </xf>
    <xf numFmtId="0" fontId="51" fillId="0" borderId="39" xfId="0" applyFont="1" applyBorder="1" applyAlignment="1" applyProtection="1">
      <alignment horizontal="center" vertical="center"/>
      <protection locked="0"/>
    </xf>
    <xf numFmtId="0" fontId="52" fillId="0" borderId="0" xfId="0" applyFont="1" applyAlignment="1" applyProtection="1">
      <alignment horizontal="left"/>
      <protection locked="0"/>
    </xf>
    <xf numFmtId="0" fontId="11" fillId="0" borderId="4" xfId="0" applyFont="1" applyBorder="1" applyProtection="1">
      <protection locked="0"/>
    </xf>
    <xf numFmtId="0" fontId="11" fillId="0" borderId="7" xfId="0" applyFont="1" applyBorder="1" applyProtection="1">
      <protection locked="0"/>
    </xf>
    <xf numFmtId="0" fontId="11" fillId="0" borderId="10" xfId="0" applyFont="1" applyBorder="1" applyProtection="1">
      <protection locked="0"/>
    </xf>
    <xf numFmtId="0" fontId="53" fillId="2" borderId="0" xfId="1" applyFont="1" applyFill="1" applyAlignment="1">
      <alignment vertical="center"/>
    </xf>
    <xf numFmtId="0" fontId="2" fillId="3" borderId="37" xfId="0" applyFont="1" applyFill="1" applyBorder="1" applyAlignment="1" applyProtection="1">
      <alignment horizontal="right" vertical="center"/>
      <protection locked="0"/>
    </xf>
    <xf numFmtId="0" fontId="35" fillId="12" borderId="20" xfId="1" applyFont="1" applyFill="1" applyBorder="1" applyAlignment="1">
      <alignment horizontal="left" vertical="center"/>
    </xf>
    <xf numFmtId="0" fontId="35" fillId="12" borderId="20" xfId="1" applyFont="1" applyFill="1" applyBorder="1" applyAlignment="1">
      <alignment vertical="center"/>
    </xf>
    <xf numFmtId="0" fontId="35" fillId="12" borderId="20" xfId="1" applyFont="1" applyFill="1" applyBorder="1" applyAlignment="1">
      <alignment vertical="center" wrapText="1"/>
    </xf>
    <xf numFmtId="0" fontId="35" fillId="12" borderId="20" xfId="1" applyFont="1" applyFill="1" applyBorder="1" applyAlignment="1">
      <alignment horizontal="center" vertical="center" wrapText="1"/>
    </xf>
    <xf numFmtId="0" fontId="22" fillId="12" borderId="24" xfId="1" applyFont="1" applyFill="1" applyBorder="1" applyAlignment="1">
      <alignment horizontal="center" vertical="center" wrapText="1"/>
    </xf>
    <xf numFmtId="0" fontId="22" fillId="12" borderId="20" xfId="1" applyFont="1" applyFill="1" applyBorder="1" applyAlignment="1">
      <alignment horizontal="center" vertical="center" wrapText="1"/>
    </xf>
    <xf numFmtId="0" fontId="22" fillId="12" borderId="25" xfId="1" applyFont="1" applyFill="1" applyBorder="1" applyAlignment="1">
      <alignment horizontal="center" vertical="center" wrapText="1"/>
    </xf>
    <xf numFmtId="0" fontId="22" fillId="12" borderId="21" xfId="1" applyFont="1" applyFill="1" applyBorder="1" applyAlignment="1">
      <alignment horizontal="center" vertical="center" wrapText="1"/>
    </xf>
    <xf numFmtId="0" fontId="26" fillId="12" borderId="0" xfId="1" applyFont="1" applyFill="1" applyAlignment="1" applyProtection="1">
      <alignment horizontal="left" vertical="top" wrapText="1"/>
      <protection locked="0"/>
    </xf>
    <xf numFmtId="0" fontId="35" fillId="7" borderId="20" xfId="1" applyFont="1" applyFill="1" applyBorder="1" applyAlignment="1">
      <alignment horizontal="left" vertical="center"/>
    </xf>
    <xf numFmtId="0" fontId="35" fillId="7" borderId="20" xfId="1" applyFont="1" applyFill="1" applyBorder="1" applyAlignment="1">
      <alignment vertical="center"/>
    </xf>
    <xf numFmtId="0" fontId="35" fillId="7" borderId="20" xfId="1" applyFont="1" applyFill="1" applyBorder="1" applyAlignment="1">
      <alignment vertical="center" wrapText="1"/>
    </xf>
    <xf numFmtId="0" fontId="35" fillId="7" borderId="20" xfId="1" applyFont="1" applyFill="1" applyBorder="1" applyAlignment="1">
      <alignment horizontal="center" vertical="center" wrapText="1"/>
    </xf>
    <xf numFmtId="0" fontId="22" fillId="7" borderId="24" xfId="1" applyFont="1" applyFill="1" applyBorder="1" applyAlignment="1">
      <alignment horizontal="center" vertical="center" wrapText="1"/>
    </xf>
    <xf numFmtId="0" fontId="22" fillId="7" borderId="20" xfId="1" applyFont="1" applyFill="1" applyBorder="1" applyAlignment="1">
      <alignment horizontal="center" vertical="center" wrapText="1"/>
    </xf>
    <xf numFmtId="0" fontId="22" fillId="7" borderId="25" xfId="1" applyFont="1" applyFill="1" applyBorder="1" applyAlignment="1">
      <alignment horizontal="center" vertical="center" wrapText="1"/>
    </xf>
    <xf numFmtId="0" fontId="22" fillId="7" borderId="21" xfId="1" applyFont="1" applyFill="1" applyBorder="1" applyAlignment="1">
      <alignment horizontal="center" vertical="center" wrapText="1"/>
    </xf>
    <xf numFmtId="0" fontId="26" fillId="7" borderId="0" xfId="1" applyFont="1" applyFill="1" applyAlignment="1" applyProtection="1">
      <alignment horizontal="left" vertical="top" wrapText="1"/>
      <protection locked="0"/>
    </xf>
    <xf numFmtId="0" fontId="54" fillId="10" borderId="0" xfId="1" applyFont="1" applyFill="1" applyAlignment="1">
      <alignment horizontal="left" vertical="center" readingOrder="1"/>
    </xf>
    <xf numFmtId="14" fontId="10" fillId="0" borderId="0" xfId="0" applyNumberFormat="1" applyFont="1"/>
    <xf numFmtId="0" fontId="26" fillId="0" borderId="0" xfId="1" applyFont="1" applyAlignment="1" applyProtection="1">
      <alignment horizontal="center" vertical="center" wrapText="1"/>
      <protection locked="0"/>
    </xf>
    <xf numFmtId="0" fontId="24" fillId="2" borderId="0" xfId="1" applyFont="1" applyFill="1" applyAlignment="1" applyProtection="1">
      <alignment horizontal="center" vertical="center"/>
      <protection locked="0"/>
    </xf>
    <xf numFmtId="0" fontId="9" fillId="0" borderId="0" xfId="1" applyFont="1" applyAlignment="1">
      <alignment horizontal="center"/>
    </xf>
    <xf numFmtId="0" fontId="3" fillId="0" borderId="6" xfId="0" applyFont="1" applyBorder="1" applyProtection="1">
      <protection locked="0"/>
    </xf>
    <xf numFmtId="0" fontId="3" fillId="0" borderId="8" xfId="0" applyFont="1" applyBorder="1" applyProtection="1">
      <protection locked="0"/>
    </xf>
    <xf numFmtId="0" fontId="3" fillId="0" borderId="9" xfId="0" applyFont="1" applyBorder="1" applyProtection="1">
      <protection locked="0"/>
    </xf>
    <xf numFmtId="0" fontId="35" fillId="12" borderId="19" xfId="1" applyFont="1" applyFill="1" applyBorder="1" applyAlignment="1">
      <alignment horizontal="center" vertical="center"/>
    </xf>
    <xf numFmtId="0" fontId="35" fillId="0" borderId="19" xfId="1" applyFont="1" applyBorder="1" applyAlignment="1">
      <alignment horizontal="center" vertical="center"/>
    </xf>
    <xf numFmtId="0" fontId="35" fillId="7" borderId="19" xfId="1" applyFont="1" applyFill="1" applyBorder="1" applyAlignment="1">
      <alignment horizontal="center" vertical="center"/>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2" fillId="0" borderId="0" xfId="1" applyFont="1" applyAlignment="1">
      <alignment vertical="center" wrapText="1"/>
    </xf>
    <xf numFmtId="0" fontId="25" fillId="2" borderId="0" xfId="1" applyFont="1" applyFill="1" applyAlignment="1">
      <alignment horizontal="center" vertical="center" wrapText="1"/>
    </xf>
    <xf numFmtId="0" fontId="22" fillId="2" borderId="0" xfId="1" applyFont="1" applyFill="1" applyAlignment="1" applyProtection="1">
      <alignment horizontal="left" vertical="center" wrapText="1"/>
      <protection locked="0"/>
    </xf>
    <xf numFmtId="0" fontId="55" fillId="0" borderId="0" xfId="0" applyFont="1" applyAlignment="1" applyProtection="1">
      <alignment horizontal="left"/>
      <protection locked="0"/>
    </xf>
    <xf numFmtId="0" fontId="55" fillId="0" borderId="0" xfId="0" applyFont="1" applyAlignment="1" applyProtection="1">
      <alignment horizontal="right"/>
      <protection locked="0"/>
    </xf>
    <xf numFmtId="0" fontId="12" fillId="0" borderId="0" xfId="0" applyFont="1" applyAlignment="1" applyProtection="1">
      <alignment horizontal="center"/>
      <protection locked="0"/>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14" fontId="10" fillId="0" borderId="0" xfId="0" applyNumberFormat="1" applyFont="1" applyAlignment="1" applyProtection="1">
      <alignment horizontal="center"/>
      <protection locked="0"/>
    </xf>
    <xf numFmtId="0" fontId="13" fillId="0" borderId="0" xfId="0" applyFont="1" applyAlignment="1" applyProtection="1">
      <alignment horizontal="center"/>
      <protection locked="0"/>
    </xf>
    <xf numFmtId="0" fontId="43" fillId="13" borderId="0" xfId="0" applyFont="1" applyFill="1"/>
    <xf numFmtId="15" fontId="45" fillId="0" borderId="0" xfId="0" applyNumberFormat="1" applyFont="1" applyAlignment="1">
      <alignment horizontal="left"/>
    </xf>
    <xf numFmtId="0" fontId="10" fillId="0" borderId="0" xfId="0" applyFont="1" applyAlignment="1">
      <alignment horizontal="left" wrapText="1"/>
    </xf>
    <xf numFmtId="0" fontId="2" fillId="3" borderId="4" xfId="0" applyFont="1" applyFill="1" applyBorder="1" applyAlignment="1" applyProtection="1">
      <alignment horizontal="right" vertical="center"/>
      <protection locked="0"/>
    </xf>
    <xf numFmtId="0" fontId="2" fillId="3" borderId="6" xfId="0" applyFont="1" applyFill="1" applyBorder="1" applyAlignment="1" applyProtection="1">
      <alignment horizontal="right" vertical="center"/>
      <protection locked="0"/>
    </xf>
    <xf numFmtId="0" fontId="3" fillId="0" borderId="6" xfId="0" quotePrefix="1" applyFont="1" applyBorder="1" applyAlignment="1" applyProtection="1">
      <alignment horizontal="center" vertical="center"/>
      <protection locked="0"/>
    </xf>
    <xf numFmtId="0" fontId="1" fillId="0" borderId="0" xfId="1" applyAlignment="1" applyProtection="1">
      <alignment horizontal="center" vertical="center"/>
      <protection locked="0"/>
    </xf>
    <xf numFmtId="0" fontId="35" fillId="0" borderId="0" xfId="1" applyFont="1" applyAlignment="1">
      <alignment horizontal="center" vertical="center"/>
    </xf>
    <xf numFmtId="0" fontId="35" fillId="0" borderId="0" xfId="1" applyFont="1" applyAlignment="1">
      <alignment horizontal="left"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56" fillId="10" borderId="0" xfId="1" applyFont="1" applyFill="1" applyAlignment="1">
      <alignment horizontal="left" vertical="center" readingOrder="1"/>
    </xf>
    <xf numFmtId="0" fontId="9" fillId="0" borderId="0" xfId="1" applyFont="1"/>
    <xf numFmtId="0" fontId="57" fillId="0" borderId="8" xfId="0" applyFont="1" applyBorder="1" applyAlignment="1" applyProtection="1">
      <alignment horizontal="center" vertical="center"/>
      <protection locked="0"/>
    </xf>
    <xf numFmtId="0" fontId="57" fillId="0" borderId="9" xfId="0" quotePrefix="1" applyFont="1" applyBorder="1" applyAlignment="1" applyProtection="1">
      <alignment horizontal="center" vertical="center"/>
      <protection locked="0"/>
    </xf>
    <xf numFmtId="0" fontId="57" fillId="0" borderId="6" xfId="0" applyFont="1" applyBorder="1" applyAlignment="1" applyProtection="1">
      <alignment horizontal="center" vertical="center"/>
      <protection locked="0"/>
    </xf>
    <xf numFmtId="0" fontId="10" fillId="13" borderId="0" xfId="0" applyFont="1" applyFill="1" applyAlignment="1" applyProtection="1">
      <alignment horizontal="left"/>
      <protection locked="0"/>
    </xf>
    <xf numFmtId="0" fontId="58" fillId="5" borderId="17" xfId="1" applyFont="1" applyFill="1" applyBorder="1" applyAlignment="1">
      <alignment horizontal="center" vertical="center"/>
    </xf>
    <xf numFmtId="0" fontId="5" fillId="4" borderId="40" xfId="0" applyFont="1" applyFill="1" applyBorder="1" applyAlignment="1">
      <alignment horizontal="left" textRotation="90"/>
    </xf>
    <xf numFmtId="0" fontId="5" fillId="4" borderId="41" xfId="0" applyFont="1" applyFill="1" applyBorder="1" applyAlignment="1">
      <alignment horizontal="left" textRotation="90"/>
    </xf>
    <xf numFmtId="0" fontId="5" fillId="4" borderId="42" xfId="0" applyFont="1" applyFill="1" applyBorder="1" applyAlignment="1">
      <alignment horizontal="left" textRotation="90"/>
    </xf>
    <xf numFmtId="0" fontId="10" fillId="7" borderId="43" xfId="0" applyFont="1" applyFill="1" applyBorder="1" applyAlignment="1">
      <alignment horizontal="center"/>
    </xf>
    <xf numFmtId="0" fontId="10" fillId="7" borderId="44" xfId="0" applyFont="1" applyFill="1" applyBorder="1" applyAlignment="1">
      <alignment horizontal="center"/>
    </xf>
    <xf numFmtId="0" fontId="10" fillId="7" borderId="45" xfId="0" applyFont="1" applyFill="1" applyBorder="1" applyAlignment="1">
      <alignment horizontal="center"/>
    </xf>
    <xf numFmtId="0" fontId="10" fillId="7" borderId="46" xfId="0" applyFont="1" applyFill="1" applyBorder="1" applyAlignment="1">
      <alignment horizontal="center"/>
    </xf>
    <xf numFmtId="0" fontId="10" fillId="14" borderId="0" xfId="0" applyFont="1" applyFill="1" applyAlignment="1" applyProtection="1">
      <alignment horizontal="center"/>
      <protection locked="0"/>
    </xf>
    <xf numFmtId="0" fontId="0" fillId="0" borderId="0" xfId="0" applyAlignment="1">
      <alignment wrapText="1"/>
    </xf>
    <xf numFmtId="14" fontId="59" fillId="0" borderId="0" xfId="0" applyNumberFormat="1" applyFont="1"/>
    <xf numFmtId="0" fontId="45" fillId="14" borderId="0" xfId="0" applyFont="1" applyFill="1" applyAlignment="1">
      <alignment horizontal="left"/>
    </xf>
    <xf numFmtId="14" fontId="45" fillId="14" borderId="0" xfId="0" applyNumberFormat="1" applyFont="1" applyFill="1"/>
    <xf numFmtId="14" fontId="6" fillId="0" borderId="0" xfId="0" applyNumberFormat="1" applyFont="1" applyAlignment="1" applyProtection="1">
      <alignment horizontal="center"/>
      <protection locked="0"/>
    </xf>
    <xf numFmtId="0" fontId="6" fillId="14" borderId="0" xfId="0" applyFont="1" applyFill="1" applyAlignment="1" applyProtection="1">
      <alignment horizontal="center"/>
      <protection locked="0"/>
    </xf>
    <xf numFmtId="0" fontId="59" fillId="0" borderId="0" xfId="0" applyFont="1"/>
    <xf numFmtId="0" fontId="7" fillId="13" borderId="0" xfId="0" applyFont="1" applyFill="1" applyAlignment="1" applyProtection="1">
      <alignment horizontal="left"/>
      <protection locked="0"/>
    </xf>
    <xf numFmtId="0" fontId="0" fillId="13" borderId="0" xfId="0" applyFill="1"/>
    <xf numFmtId="14" fontId="0" fillId="13" borderId="0" xfId="0" applyNumberFormat="1" applyFill="1"/>
    <xf numFmtId="0" fontId="22" fillId="15" borderId="14" xfId="1" applyFont="1" applyFill="1" applyBorder="1" applyAlignment="1">
      <alignment horizontal="center" vertical="center" wrapText="1"/>
    </xf>
    <xf numFmtId="0" fontId="22" fillId="15" borderId="0" xfId="1" applyFont="1" applyFill="1" applyAlignment="1">
      <alignment horizontal="center" vertical="center" wrapText="1"/>
    </xf>
    <xf numFmtId="0" fontId="22" fillId="15" borderId="0" xfId="1" applyFont="1" applyFill="1" applyAlignment="1">
      <alignment vertical="center" wrapText="1"/>
    </xf>
    <xf numFmtId="0" fontId="25" fillId="15" borderId="0" xfId="1" applyFont="1" applyFill="1" applyAlignment="1">
      <alignment horizontal="left" vertical="center" wrapText="1"/>
    </xf>
    <xf numFmtId="0" fontId="47" fillId="15" borderId="23" xfId="1" applyFont="1" applyFill="1" applyBorder="1" applyAlignment="1">
      <alignment horizontal="center" vertical="center" wrapText="1"/>
    </xf>
    <xf numFmtId="0" fontId="47" fillId="15" borderId="0" xfId="1" applyFont="1" applyFill="1" applyAlignment="1">
      <alignment horizontal="center" vertical="center" wrapText="1"/>
    </xf>
    <xf numFmtId="0" fontId="47" fillId="15" borderId="34" xfId="1" applyFont="1" applyFill="1" applyBorder="1" applyAlignment="1">
      <alignment horizontal="center" vertical="center" wrapText="1"/>
    </xf>
    <xf numFmtId="0" fontId="22" fillId="15" borderId="18" xfId="1" applyFont="1" applyFill="1" applyBorder="1" applyAlignment="1" applyProtection="1">
      <alignment horizontal="center" vertical="center" wrapText="1"/>
      <protection locked="0"/>
    </xf>
    <xf numFmtId="0" fontId="47" fillId="15" borderId="18" xfId="1" applyFont="1" applyFill="1" applyBorder="1" applyAlignment="1">
      <alignment horizontal="center" vertical="center" wrapText="1"/>
    </xf>
    <xf numFmtId="0" fontId="7" fillId="13" borderId="0" xfId="0" applyFont="1" applyFill="1" applyAlignment="1">
      <alignment horizontal="left" wrapText="1"/>
    </xf>
    <xf numFmtId="0" fontId="6" fillId="0" borderId="0" xfId="0" applyFont="1" applyAlignment="1" applyProtection="1">
      <alignment horizontal="left"/>
      <protection locked="0"/>
    </xf>
    <xf numFmtId="0" fontId="35" fillId="0" borderId="20" xfId="1" applyFont="1" applyBorder="1" applyAlignment="1">
      <alignment horizontal="center" vertical="center"/>
    </xf>
    <xf numFmtId="14" fontId="0" fillId="0" borderId="0" xfId="0" applyNumberFormat="1"/>
    <xf numFmtId="0" fontId="10" fillId="13" borderId="0" xfId="0" applyFont="1" applyFill="1"/>
    <xf numFmtId="0" fontId="30" fillId="2" borderId="0" xfId="1" applyFont="1" applyFill="1" applyAlignment="1">
      <alignment vertical="center"/>
    </xf>
    <xf numFmtId="0" fontId="22" fillId="12" borderId="19" xfId="1" applyFont="1" applyFill="1" applyBorder="1" applyAlignment="1">
      <alignment horizontal="center" vertical="center" wrapText="1"/>
    </xf>
    <xf numFmtId="0" fontId="22" fillId="12" borderId="20" xfId="1" applyFont="1" applyFill="1" applyBorder="1" applyAlignment="1">
      <alignment vertical="center" wrapText="1"/>
    </xf>
    <xf numFmtId="0" fontId="25" fillId="12" borderId="20" xfId="1" applyFont="1" applyFill="1" applyBorder="1" applyAlignment="1">
      <alignment horizontal="center" vertical="center" wrapText="1"/>
    </xf>
    <xf numFmtId="0" fontId="22" fillId="12" borderId="21" xfId="1" applyFont="1" applyFill="1" applyBorder="1" applyAlignment="1" applyProtection="1">
      <alignment horizontal="center" vertical="center" wrapText="1"/>
      <protection locked="0"/>
    </xf>
    <xf numFmtId="0" fontId="26" fillId="12" borderId="0" xfId="1" applyFont="1" applyFill="1" applyAlignment="1" applyProtection="1">
      <alignment horizontal="center" vertical="center" wrapText="1"/>
      <protection locked="0"/>
    </xf>
    <xf numFmtId="0" fontId="22" fillId="12" borderId="20" xfId="1" applyFont="1" applyFill="1" applyBorder="1" applyAlignment="1">
      <alignment horizontal="left" vertical="center"/>
    </xf>
    <xf numFmtId="0" fontId="35" fillId="12" borderId="20" xfId="1" applyFont="1" applyFill="1" applyBorder="1" applyAlignment="1">
      <alignment horizontal="center" vertical="center"/>
    </xf>
    <xf numFmtId="0" fontId="60" fillId="0" borderId="0" xfId="1" applyFont="1" applyAlignment="1">
      <alignment horizontal="right" vertical="center"/>
    </xf>
    <xf numFmtId="14" fontId="36" fillId="2" borderId="0" xfId="1" applyNumberFormat="1" applyFont="1" applyFill="1" applyAlignment="1">
      <alignment horizontal="right" vertical="center"/>
    </xf>
    <xf numFmtId="0" fontId="35" fillId="7" borderId="20" xfId="1" applyFont="1" applyFill="1" applyBorder="1" applyAlignment="1">
      <alignment horizontal="center" vertical="center"/>
    </xf>
    <xf numFmtId="0" fontId="58" fillId="5" borderId="17" xfId="1" applyFont="1" applyFill="1" applyBorder="1" applyAlignment="1">
      <alignment horizontal="right" vertical="center"/>
    </xf>
    <xf numFmtId="0" fontId="57" fillId="0" borderId="9" xfId="0" applyFont="1" applyBorder="1" applyAlignment="1" applyProtection="1">
      <alignment horizontal="center" vertical="center"/>
      <protection locked="0"/>
    </xf>
    <xf numFmtId="0" fontId="6" fillId="0" borderId="0" xfId="0" applyFont="1" applyBorder="1"/>
    <xf numFmtId="0" fontId="6" fillId="0" borderId="0" xfId="0" applyFont="1" applyBorder="1" applyAlignment="1">
      <alignment horizontal="center"/>
    </xf>
    <xf numFmtId="0" fontId="0" fillId="0" borderId="0" xfId="0" applyBorder="1"/>
    <xf numFmtId="0" fontId="6" fillId="0" borderId="0" xfId="0" applyFont="1" applyBorder="1" applyAlignment="1">
      <alignment horizontal="center" vertical="center"/>
    </xf>
    <xf numFmtId="0" fontId="0" fillId="0" borderId="0" xfId="0" applyBorder="1" applyAlignment="1">
      <alignment horizontal="center"/>
    </xf>
    <xf numFmtId="0" fontId="61" fillId="0" borderId="0" xfId="0" applyNumberFormat="1" applyFont="1" applyAlignment="1" applyProtection="1">
      <alignment horizontal="left"/>
      <protection locked="0"/>
    </xf>
    <xf numFmtId="0" fontId="22" fillId="0" borderId="21" xfId="1" applyFont="1" applyFill="1" applyBorder="1" applyAlignment="1" applyProtection="1">
      <alignment horizontal="center" vertical="center" wrapText="1"/>
      <protection locked="0"/>
    </xf>
    <xf numFmtId="0" fontId="48" fillId="12" borderId="0" xfId="1" applyFont="1" applyFill="1" applyAlignment="1">
      <alignment vertical="center"/>
    </xf>
    <xf numFmtId="0" fontId="18" fillId="0" borderId="12" xfId="1" applyFont="1" applyBorder="1" applyAlignment="1" applyProtection="1">
      <alignment horizontal="center"/>
    </xf>
    <xf numFmtId="0" fontId="18" fillId="0" borderId="13" xfId="1" applyFont="1" applyBorder="1" applyAlignment="1" applyProtection="1">
      <alignment horizontal="center"/>
    </xf>
    <xf numFmtId="0" fontId="18" fillId="0" borderId="13" xfId="1" applyFont="1" applyBorder="1" applyProtection="1"/>
    <xf numFmtId="0" fontId="18" fillId="0" borderId="14" xfId="1" applyFont="1" applyBorder="1" applyProtection="1"/>
    <xf numFmtId="0" fontId="1" fillId="0" borderId="0" xfId="1" applyProtection="1"/>
    <xf numFmtId="0" fontId="18" fillId="0" borderId="0" xfId="1" applyFont="1" applyAlignment="1" applyProtection="1">
      <alignment horizontal="center"/>
    </xf>
    <xf numFmtId="0" fontId="9" fillId="0" borderId="0" xfId="1" applyFont="1" applyAlignment="1" applyProtection="1">
      <alignment horizontal="center"/>
    </xf>
    <xf numFmtId="0" fontId="18" fillId="0" borderId="0" xfId="1" applyFont="1" applyProtection="1"/>
    <xf numFmtId="0" fontId="39" fillId="10" borderId="0" xfId="1" applyFont="1" applyFill="1" applyAlignment="1" applyProtection="1">
      <alignment vertical="center" wrapText="1"/>
    </xf>
    <xf numFmtId="0" fontId="19" fillId="5" borderId="16" xfId="1" applyFont="1" applyFill="1" applyBorder="1" applyAlignment="1" applyProtection="1">
      <alignment vertical="center"/>
    </xf>
    <xf numFmtId="0" fontId="19" fillId="5" borderId="17" xfId="1" applyFont="1" applyFill="1" applyBorder="1" applyAlignment="1" applyProtection="1">
      <alignment vertical="center"/>
    </xf>
    <xf numFmtId="0" fontId="58" fillId="5" borderId="17" xfId="1" applyFont="1" applyFill="1" applyBorder="1" applyAlignment="1" applyProtection="1">
      <alignment horizontal="right" vertical="center"/>
    </xf>
    <xf numFmtId="0" fontId="58" fillId="5" borderId="17" xfId="1" applyFont="1" applyFill="1" applyBorder="1" applyAlignment="1" applyProtection="1">
      <alignment horizontal="center" vertical="center"/>
    </xf>
    <xf numFmtId="0" fontId="42" fillId="5" borderId="17"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48" fillId="2" borderId="0" xfId="1" applyFont="1" applyFill="1" applyAlignment="1" applyProtection="1">
      <alignment vertical="center"/>
    </xf>
    <xf numFmtId="0" fontId="20" fillId="2" borderId="0" xfId="1" applyFont="1" applyFill="1" applyAlignment="1" applyProtection="1">
      <alignment vertical="center"/>
    </xf>
    <xf numFmtId="0" fontId="53" fillId="2" borderId="0" xfId="1" applyFont="1" applyFill="1" applyAlignment="1" applyProtection="1">
      <alignment vertical="center"/>
    </xf>
    <xf numFmtId="14" fontId="22" fillId="2" borderId="0" xfId="1" applyNumberFormat="1" applyFont="1" applyFill="1" applyAlignment="1" applyProtection="1">
      <alignment vertical="center"/>
    </xf>
    <xf numFmtId="14" fontId="36" fillId="2" borderId="0" xfId="1" applyNumberFormat="1" applyFont="1" applyFill="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49" fillId="2" borderId="0" xfId="1" applyFont="1" applyFill="1" applyAlignment="1" applyProtection="1">
      <alignment vertical="center"/>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11" borderId="0" xfId="1" applyFont="1" applyFill="1" applyAlignment="1" applyProtection="1">
      <alignment horizontal="center" vertical="center"/>
    </xf>
    <xf numFmtId="0" fontId="23" fillId="11" borderId="0" xfId="1" applyFont="1" applyFill="1" applyAlignment="1" applyProtection="1">
      <alignment horizontal="left" vertical="center" indent="1"/>
    </xf>
    <xf numFmtId="0" fontId="23" fillId="11" borderId="0" xfId="1" applyFont="1" applyFill="1" applyAlignment="1" applyProtection="1">
      <alignment vertical="center"/>
    </xf>
    <xf numFmtId="0" fontId="23" fillId="11" borderId="23" xfId="1" applyFont="1" applyFill="1" applyBorder="1" applyAlignment="1" applyProtection="1">
      <alignment horizontal="left" vertical="center"/>
    </xf>
    <xf numFmtId="0" fontId="23" fillId="11" borderId="0" xfId="1" applyFont="1" applyFill="1" applyAlignment="1" applyProtection="1">
      <alignment horizontal="left" vertical="center"/>
    </xf>
    <xf numFmtId="0" fontId="23" fillId="11" borderId="18"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1" borderId="0" xfId="1" applyFont="1" applyFill="1" applyAlignment="1" applyProtection="1">
      <alignment horizontal="center" vertical="center" wrapText="1"/>
    </xf>
    <xf numFmtId="0" fontId="23" fillId="11" borderId="31" xfId="1" applyFont="1" applyFill="1" applyBorder="1" applyAlignment="1" applyProtection="1">
      <alignment horizontal="center" vertical="center" wrapText="1"/>
    </xf>
    <xf numFmtId="0" fontId="23" fillId="11" borderId="22" xfId="1" applyFont="1" applyFill="1" applyBorder="1" applyAlignment="1" applyProtection="1">
      <alignment horizontal="center" vertical="center" wrapText="1"/>
    </xf>
    <xf numFmtId="0" fontId="23" fillId="11" borderId="33" xfId="1" applyFont="1" applyFill="1" applyBorder="1" applyAlignment="1" applyProtection="1">
      <alignment horizontal="center" vertical="center" wrapText="1"/>
    </xf>
    <xf numFmtId="0" fontId="22" fillId="0" borderId="19" xfId="1" applyFont="1" applyFill="1" applyBorder="1" applyAlignment="1" applyProtection="1">
      <alignment horizontal="center" vertical="center" wrapText="1"/>
    </xf>
    <xf numFmtId="0" fontId="22" fillId="0" borderId="20" xfId="1" applyFont="1" applyFill="1" applyBorder="1" applyAlignment="1" applyProtection="1">
      <alignment horizontal="center" vertical="center" wrapText="1"/>
    </xf>
    <xf numFmtId="0" fontId="22" fillId="0" borderId="20" xfId="1" applyFont="1" applyFill="1" applyBorder="1" applyAlignment="1" applyProtection="1">
      <alignment vertical="center" wrapText="1"/>
    </xf>
    <xf numFmtId="0" fontId="25" fillId="0" borderId="20" xfId="1" applyFont="1" applyFill="1" applyBorder="1" applyAlignment="1" applyProtection="1">
      <alignment horizontal="center" vertical="center" wrapText="1"/>
    </xf>
    <xf numFmtId="0" fontId="22" fillId="0" borderId="24" xfId="1" applyFont="1" applyFill="1" applyBorder="1" applyAlignment="1" applyProtection="1">
      <alignment horizontal="center" vertical="center" wrapText="1"/>
    </xf>
    <xf numFmtId="0" fontId="22" fillId="0" borderId="25"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5" borderId="14" xfId="1" applyFont="1" applyFill="1" applyBorder="1" applyAlignment="1" applyProtection="1">
      <alignment horizontal="center" vertical="center" wrapText="1"/>
    </xf>
    <xf numFmtId="0" fontId="22" fillId="15" borderId="0" xfId="1" applyFont="1" applyFill="1" applyAlignment="1" applyProtection="1">
      <alignment horizontal="center" vertical="center" wrapText="1"/>
    </xf>
    <xf numFmtId="0" fontId="22" fillId="15" borderId="0" xfId="1" applyFont="1" applyFill="1" applyAlignment="1" applyProtection="1">
      <alignment vertical="center" wrapText="1"/>
    </xf>
    <xf numFmtId="0" fontId="25" fillId="15" borderId="0" xfId="1" applyFont="1" applyFill="1" applyAlignment="1" applyProtection="1">
      <alignment horizontal="left" vertical="center" wrapText="1"/>
    </xf>
    <xf numFmtId="0" fontId="47" fillId="15" borderId="23" xfId="1" applyFont="1" applyFill="1" applyBorder="1" applyAlignment="1" applyProtection="1">
      <alignment horizontal="center" vertical="center" wrapText="1"/>
    </xf>
    <xf numFmtId="0" fontId="47" fillId="15" borderId="0" xfId="1" applyFont="1" applyFill="1" applyAlignment="1" applyProtection="1">
      <alignment horizontal="center" vertical="center" wrapText="1"/>
    </xf>
    <xf numFmtId="0" fontId="47" fillId="15" borderId="18" xfId="1" applyFont="1" applyFill="1" applyBorder="1" applyAlignment="1" applyProtection="1">
      <alignment horizontal="center" vertical="center" wrapText="1"/>
    </xf>
    <xf numFmtId="0" fontId="26" fillId="12" borderId="0" xfId="1" applyFont="1" applyFill="1" applyAlignment="1" applyProtection="1">
      <alignment horizontal="center" vertical="center" wrapText="1"/>
    </xf>
    <xf numFmtId="0" fontId="22" fillId="12" borderId="19" xfId="1" applyFont="1" applyFill="1" applyBorder="1" applyAlignment="1" applyProtection="1">
      <alignment horizontal="center" vertical="center" wrapText="1"/>
    </xf>
    <xf numFmtId="0" fontId="22" fillId="12" borderId="20" xfId="1" applyFont="1" applyFill="1" applyBorder="1" applyAlignment="1" applyProtection="1">
      <alignment horizontal="center" vertical="center" wrapText="1"/>
    </xf>
    <xf numFmtId="0" fontId="22" fillId="12" borderId="20" xfId="1" applyFont="1" applyFill="1" applyBorder="1" applyAlignment="1" applyProtection="1">
      <alignment vertical="center" wrapText="1"/>
    </xf>
    <xf numFmtId="0" fontId="25" fillId="12" borderId="20" xfId="1" applyFont="1" applyFill="1" applyBorder="1" applyAlignment="1" applyProtection="1">
      <alignment horizontal="center" vertical="center" wrapText="1"/>
    </xf>
    <xf numFmtId="0" fontId="22" fillId="12" borderId="24" xfId="1" applyFont="1" applyFill="1" applyBorder="1" applyAlignment="1" applyProtection="1">
      <alignment horizontal="center" vertical="center" wrapText="1"/>
    </xf>
    <xf numFmtId="0" fontId="22" fillId="12" borderId="25" xfId="1" applyFont="1" applyFill="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12" borderId="20" xfId="1" applyFont="1" applyFill="1" applyBorder="1" applyAlignment="1" applyProtection="1">
      <alignment horizontal="left" vertical="center"/>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xf>
    <xf numFmtId="0" fontId="54" fillId="10" borderId="0" xfId="1" applyFont="1" applyFill="1" applyAlignment="1" applyProtection="1">
      <alignment horizontal="left" vertical="center" readingOrder="1"/>
    </xf>
    <xf numFmtId="0" fontId="36" fillId="10" borderId="0" xfId="1" applyFont="1" applyFill="1" applyAlignment="1" applyProtection="1">
      <alignment horizontal="left" vertical="center" readingOrder="1"/>
    </xf>
    <xf numFmtId="0" fontId="21" fillId="10" borderId="0" xfId="1" applyFont="1" applyFill="1" applyAlignment="1" applyProtection="1">
      <alignment horizontal="left" vertical="center" readingOrder="1"/>
    </xf>
    <xf numFmtId="0" fontId="41" fillId="10" borderId="0" xfId="1" applyFont="1" applyFill="1" applyAlignment="1" applyProtection="1">
      <alignment horizontal="center" vertical="center" readingOrder="1"/>
    </xf>
    <xf numFmtId="0" fontId="23" fillId="10" borderId="23" xfId="1" applyFont="1" applyFill="1" applyBorder="1" applyAlignment="1" applyProtection="1">
      <alignment vertical="center" readingOrder="1"/>
    </xf>
    <xf numFmtId="0" fontId="23" fillId="10" borderId="0" xfId="1" applyFont="1" applyFill="1" applyAlignment="1" applyProtection="1">
      <alignment vertical="center" readingOrder="1"/>
    </xf>
    <xf numFmtId="0" fontId="41" fillId="10" borderId="0" xfId="1" applyFont="1" applyFill="1" applyAlignment="1" applyProtection="1">
      <alignment vertical="center" readingOrder="1"/>
    </xf>
    <xf numFmtId="0" fontId="41" fillId="10" borderId="18" xfId="1" applyFont="1" applyFill="1" applyBorder="1" applyAlignment="1" applyProtection="1">
      <alignment vertical="center" readingOrder="1"/>
    </xf>
    <xf numFmtId="0" fontId="38" fillId="10" borderId="0" xfId="1" applyFont="1" applyFill="1" applyProtection="1"/>
    <xf numFmtId="0" fontId="1" fillId="0" borderId="0" xfId="1" applyAlignment="1" applyProtection="1">
      <alignment horizontal="center" vertical="top"/>
    </xf>
    <xf numFmtId="0" fontId="26" fillId="0" borderId="0" xfId="1" applyFont="1" applyAlignment="1" applyProtection="1">
      <alignment horizontal="left" vertical="top" wrapText="1"/>
    </xf>
    <xf numFmtId="0" fontId="35" fillId="12" borderId="19" xfId="1" applyFont="1" applyFill="1" applyBorder="1" applyAlignment="1" applyProtection="1">
      <alignment horizontal="center" vertical="center"/>
    </xf>
    <xf numFmtId="0" fontId="35" fillId="12" borderId="20" xfId="1" applyFont="1" applyFill="1" applyBorder="1" applyAlignment="1" applyProtection="1">
      <alignment horizontal="left" vertical="center"/>
    </xf>
    <xf numFmtId="0" fontId="35" fillId="12" borderId="20" xfId="1" applyFont="1" applyFill="1" applyBorder="1" applyAlignment="1" applyProtection="1">
      <alignment horizontal="center" vertical="center"/>
    </xf>
    <xf numFmtId="0" fontId="35" fillId="12" borderId="20" xfId="1" applyFont="1" applyFill="1" applyBorder="1" applyAlignment="1" applyProtection="1">
      <alignment vertical="center"/>
    </xf>
    <xf numFmtId="0" fontId="35" fillId="12" borderId="20" xfId="1" applyFont="1" applyFill="1" applyBorder="1" applyAlignment="1" applyProtection="1">
      <alignment vertical="center" wrapText="1"/>
    </xf>
    <xf numFmtId="0" fontId="35" fillId="12" borderId="20" xfId="1" applyFont="1" applyFill="1" applyBorder="1" applyAlignment="1" applyProtection="1">
      <alignment horizontal="center" vertical="center" wrapText="1"/>
    </xf>
    <xf numFmtId="0" fontId="26" fillId="12" borderId="0" xfId="1" applyFont="1" applyFill="1" applyAlignment="1" applyProtection="1">
      <alignment horizontal="left" vertical="top" wrapText="1"/>
    </xf>
    <xf numFmtId="0" fontId="35" fillId="0" borderId="19" xfId="1" applyFont="1" applyBorder="1" applyAlignment="1" applyProtection="1">
      <alignment horizontal="center" vertical="center"/>
    </xf>
    <xf numFmtId="0" fontId="35" fillId="0" borderId="20" xfId="1" applyFont="1" applyBorder="1" applyAlignment="1" applyProtection="1">
      <alignment horizontal="left" vertical="center"/>
    </xf>
    <xf numFmtId="0" fontId="35" fillId="0" borderId="20" xfId="1" applyFont="1" applyBorder="1" applyAlignment="1" applyProtection="1">
      <alignment horizontal="center" vertical="center"/>
    </xf>
    <xf numFmtId="0" fontId="35" fillId="0" borderId="20" xfId="1" applyFont="1" applyBorder="1" applyAlignment="1" applyProtection="1">
      <alignment vertical="center"/>
    </xf>
    <xf numFmtId="0" fontId="35" fillId="0" borderId="20" xfId="1" applyFont="1" applyBorder="1" applyAlignment="1" applyProtection="1">
      <alignment vertical="center" wrapText="1"/>
    </xf>
    <xf numFmtId="0" fontId="35" fillId="0" borderId="20" xfId="1" applyFont="1" applyBorder="1" applyAlignment="1" applyProtection="1">
      <alignment horizontal="center" vertical="center" wrapText="1"/>
    </xf>
    <xf numFmtId="0" fontId="22" fillId="2" borderId="24" xfId="1" applyFont="1" applyFill="1" applyBorder="1" applyAlignment="1" applyProtection="1">
      <alignment horizontal="center" vertical="center" wrapText="1"/>
    </xf>
    <xf numFmtId="0" fontId="22" fillId="2" borderId="20" xfId="1" applyFont="1" applyFill="1" applyBorder="1" applyAlignment="1" applyProtection="1">
      <alignment horizontal="center" vertical="center" wrapText="1"/>
    </xf>
    <xf numFmtId="0" fontId="22" fillId="2" borderId="25" xfId="1" applyFont="1" applyFill="1" applyBorder="1" applyAlignment="1" applyProtection="1">
      <alignment horizontal="center" vertical="center" wrapText="1"/>
    </xf>
    <xf numFmtId="0" fontId="35" fillId="0" borderId="0" xfId="1" applyFont="1" applyAlignment="1" applyProtection="1">
      <alignment horizontal="center" vertical="center"/>
    </xf>
    <xf numFmtId="0" fontId="35" fillId="0" borderId="0" xfId="1" applyFont="1" applyAlignment="1" applyProtection="1">
      <alignment horizontal="left" vertical="center"/>
    </xf>
    <xf numFmtId="0" fontId="35" fillId="0" borderId="0" xfId="1" applyFont="1" applyAlignment="1" applyProtection="1">
      <alignment vertical="center"/>
    </xf>
    <xf numFmtId="0" fontId="35" fillId="0" borderId="0" xfId="1" applyFont="1" applyAlignment="1" applyProtection="1">
      <alignment vertical="center" wrapText="1"/>
    </xf>
    <xf numFmtId="0" fontId="35" fillId="0" borderId="0" xfId="1" applyFont="1" applyAlignment="1" applyProtection="1">
      <alignment horizontal="center" vertical="center" wrapText="1"/>
    </xf>
    <xf numFmtId="0" fontId="22" fillId="2" borderId="0" xfId="1" applyFont="1" applyFill="1" applyAlignment="1" applyProtection="1">
      <alignment horizontal="center" vertical="center" wrapText="1"/>
    </xf>
    <xf numFmtId="0" fontId="22" fillId="0" borderId="0" xfId="1" applyFont="1" applyAlignment="1" applyProtection="1">
      <alignment horizontal="center" vertical="center" wrapText="1"/>
    </xf>
    <xf numFmtId="0" fontId="27" fillId="2" borderId="0" xfId="1" applyFont="1" applyFill="1" applyAlignment="1" applyProtection="1">
      <alignment horizontal="centerContinuous"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horizontal="right" vertical="center"/>
    </xf>
    <xf numFmtId="0" fontId="48" fillId="12" borderId="0" xfId="1" applyFont="1" applyFill="1" applyAlignment="1" applyProtection="1">
      <alignment vertical="center"/>
      <protection locked="0"/>
    </xf>
    <xf numFmtId="0" fontId="39" fillId="10" borderId="15" xfId="1" applyFont="1" applyFill="1" applyBorder="1" applyAlignment="1">
      <alignment horizontal="left" vertical="center" wrapText="1"/>
    </xf>
    <xf numFmtId="0" fontId="39" fillId="10" borderId="15" xfId="1" applyFont="1" applyFill="1" applyBorder="1" applyAlignment="1" applyProtection="1">
      <alignment horizontal="left" vertical="center" wrapText="1"/>
    </xf>
    <xf numFmtId="0" fontId="22" fillId="2" borderId="19" xfId="1" applyFont="1" applyFill="1" applyBorder="1" applyAlignment="1" applyProtection="1">
      <alignment horizontal="center" vertical="center" wrapText="1"/>
    </xf>
    <xf numFmtId="0" fontId="22" fillId="2" borderId="20" xfId="1" applyFont="1" applyFill="1" applyBorder="1" applyAlignment="1" applyProtection="1">
      <alignment vertical="center" wrapText="1"/>
    </xf>
    <xf numFmtId="0" fontId="25" fillId="2" borderId="20" xfId="1" applyFont="1" applyFill="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4" xfId="1" applyFont="1" applyBorder="1" applyAlignment="1" applyProtection="1">
      <alignment horizontal="center" vertical="center" wrapText="1"/>
    </xf>
    <xf numFmtId="0" fontId="22" fillId="0" borderId="25" xfId="1" applyFont="1" applyBorder="1" applyAlignment="1" applyProtection="1">
      <alignment horizontal="center" vertical="center" wrapText="1"/>
    </xf>
    <xf numFmtId="0" fontId="22" fillId="0" borderId="20" xfId="1" applyFont="1" applyBorder="1" applyAlignment="1" applyProtection="1">
      <alignment horizontal="left" vertical="center"/>
    </xf>
    <xf numFmtId="0" fontId="30" fillId="2" borderId="0" xfId="1" applyFont="1" applyFill="1" applyAlignment="1" applyProtection="1">
      <alignment vertical="center"/>
      <protection locked="0"/>
    </xf>
  </cellXfs>
  <cellStyles count="3">
    <cellStyle name="Hyperlink" xfId="2" builtinId="8"/>
    <cellStyle name="Normal" xfId="0" builtinId="0"/>
    <cellStyle name="Normal 2" xfId="1"/>
  </cellStyles>
  <dxfs count="349">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style="medium">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style="medium">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style="medium">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i/>
        <color rgb="FFFF0000"/>
      </font>
    </dxf>
    <dxf>
      <font>
        <b/>
        <i/>
        <color rgb="FFFF0000"/>
      </font>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val="0"/>
        <i/>
      </font>
      <fill>
        <patternFill>
          <bgColor theme="4" tint="0.79998168889431442"/>
        </patternFill>
      </fill>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protection locked="0" hidden="0"/>
    </dxf>
    <dxf>
      <font>
        <sz val="1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
      <font>
        <b/>
        <i/>
        <color rgb="FFFF0000"/>
      </font>
    </dxf>
    <dxf>
      <fill>
        <patternFill>
          <bgColor theme="0" tint="-0.14996795556505021"/>
        </patternFill>
      </fill>
    </dxf>
    <dxf>
      <font>
        <b/>
        <i/>
        <color rgb="FFFF0000"/>
      </font>
    </dxf>
    <dxf>
      <font>
        <b val="0"/>
        <i/>
      </font>
      <fill>
        <patternFill>
          <bgColor theme="0" tint="-0.24994659260841701"/>
        </patternFill>
      </fill>
    </dxf>
    <dxf>
      <fill>
        <patternFill>
          <bgColor theme="0" tint="-0.14996795556505021"/>
        </patternFill>
      </fill>
    </dxf>
    <dxf>
      <font>
        <b/>
        <i/>
        <color rgb="FFFF0000"/>
      </font>
    </dxf>
    <dxf>
      <font>
        <b/>
        <i/>
        <color rgb="FFFF0000"/>
      </font>
    </dxf>
    <dxf>
      <fill>
        <patternFill>
          <bgColor theme="0" tint="-0.14996795556505021"/>
        </patternFill>
      </fill>
    </dxf>
    <dxf>
      <font>
        <b/>
        <i/>
        <color rgb="FFFF0000"/>
      </font>
    </dxf>
    <dxf>
      <font>
        <b/>
        <i/>
        <color rgb="FFFF0000"/>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148591</xdr:colOff>
      <xdr:row>3</xdr:row>
      <xdr:rowOff>19052</xdr:rowOff>
    </xdr:from>
    <xdr:to>
      <xdr:col>21</xdr:col>
      <xdr:colOff>304801</xdr:colOff>
      <xdr:row>32</xdr:row>
      <xdr:rowOff>85726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26191" y="523877"/>
          <a:ext cx="5642610" cy="64484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Master of Teaching (Early Childhood Education)</a:t>
          </a:r>
          <a:endParaRPr lang="en-AU" sz="1000">
            <a:effectLst/>
          </a:endParaRP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SP2</a:t>
          </a:r>
          <a:r>
            <a:rPr lang="en-AU" sz="1100" b="0">
              <a:solidFill>
                <a:schemeClr val="dk1"/>
              </a:solidFill>
              <a:effectLst/>
              <a:latin typeface="+mn-lt"/>
              <a:ea typeface="+mn-ea"/>
              <a:cs typeface="+mn-cs"/>
            </a:rPr>
            <a:t>.</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EDUC6065 MTC610 Professional Experience 4: Transition into the Profession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43815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396241</xdr:colOff>
      <xdr:row>30</xdr:row>
      <xdr:rowOff>257176</xdr:rowOff>
    </xdr:from>
    <xdr:to>
      <xdr:col>21</xdr:col>
      <xdr:colOff>129541</xdr:colOff>
      <xdr:row>31</xdr:row>
      <xdr:rowOff>227091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417041" y="6610351"/>
          <a:ext cx="2476500" cy="23661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148591</xdr:colOff>
      <xdr:row>26</xdr:row>
      <xdr:rowOff>28576</xdr:rowOff>
    </xdr:from>
    <xdr:to>
      <xdr:col>21</xdr:col>
      <xdr:colOff>262892</xdr:colOff>
      <xdr:row>27</xdr:row>
      <xdr:rowOff>219471</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14169391" y="5734051"/>
          <a:ext cx="2857501" cy="24804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180976</xdr:colOff>
      <xdr:row>2</xdr:row>
      <xdr:rowOff>247650</xdr:rowOff>
    </xdr:from>
    <xdr:to>
      <xdr:col>21</xdr:col>
      <xdr:colOff>329566</xdr:colOff>
      <xdr:row>30</xdr:row>
      <xdr:rowOff>9525</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0391776" y="247650"/>
          <a:ext cx="5634990" cy="66008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Enrolment Guidelines</a:t>
          </a:r>
          <a:endParaRPr lang="en-AU">
            <a:effectLst/>
          </a:endParaRPr>
        </a:p>
        <a:p>
          <a:pPr algn="ctr"/>
          <a:r>
            <a:rPr lang="en-AU" sz="1100" b="1">
              <a:solidFill>
                <a:schemeClr val="dk1"/>
              </a:solidFill>
              <a:effectLst/>
              <a:latin typeface="+mn-lt"/>
              <a:ea typeface="+mn-ea"/>
              <a:cs typeface="+mn-cs"/>
            </a:rPr>
            <a:t>Graduate Diploma in Education (Secondary Education)</a:t>
          </a: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u="none"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(Secondary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161926</xdr:colOff>
      <xdr:row>24</xdr:row>
      <xdr:rowOff>177166</xdr:rowOff>
    </xdr:from>
    <xdr:to>
      <xdr:col>21</xdr:col>
      <xdr:colOff>276227</xdr:colOff>
      <xdr:row>25</xdr:row>
      <xdr:rowOff>171846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xdr:nvSpPr>
      <xdr:spPr>
        <a:xfrm>
          <a:off x="13115926" y="5596891"/>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521971</xdr:colOff>
      <xdr:row>28</xdr:row>
      <xdr:rowOff>95251</xdr:rowOff>
    </xdr:from>
    <xdr:to>
      <xdr:col>21</xdr:col>
      <xdr:colOff>255271</xdr:colOff>
      <xdr:row>29</xdr:row>
      <xdr:rowOff>164226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900-000005000000}"/>
            </a:ext>
          </a:extLst>
        </xdr:cNvPr>
        <xdr:cNvSpPr txBox="1"/>
      </xdr:nvSpPr>
      <xdr:spPr>
        <a:xfrm>
          <a:off x="13475971" y="6486526"/>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219076</xdr:colOff>
      <xdr:row>2</xdr:row>
      <xdr:rowOff>295277</xdr:rowOff>
    </xdr:from>
    <xdr:to>
      <xdr:col>21</xdr:col>
      <xdr:colOff>367666</xdr:colOff>
      <xdr:row>24</xdr:row>
      <xdr:rowOff>257176</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0429876" y="295277"/>
          <a:ext cx="5634990" cy="55721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eaLnBrk="1" fontAlgn="auto" latinLnBrk="0" hangingPunct="1"/>
          <a:r>
            <a:rPr lang="en-AU" sz="1100" b="1">
              <a:solidFill>
                <a:schemeClr val="dk1"/>
              </a:solidFill>
              <a:effectLst/>
              <a:latin typeface="+mn-lt"/>
              <a:ea typeface="+mn-ea"/>
              <a:cs typeface="+mn-cs"/>
            </a:rPr>
            <a:t>Enrolment Guidelines</a:t>
          </a:r>
          <a:endParaRPr lang="en-AU">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Graduate Diploma in Education (Secondary Education) (Accelerated Study Plan)</a:t>
          </a:r>
          <a:endParaRPr lang="en-AU">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(Primary Education). Students are strongly advised to follow the recommended sequence of study as shown in this Planner.</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u="none"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180976</xdr:colOff>
      <xdr:row>20</xdr:row>
      <xdr:rowOff>53341</xdr:rowOff>
    </xdr:from>
    <xdr:to>
      <xdr:col>21</xdr:col>
      <xdr:colOff>295277</xdr:colOff>
      <xdr:row>21</xdr:row>
      <xdr:rowOff>105171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xdr:nvSpPr>
      <xdr:spPr>
        <a:xfrm>
          <a:off x="13134976" y="4596766"/>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512446</xdr:colOff>
      <xdr:row>23</xdr:row>
      <xdr:rowOff>133351</xdr:rowOff>
    </xdr:from>
    <xdr:to>
      <xdr:col>21</xdr:col>
      <xdr:colOff>245746</xdr:colOff>
      <xdr:row>24</xdr:row>
      <xdr:rowOff>164226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900-000005000000}"/>
            </a:ext>
          </a:extLst>
        </xdr:cNvPr>
        <xdr:cNvSpPr txBox="1"/>
      </xdr:nvSpPr>
      <xdr:spPr>
        <a:xfrm>
          <a:off x="13466446" y="5476876"/>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139066</xdr:colOff>
      <xdr:row>3</xdr:row>
      <xdr:rowOff>2</xdr:rowOff>
    </xdr:from>
    <xdr:to>
      <xdr:col>21</xdr:col>
      <xdr:colOff>295276</xdr:colOff>
      <xdr:row>30</xdr:row>
      <xdr:rowOff>257175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416666" y="504827"/>
          <a:ext cx="5642610" cy="610552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Master of Teaching (Primary Education)</a:t>
          </a:r>
          <a:endParaRPr lang="en-AU" sz="1000">
            <a:effectLst/>
          </a:endParaRP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EDUC6065 MTC610 Professional Experience 4: Transition into the Profession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7620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462916</xdr:colOff>
      <xdr:row>28</xdr:row>
      <xdr:rowOff>219076</xdr:rowOff>
    </xdr:from>
    <xdr:to>
      <xdr:col>21</xdr:col>
      <xdr:colOff>196216</xdr:colOff>
      <xdr:row>30</xdr:row>
      <xdr:rowOff>131841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483716" y="6248401"/>
          <a:ext cx="2476500" cy="23661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158116</xdr:colOff>
      <xdr:row>24</xdr:row>
      <xdr:rowOff>200026</xdr:rowOff>
    </xdr:from>
    <xdr:to>
      <xdr:col>21</xdr:col>
      <xdr:colOff>272417</xdr:colOff>
      <xdr:row>25</xdr:row>
      <xdr:rowOff>181371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178916" y="5372101"/>
          <a:ext cx="2857501" cy="24804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95251</xdr:colOff>
      <xdr:row>7</xdr:row>
      <xdr:rowOff>38100</xdr:rowOff>
    </xdr:from>
    <xdr:to>
      <xdr:col>21</xdr:col>
      <xdr:colOff>243841</xdr:colOff>
      <xdr:row>26</xdr:row>
      <xdr:rowOff>190500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801351" y="1609725"/>
          <a:ext cx="5634990" cy="43719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sz="1100" b="0" i="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9170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354331</xdr:colOff>
      <xdr:row>25</xdr:row>
      <xdr:rowOff>95251</xdr:rowOff>
    </xdr:from>
    <xdr:to>
      <xdr:col>21</xdr:col>
      <xdr:colOff>87631</xdr:colOff>
      <xdr:row>26</xdr:row>
      <xdr:rowOff>112791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3803631" y="5619751"/>
          <a:ext cx="2476500" cy="28424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76201</xdr:colOff>
      <xdr:row>3</xdr:row>
      <xdr:rowOff>19051</xdr:rowOff>
    </xdr:from>
    <xdr:to>
      <xdr:col>21</xdr:col>
      <xdr:colOff>224791</xdr:colOff>
      <xdr:row>22</xdr:row>
      <xdr:rowOff>66675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0315576" y="523876"/>
          <a:ext cx="5634990" cy="424814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58275"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449581</xdr:colOff>
      <xdr:row>20</xdr:row>
      <xdr:rowOff>123825</xdr:rowOff>
    </xdr:from>
    <xdr:to>
      <xdr:col>21</xdr:col>
      <xdr:colOff>182881</xdr:colOff>
      <xdr:row>21</xdr:row>
      <xdr:rowOff>196610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3432156" y="4381500"/>
          <a:ext cx="2476500" cy="30138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104776</xdr:colOff>
      <xdr:row>3</xdr:row>
      <xdr:rowOff>19049</xdr:rowOff>
    </xdr:from>
    <xdr:to>
      <xdr:col>21</xdr:col>
      <xdr:colOff>253366</xdr:colOff>
      <xdr:row>17</xdr:row>
      <xdr:rowOff>190500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715751" y="523874"/>
          <a:ext cx="5634990" cy="349567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87755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392431</xdr:colOff>
      <xdr:row>16</xdr:row>
      <xdr:rowOff>114299</xdr:rowOff>
    </xdr:from>
    <xdr:to>
      <xdr:col>21</xdr:col>
      <xdr:colOff>125731</xdr:colOff>
      <xdr:row>17</xdr:row>
      <xdr:rowOff>112789</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4746606" y="3676649"/>
          <a:ext cx="2476500" cy="26519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104776</xdr:colOff>
      <xdr:row>3</xdr:row>
      <xdr:rowOff>19049</xdr:rowOff>
    </xdr:from>
    <xdr:to>
      <xdr:col>21</xdr:col>
      <xdr:colOff>253366</xdr:colOff>
      <xdr:row>18</xdr:row>
      <xdr:rowOff>66676</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715751" y="523874"/>
          <a:ext cx="5634990" cy="344805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497206</xdr:colOff>
      <xdr:row>16</xdr:row>
      <xdr:rowOff>123824</xdr:rowOff>
    </xdr:from>
    <xdr:to>
      <xdr:col>21</xdr:col>
      <xdr:colOff>230506</xdr:colOff>
      <xdr:row>18</xdr:row>
      <xdr:rowOff>8014</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851381" y="3648074"/>
          <a:ext cx="2476500" cy="26519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95251</xdr:colOff>
      <xdr:row>3</xdr:row>
      <xdr:rowOff>38100</xdr:rowOff>
    </xdr:from>
    <xdr:to>
      <xdr:col>21</xdr:col>
      <xdr:colOff>243841</xdr:colOff>
      <xdr:row>31</xdr:row>
      <xdr:rowOff>38100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448926" y="542925"/>
          <a:ext cx="5634990" cy="63817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Master of Teaching (Secondary</a:t>
          </a:r>
          <a:r>
            <a:rPr lang="en-AU" sz="1100" b="1" baseline="0">
              <a:solidFill>
                <a:schemeClr val="dk1"/>
              </a:solidFill>
              <a:effectLst/>
              <a:latin typeface="+mn-lt"/>
              <a:ea typeface="+mn-ea"/>
              <a:cs typeface="+mn-cs"/>
            </a:rPr>
            <a:t> </a:t>
          </a:r>
          <a:r>
            <a:rPr lang="en-AU" sz="1100" b="1">
              <a:solidFill>
                <a:schemeClr val="dk1"/>
              </a:solidFill>
              <a:effectLst/>
              <a:latin typeface="+mn-lt"/>
              <a:ea typeface="+mn-ea"/>
              <a:cs typeface="+mn-cs"/>
            </a:rPr>
            <a:t>Education)</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EDUC6065 MTC610 Professional Experience 4: Transition into the Profession can only be taken in the final study period of enrolment.</a:t>
          </a:r>
        </a:p>
        <a:p>
          <a:pPr eaLnBrk="1" fontAlgn="auto" latinLnBrk="0" hangingPunct="1"/>
          <a:endParaRPr lang="en-AU" sz="1000">
            <a:effectLst/>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114301</xdr:colOff>
      <xdr:row>25</xdr:row>
      <xdr:rowOff>43816</xdr:rowOff>
    </xdr:from>
    <xdr:to>
      <xdr:col>21</xdr:col>
      <xdr:colOff>228602</xdr:colOff>
      <xdr:row>26</xdr:row>
      <xdr:rowOff>228996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700-000004000000}"/>
            </a:ext>
          </a:extLst>
        </xdr:cNvPr>
        <xdr:cNvSpPr txBox="1"/>
      </xdr:nvSpPr>
      <xdr:spPr>
        <a:xfrm>
          <a:off x="13258801" y="5711191"/>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474346</xdr:colOff>
      <xdr:row>29</xdr:row>
      <xdr:rowOff>200026</xdr:rowOff>
    </xdr:from>
    <xdr:to>
      <xdr:col>21</xdr:col>
      <xdr:colOff>207646</xdr:colOff>
      <xdr:row>30</xdr:row>
      <xdr:rowOff>230901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700-000005000000}"/>
            </a:ext>
          </a:extLst>
        </xdr:cNvPr>
        <xdr:cNvSpPr txBox="1"/>
      </xdr:nvSpPr>
      <xdr:spPr>
        <a:xfrm>
          <a:off x="13571221" y="6553201"/>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152401</xdr:colOff>
      <xdr:row>2</xdr:row>
      <xdr:rowOff>238126</xdr:rowOff>
    </xdr:from>
    <xdr:to>
      <xdr:col>21</xdr:col>
      <xdr:colOff>300991</xdr:colOff>
      <xdr:row>28</xdr:row>
      <xdr:rowOff>28575</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0363201" y="238126"/>
          <a:ext cx="5634990" cy="577214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p>
        <a:p>
          <a:pPr algn="ctr"/>
          <a:r>
            <a:rPr lang="en-AU" sz="1100" b="1">
              <a:solidFill>
                <a:schemeClr val="dk1"/>
              </a:solidFill>
              <a:effectLst/>
              <a:latin typeface="+mn-lt"/>
              <a:ea typeface="+mn-ea"/>
              <a:cs typeface="+mn-cs"/>
            </a:rPr>
            <a:t>Graduate Diploma in Education (Primary Education)</a:t>
          </a: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(Primary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114301</xdr:colOff>
      <xdr:row>18</xdr:row>
      <xdr:rowOff>234316</xdr:rowOff>
    </xdr:from>
    <xdr:to>
      <xdr:col>21</xdr:col>
      <xdr:colOff>228602</xdr:colOff>
      <xdr:row>19</xdr:row>
      <xdr:rowOff>228996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068301" y="4072891"/>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512446</xdr:colOff>
      <xdr:row>22</xdr:row>
      <xdr:rowOff>95251</xdr:rowOff>
    </xdr:from>
    <xdr:to>
      <xdr:col>21</xdr:col>
      <xdr:colOff>245746</xdr:colOff>
      <xdr:row>23</xdr:row>
      <xdr:rowOff>173751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3466446" y="4905376"/>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219076</xdr:colOff>
      <xdr:row>3</xdr:row>
      <xdr:rowOff>28576</xdr:rowOff>
    </xdr:from>
    <xdr:to>
      <xdr:col>21</xdr:col>
      <xdr:colOff>367666</xdr:colOff>
      <xdr:row>24</xdr:row>
      <xdr:rowOff>114300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0429876" y="533401"/>
          <a:ext cx="5634990" cy="49148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p>
        <a:p>
          <a:pPr algn="ctr"/>
          <a:r>
            <a:rPr lang="en-AU" sz="1100" b="1">
              <a:solidFill>
                <a:schemeClr val="dk1"/>
              </a:solidFill>
              <a:effectLst/>
              <a:latin typeface="+mn-lt"/>
              <a:ea typeface="+mn-ea"/>
              <a:cs typeface="+mn-cs"/>
            </a:rPr>
            <a:t>Graduate Diploma in Education (Primary Education) (Accelerated Study Plan)</a:t>
          </a: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(Primary Education). Students are strongly advised to follow the recommended sequence of study as shown in this Planner.</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200026</xdr:colOff>
      <xdr:row>14</xdr:row>
      <xdr:rowOff>243841</xdr:rowOff>
    </xdr:from>
    <xdr:to>
      <xdr:col>21</xdr:col>
      <xdr:colOff>314327</xdr:colOff>
      <xdr:row>15</xdr:row>
      <xdr:rowOff>238521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154026" y="3396616"/>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521971</xdr:colOff>
      <xdr:row>18</xdr:row>
      <xdr:rowOff>209551</xdr:rowOff>
    </xdr:from>
    <xdr:to>
      <xdr:col>21</xdr:col>
      <xdr:colOff>255271</xdr:colOff>
      <xdr:row>20</xdr:row>
      <xdr:rowOff>30876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3475971" y="4238626"/>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7:G19" totalsRowShown="0" headerRowDxfId="338" dataDxfId="337">
  <autoFilter ref="A7:G19"/>
  <sortState ref="A8:F16">
    <sortCondition ref="A7:A16"/>
  </sortState>
  <tableColumns count="7">
    <tableColumn id="3" name="Choose your Course" dataDxfId="336"/>
    <tableColumn id="1" name="UDC" dataDxfId="335"/>
    <tableColumn id="2" name="Version" dataDxfId="334"/>
    <tableColumn id="5" name="Credit Points" dataDxfId="333"/>
    <tableColumn id="4" name="Effective Date" dataDxfId="332"/>
    <tableColumn id="6" name="Akari Update" dataDxfId="331"/>
    <tableColumn id="8" name="Availabilities" dataDxfId="330"/>
  </tableColumns>
  <tableStyleInfo name="TableStyleLight8" showFirstColumn="0" showLastColumn="0" showRowStripes="1" showColumnStripes="0"/>
</table>
</file>

<file path=xl/tables/table10.xml><?xml version="1.0" encoding="utf-8"?>
<table xmlns="http://schemas.openxmlformats.org/spreadsheetml/2006/main" id="7" name="TableOMTEACH1" displayName="TableOMTEACH1" ref="A3:O7" totalsRowShown="0">
  <autoFilter ref="A3:O7"/>
  <sortState ref="AF24:AW31">
    <sortCondition ref="AS11:AS19"/>
  </sortState>
  <tableColumns count="15">
    <tableColumn id="15" name="UDC" dataDxfId="196">
      <calculatedColumnFormula>TableOMTEACH1[[#This Row],[Study Package Code]]</calculatedColumnFormula>
    </tableColumn>
    <tableColumn id="16" name="Version" dataDxfId="195">
      <calculatedColumnFormula>TableOMTEACH1[[#This Row],[Ver]]</calculatedColumnFormula>
    </tableColumn>
    <tableColumn id="17" name="OUA Code"/>
    <tableColumn id="18" name="Unit Title" dataDxfId="194">
      <calculatedColumnFormula>TableOMTEACH1[[#This Row],[Structure Line]]</calculatedColumnFormula>
    </tableColumn>
    <tableColumn id="19" name="CPs" dataDxfId="193">
      <calculatedColumnFormula>TableOMTEACH1[[#This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192"/>
    <tableColumn id="10" name="Discont." dataDxfId="191"/>
  </tableColumns>
  <tableStyleInfo name="TableStyleLight1" showFirstColumn="0" showLastColumn="0" showRowStripes="1" showColumnStripes="0"/>
</table>
</file>

<file path=xl/tables/table11.xml><?xml version="1.0" encoding="utf-8"?>
<table xmlns="http://schemas.openxmlformats.org/spreadsheetml/2006/main" id="8" name="TableOUMPTCHEC" displayName="TableOUMPTCHEC" ref="A9:O25" totalsRowShown="0">
  <autoFilter ref="A9:O25"/>
  <sortState ref="A11:M42">
    <sortCondition ref="F10:F42"/>
  </sortState>
  <tableColumns count="15">
    <tableColumn id="9" name="UDC" dataDxfId="190">
      <calculatedColumnFormula>TableOUMPTCHEC[[#This Row],[Study Package Code]]</calculatedColumnFormula>
    </tableColumn>
    <tableColumn id="10" name="Version" dataDxfId="189">
      <calculatedColumnFormula>TableOUMPTCHEC[[#This Row],[Ver]]</calculatedColumnFormula>
    </tableColumn>
    <tableColumn id="11" name="OUA Code" dataDxfId="188">
      <calculatedColumnFormula>LEFT(TableOUMPTCHEC[[#This Row],[Structure Line]],7)</calculatedColumnFormula>
    </tableColumn>
    <tableColumn id="12" name="Unit Title" dataDxfId="187">
      <calculatedColumnFormula>MID(TableOUMPTCHEC[[#This Row],[Structure Line]],8,LEN(TableOUMPTCHEC[[#This Row],[Structure Line]]))</calculatedColumnFormula>
    </tableColumn>
    <tableColumn id="13" name="CPs" dataDxfId="186">
      <calculatedColumnFormula>TableOUMPTCHEC[[#This Row],[Credit Points]]</calculatedColumnFormula>
    </tableColumn>
    <tableColumn id="1" name="No." dataDxfId="185"/>
    <tableColumn id="2" name="Component Type" dataDxfId="184"/>
    <tableColumn id="3" name="Year Level" dataDxfId="183"/>
    <tableColumn id="4" name="Study Period" dataDxfId="182"/>
    <tableColumn id="5" name="Study Package Code" dataDxfId="181"/>
    <tableColumn id="6" name="Ver" dataDxfId="180"/>
    <tableColumn id="7" name="Structure Line" dataDxfId="179"/>
    <tableColumn id="8" name="Credit Points" dataDxfId="178"/>
    <tableColumn id="14" name="Effective" dataDxfId="177"/>
    <tableColumn id="15" name="Discont." dataDxfId="176"/>
  </tableColumns>
  <tableStyleInfo name="TableStyleLight1" showFirstColumn="0" showLastColumn="0" showRowStripes="1" showColumnStripes="0"/>
</table>
</file>

<file path=xl/tables/table12.xml><?xml version="1.0" encoding="utf-8"?>
<table xmlns="http://schemas.openxmlformats.org/spreadsheetml/2006/main" id="9" name="TableOUMPTCHPE" displayName="TableOUMPTCHPE" ref="A27:O43" totalsRowShown="0">
  <autoFilter ref="A27:O43"/>
  <sortState ref="AF43:AW53">
    <sortCondition ref="AR42:AR53"/>
  </sortState>
  <tableColumns count="15">
    <tableColumn id="9" name="UDC" dataDxfId="175">
      <calculatedColumnFormula>TableOUMPTCHPE[[#This Row],[Study Package Code]]</calculatedColumnFormula>
    </tableColumn>
    <tableColumn id="10" name="Version" dataDxfId="174">
      <calculatedColumnFormula>TableOUMPTCHPE[[#This Row],[Ver]]</calculatedColumnFormula>
    </tableColumn>
    <tableColumn id="11" name="OUA Code" dataDxfId="173">
      <calculatedColumnFormula>LEFT(TableOUMPTCHPE[[#This Row],[Structure Line]],6)</calculatedColumnFormula>
    </tableColumn>
    <tableColumn id="12" name="Unit Title" dataDxfId="172">
      <calculatedColumnFormula>MID(TableOUMPTCHPE[[#This Row],[Structure Line]],8,LEN(TableOUMPTCHPE[[#This Row],[Structure Line]]))</calculatedColumnFormula>
    </tableColumn>
    <tableColumn id="13" name="CPs" dataDxfId="171">
      <calculatedColumnFormula>TableOUMPTCHPE[[#This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70"/>
    <tableColumn id="15" name="Discont." dataDxfId="169"/>
  </tableColumns>
  <tableStyleInfo name="TableStyleLight1" showFirstColumn="0" showLastColumn="0" showRowStripes="1" showColumnStripes="0"/>
</table>
</file>

<file path=xl/tables/table13.xml><?xml version="1.0" encoding="utf-8"?>
<table xmlns="http://schemas.openxmlformats.org/spreadsheetml/2006/main" id="1" name="TableOUMPTCHSE" displayName="TableOUMPTCHSE" ref="A45:O85" totalsRowShown="0">
  <autoFilter ref="A45:O85"/>
  <sortState ref="A37:R47">
    <sortCondition ref="M28:M39"/>
  </sortState>
  <tableColumns count="15">
    <tableColumn id="9" name="UDC" dataDxfId="168">
      <calculatedColumnFormula>TableOUMPTCHSE[[#This Row],[Study Package Code]]</calculatedColumnFormula>
    </tableColumn>
    <tableColumn id="10" name="Version" dataDxfId="167">
      <calculatedColumnFormula>TableOUMPTCHSE[[#This Row],[Ver]]</calculatedColumnFormula>
    </tableColumn>
    <tableColumn id="11" name="OUA Code" dataDxfId="166">
      <calculatedColumnFormula>LEFT(TableOUMPTCHSE[[#This Row],[Structure Line]],6)</calculatedColumnFormula>
    </tableColumn>
    <tableColumn id="12" name="Unit Title" dataDxfId="165">
      <calculatedColumnFormula>MID(TableOUMPTCHSE[[#This Row],[Structure Line]],8,LEN(TableOUMPTCHSE[[#This Row],[Structure Line]]))</calculatedColumnFormula>
    </tableColumn>
    <tableColumn id="13" name="CPs" dataDxfId="164">
      <calculatedColumnFormula>TableOUMPTCHSE[[#This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63"/>
    <tableColumn id="15" name="Discont." dataDxfId="162"/>
  </tableColumns>
  <tableStyleInfo name="TableStyleLight1" showFirstColumn="0" showLastColumn="0" showRowStripes="1" showColumnStripes="0"/>
</table>
</file>

<file path=xl/tables/table14.xml><?xml version="1.0" encoding="utf-8"?>
<table xmlns="http://schemas.openxmlformats.org/spreadsheetml/2006/main" id="6" name="TableOMAPLING" displayName="TableOMAPLING" ref="A88:O95" totalsRowShown="0">
  <autoFilter ref="A88:O95"/>
  <sortState ref="A89:M120">
    <sortCondition ref="F10:F42"/>
  </sortState>
  <tableColumns count="15">
    <tableColumn id="9" name="UDC" dataDxfId="161">
      <calculatedColumnFormula>TableOMAPLING[[#This Row],[Study Package Code]]</calculatedColumnFormula>
    </tableColumn>
    <tableColumn id="10" name="Version" dataDxfId="160">
      <calculatedColumnFormula>TableOMAPLING[[#This Row],[Ver]]</calculatedColumnFormula>
    </tableColumn>
    <tableColumn id="11" name="OUA Code" dataDxfId="159">
      <calculatedColumnFormula>LEFT(TableOMAPLING[[#This Row],[Structure Line]],7)</calculatedColumnFormula>
    </tableColumn>
    <tableColumn id="12" name="Unit Title" dataDxfId="158">
      <calculatedColumnFormula>MID(TableOMAPLING[[#This Row],[Structure Line]],9,LEN(TableOMAPLING[[#This Row],[Structure Line]]))</calculatedColumnFormula>
    </tableColumn>
    <tableColumn id="13" name="CPs" dataDxfId="157">
      <calculatedColumnFormula>TableOMAPLING[[#This Row],[Credit Points]]</calculatedColumnFormula>
    </tableColumn>
    <tableColumn id="1" name="No." dataDxfId="156"/>
    <tableColumn id="2" name="Component Type" dataDxfId="155"/>
    <tableColumn id="3" name="Year Level" dataDxfId="154"/>
    <tableColumn id="4" name="Study Period" dataDxfId="153"/>
    <tableColumn id="5" name="Study Package Code" dataDxfId="152"/>
    <tableColumn id="6" name="Ver" dataDxfId="151"/>
    <tableColumn id="7" name="Structure Line" dataDxfId="150"/>
    <tableColumn id="8" name="Credit Points" dataDxfId="149"/>
    <tableColumn id="14" name="Effective" dataDxfId="148"/>
    <tableColumn id="15" name="Discont." dataDxfId="147"/>
  </tableColumns>
  <tableStyleInfo name="TableStyleLight1" showFirstColumn="0" showLastColumn="0" showRowStripes="1" showColumnStripes="0"/>
</table>
</file>

<file path=xl/tables/table15.xml><?xml version="1.0" encoding="utf-8"?>
<table xmlns="http://schemas.openxmlformats.org/spreadsheetml/2006/main" id="12" name="TableOCTESOL1" displayName="TableOCTESOL1" ref="A97:O103" totalsRowShown="0">
  <autoFilter ref="A97:O103"/>
  <sortState ref="A98:M129">
    <sortCondition ref="F10:F42"/>
  </sortState>
  <tableColumns count="15">
    <tableColumn id="9" name="UDC" dataDxfId="146">
      <calculatedColumnFormula>TableOCTESOL1[[#This Row],[Study Package Code]]</calculatedColumnFormula>
    </tableColumn>
    <tableColumn id="10" name="Version" dataDxfId="145">
      <calculatedColumnFormula>TableOCTESOL1[[#This Row],[Ver]]</calculatedColumnFormula>
    </tableColumn>
    <tableColumn id="11" name="OUA Code" dataDxfId="144">
      <calculatedColumnFormula>LEFT(TableOCTESOL1[[#This Row],[Structure Line]],8)</calculatedColumnFormula>
    </tableColumn>
    <tableColumn id="12" name="Unit Title" dataDxfId="143">
      <calculatedColumnFormula>MID(TableOCTESOL1[[#This Row],[Structure Line]],10,LEN(TableOCTESOL1[[#This Row],[Structure Line]]))</calculatedColumnFormula>
    </tableColumn>
    <tableColumn id="13" name="CPs" dataDxfId="142">
      <calculatedColumnFormula>TableOCTESOL1[[#This Row],[Credit Points]]</calculatedColumnFormula>
    </tableColumn>
    <tableColumn id="1" name="No." dataDxfId="141"/>
    <tableColumn id="2" name="Component Type" dataDxfId="140"/>
    <tableColumn id="3" name="Year Level" dataDxfId="139"/>
    <tableColumn id="4" name="Study Period" dataDxfId="138"/>
    <tableColumn id="5" name="Study Package Code" dataDxfId="137"/>
    <tableColumn id="6" name="Ver" dataDxfId="136"/>
    <tableColumn id="7" name="Structure Line" dataDxfId="135"/>
    <tableColumn id="8" name="Credit Points" dataDxfId="134"/>
    <tableColumn id="14" name="Effective" dataDxfId="133"/>
    <tableColumn id="15" name="Discont." dataDxfId="132"/>
  </tableColumns>
  <tableStyleInfo name="TableStyleLight1" showFirstColumn="0" showLastColumn="0" showRowStripes="1" showColumnStripes="0"/>
</table>
</file>

<file path=xl/tables/table16.xml><?xml version="1.0" encoding="utf-8"?>
<table xmlns="http://schemas.openxmlformats.org/spreadsheetml/2006/main" id="14" name="TableOCTESOL" displayName="TableOCTESOL" ref="A105:O111" totalsRowShown="0">
  <autoFilter ref="A105:O111"/>
  <sortState ref="A106:M137">
    <sortCondition ref="F10:F42"/>
  </sortState>
  <tableColumns count="15">
    <tableColumn id="9" name="UDC" dataDxfId="131">
      <calculatedColumnFormula>TableOCTESOL[[#This Row],[Study Package Code]]</calculatedColumnFormula>
    </tableColumn>
    <tableColumn id="10" name="Version" dataDxfId="130">
      <calculatedColumnFormula>TableOCTESOL[[#This Row],[Ver]]</calculatedColumnFormula>
    </tableColumn>
    <tableColumn id="11" name="OUA Code" dataDxfId="129">
      <calculatedColumnFormula>LEFT(TableOCTESOL[[#This Row],[Structure Line]],8)</calculatedColumnFormula>
    </tableColumn>
    <tableColumn id="12" name="Unit Title" dataDxfId="128">
      <calculatedColumnFormula>TableOCTESOL[[#This Row],[Structure Line]]</calculatedColumnFormula>
    </tableColumn>
    <tableColumn id="13" name="CPs" dataDxfId="127">
      <calculatedColumnFormula>TableOCTESOL[[#This Row],[Credit Points]]</calculatedColumnFormula>
    </tableColumn>
    <tableColumn id="1" name="No." dataDxfId="126"/>
    <tableColumn id="2" name="Component Type" dataDxfId="125"/>
    <tableColumn id="3" name="Year Level" dataDxfId="124"/>
    <tableColumn id="4" name="Study Period" dataDxfId="123"/>
    <tableColumn id="5" name="Study Package Code" dataDxfId="122"/>
    <tableColumn id="6" name="Ver" dataDxfId="121"/>
    <tableColumn id="7" name="Structure Line" dataDxfId="120"/>
    <tableColumn id="8" name="Credit Points" dataDxfId="119"/>
    <tableColumn id="14" name="Effective" dataDxfId="118"/>
    <tableColumn id="15" name="Discont." dataDxfId="117"/>
  </tableColumns>
  <tableStyleInfo name="TableStyleLight1" showFirstColumn="0" showLastColumn="0" showRowStripes="1" showColumnStripes="0"/>
</table>
</file>

<file path=xl/tables/table17.xml><?xml version="1.0" encoding="utf-8"?>
<table xmlns="http://schemas.openxmlformats.org/spreadsheetml/2006/main" id="15" name="TableOMEDUC" displayName="TableOMEDUC" ref="A114:O130" totalsRowShown="0">
  <autoFilter ref="A114:O130"/>
  <sortState ref="A115:R125">
    <sortCondition ref="M42:M53"/>
  </sortState>
  <tableColumns count="15">
    <tableColumn id="9" name="UDC" dataDxfId="116">
      <calculatedColumnFormula>TableOMEDUC[[#This Row],[Study Package Code]]</calculatedColumnFormula>
    </tableColumn>
    <tableColumn id="10" name="Version" dataDxfId="115">
      <calculatedColumnFormula>TableOMEDUC[[#This Row],[Ver]]</calculatedColumnFormula>
    </tableColumn>
    <tableColumn id="11" name="OUA Code" dataDxfId="114">
      <calculatedColumnFormula>LEFT(TableOMEDUC[[#This Row],[Structure Line]],7)</calculatedColumnFormula>
    </tableColumn>
    <tableColumn id="12" name="Unit Title" dataDxfId="113">
      <calculatedColumnFormula>MID(TableOMEDUC[[#This Row],[Structure Line]],9,LEN(TableOMEDUC[[#This Row],[Structure Line]]))</calculatedColumnFormula>
    </tableColumn>
    <tableColumn id="13" name="CPs" dataDxfId="112">
      <calculatedColumnFormula>TableOMEDUC[[#This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11"/>
    <tableColumn id="15" name="Discont." dataDxfId="110"/>
  </tableColumns>
  <tableStyleInfo name="TableStyleLight1" showFirstColumn="0" showLastColumn="0" showRowStripes="1" showColumnStripes="0"/>
</table>
</file>

<file path=xl/tables/table18.xml><?xml version="1.0" encoding="utf-8"?>
<table xmlns="http://schemas.openxmlformats.org/spreadsheetml/2006/main" id="17" name="TableOSEPCULIN" displayName="TableOSEPCULIN" ref="A132:O136" totalsRowShown="0">
  <autoFilter ref="A132:O136"/>
  <sortState ref="A133:M164">
    <sortCondition ref="F10:F42"/>
  </sortState>
  <tableColumns count="15">
    <tableColumn id="9" name="UDC" dataDxfId="109">
      <calculatedColumnFormula>TableOSEPCULIN[[#This Row],[Study Package Code]]</calculatedColumnFormula>
    </tableColumn>
    <tableColumn id="10" name="Version" dataDxfId="108">
      <calculatedColumnFormula>TableOSEPCULIN[[#This Row],[Ver]]</calculatedColumnFormula>
    </tableColumn>
    <tableColumn id="11" name="OUA Code" dataDxfId="107">
      <calculatedColumnFormula>LEFT(TableOSEPCULIN[[#This Row],[Structure Line]],8)</calculatedColumnFormula>
    </tableColumn>
    <tableColumn id="12" name="Unit Title" dataDxfId="106">
      <calculatedColumnFormula>MID(TableOSEPCULIN[[#This Row],[Structure Line]],9,LEN(TableOSEPCULIN[[#This Row],[Structure Line]]))</calculatedColumnFormula>
    </tableColumn>
    <tableColumn id="13" name="CPs" dataDxfId="105">
      <calculatedColumnFormula>TableOSEPCULIN[[#This Row],[Credit Points]]</calculatedColumnFormula>
    </tableColumn>
    <tableColumn id="1" name="No." dataDxfId="104"/>
    <tableColumn id="2" name="Component Type" dataDxfId="103"/>
    <tableColumn id="3" name="Year Level" dataDxfId="102"/>
    <tableColumn id="4" name="Study Period" dataDxfId="101"/>
    <tableColumn id="5" name="Study Package Code" dataDxfId="100"/>
    <tableColumn id="6" name="Ver" dataDxfId="99"/>
    <tableColumn id="7" name="Structure Line" dataDxfId="98"/>
    <tableColumn id="8" name="Credit Points" dataDxfId="97"/>
    <tableColumn id="14" name="Effective" dataDxfId="96"/>
    <tableColumn id="15" name="Discont." dataDxfId="95"/>
  </tableColumns>
  <tableStyleInfo name="TableStyleLight1" showFirstColumn="0" showLastColumn="0" showRowStripes="1" showColumnStripes="0"/>
</table>
</file>

<file path=xl/tables/table19.xml><?xml version="1.0" encoding="utf-8"?>
<table xmlns="http://schemas.openxmlformats.org/spreadsheetml/2006/main" id="18" name="TableOSEPLNTCH" displayName="TableOSEPLNTCH" ref="A138:O142" totalsRowShown="0">
  <autoFilter ref="A138:O142"/>
  <sortState ref="A139:M170">
    <sortCondition ref="F10:F42"/>
  </sortState>
  <tableColumns count="15">
    <tableColumn id="9" name="UDC" dataDxfId="94">
      <calculatedColumnFormula>TableOSEPLNTCH[[#This Row],[Study Package Code]]</calculatedColumnFormula>
    </tableColumn>
    <tableColumn id="10" name="Version" dataDxfId="93">
      <calculatedColumnFormula>TableOSEPLNTCH[[#This Row],[Ver]]</calculatedColumnFormula>
    </tableColumn>
    <tableColumn id="11" name="OUA Code" dataDxfId="92">
      <calculatedColumnFormula>LEFT(TableOSEPLNTCH[[#This Row],[Structure Line]],8)</calculatedColumnFormula>
    </tableColumn>
    <tableColumn id="12" name="Unit Title" dataDxfId="91">
      <calculatedColumnFormula>MID(TableOSEPLNTCH[[#This Row],[Structure Line]],9,LEN(TableOSEPLNTCH[[#This Row],[Structure Line]]))</calculatedColumnFormula>
    </tableColumn>
    <tableColumn id="13" name="CPs" dataDxfId="90">
      <calculatedColumnFormula>TableOSEPLNTCH[[#This Row],[Credit Points]]</calculatedColumnFormula>
    </tableColumn>
    <tableColumn id="1" name="No." dataDxfId="89"/>
    <tableColumn id="2" name="Component Type" dataDxfId="88"/>
    <tableColumn id="3" name="Year Level" dataDxfId="87"/>
    <tableColumn id="4" name="Study Period" dataDxfId="86"/>
    <tableColumn id="5" name="Study Package Code" dataDxfId="85"/>
    <tableColumn id="6" name="Ver" dataDxfId="84"/>
    <tableColumn id="7" name="Structure Line" dataDxfId="83"/>
    <tableColumn id="8" name="Credit Points" dataDxfId="82"/>
    <tableColumn id="14" name="Effective" dataDxfId="81"/>
    <tableColumn id="15" name="Discont." dataDxfId="80"/>
  </tableColumns>
  <tableStyleInfo name="TableStyleLight1" showFirstColumn="0" showLastColumn="0" showRowStripes="1" showColumnStripes="0"/>
</table>
</file>

<file path=xl/tables/table2.xml><?xml version="1.0" encoding="utf-8"?>
<table xmlns="http://schemas.openxmlformats.org/spreadsheetml/2006/main" id="4" name="TableStudyPeriods" displayName="TableStudyPeriods" ref="A22:E26" totalsRowShown="0" headerRowDxfId="329" dataDxfId="328">
  <autoFilter ref="A22:E26"/>
  <tableColumns count="5">
    <tableColumn id="1" name="Choose your commencing study period (drop-down list)" dataDxfId="327"/>
    <tableColumn id="2" name="START" dataDxfId="326"/>
    <tableColumn id="3" name="Next" dataDxfId="325"/>
    <tableColumn id="4" name="Next2" dataDxfId="324"/>
    <tableColumn id="5" name="Next3" dataDxfId="323"/>
  </tableColumns>
  <tableStyleInfo name="TableStyleLight8" showFirstColumn="0" showLastColumn="0" showRowStripes="1" showColumnStripes="0"/>
</table>
</file>

<file path=xl/tables/table20.xml><?xml version="1.0" encoding="utf-8"?>
<table xmlns="http://schemas.openxmlformats.org/spreadsheetml/2006/main" id="19" name="TableOSEPSTEME" displayName="TableOSEPSTEME" ref="A144:O148" totalsRowShown="0">
  <autoFilter ref="A144:O148"/>
  <sortState ref="A145:M176">
    <sortCondition ref="F10:F42"/>
  </sortState>
  <tableColumns count="15">
    <tableColumn id="9" name="UDC" dataDxfId="79">
      <calculatedColumnFormula>TableOSEPSTEME[[#This Row],[Study Package Code]]</calculatedColumnFormula>
    </tableColumn>
    <tableColumn id="10" name="Version" dataDxfId="78">
      <calculatedColumnFormula>TableOSEPSTEME[[#This Row],[Ver]]</calculatedColumnFormula>
    </tableColumn>
    <tableColumn id="11" name="OUA Code" dataDxfId="77">
      <calculatedColumnFormula>LEFT(TableOSEPSTEME[[#This Row],[Structure Line]],8)</calculatedColumnFormula>
    </tableColumn>
    <tableColumn id="12" name="Unit Title" dataDxfId="76">
      <calculatedColumnFormula>MID(TableOSEPSTEME[[#This Row],[Structure Line]],9,LEN(TableOSEPSTEME[[#This Row],[Structure Line]]))</calculatedColumnFormula>
    </tableColumn>
    <tableColumn id="13" name="CPs" dataDxfId="75">
      <calculatedColumnFormula>TableOSEPSTEME[[#This Row],[Credit Points]]</calculatedColumnFormula>
    </tableColumn>
    <tableColumn id="1" name="No." dataDxfId="74"/>
    <tableColumn id="2" name="Component Type" dataDxfId="73"/>
    <tableColumn id="3" name="Year Level" dataDxfId="72"/>
    <tableColumn id="4" name="Study Period" dataDxfId="71"/>
    <tableColumn id="5" name="Study Package Code" dataDxfId="70"/>
    <tableColumn id="6" name="Ver" dataDxfId="69"/>
    <tableColumn id="7" name="Structure Line" dataDxfId="68"/>
    <tableColumn id="8" name="Credit Points" dataDxfId="67"/>
    <tableColumn id="14" name="Effective" dataDxfId="66"/>
    <tableColumn id="15" name="Discont." dataDxfId="65"/>
  </tableColumns>
  <tableStyleInfo name="TableStyleLight1" showFirstColumn="0" showLastColumn="0" showRowStripes="1" showColumnStripes="0"/>
</table>
</file>

<file path=xl/tables/table21.xml><?xml version="1.0" encoding="utf-8"?>
<table xmlns="http://schemas.openxmlformats.org/spreadsheetml/2006/main" id="20" name="TableOCEDUCS1" displayName="TableOCEDUCS1" ref="A186:O200" totalsRowShown="0">
  <autoFilter ref="A186:O200"/>
  <sortState ref="A151:R161">
    <sortCondition ref="M42:M53"/>
  </sortState>
  <tableColumns count="15">
    <tableColumn id="9" name="UDC" dataDxfId="64">
      <calculatedColumnFormula>TableOCEDUCS1[[#This Row],[Study Package Code]]</calculatedColumnFormula>
    </tableColumn>
    <tableColumn id="10" name="Version" dataDxfId="63">
      <calculatedColumnFormula>TableOCEDUCS1[[#This Row],[Ver]]</calculatedColumnFormula>
    </tableColumn>
    <tableColumn id="11" name="OUA Code" dataDxfId="62">
      <calculatedColumnFormula>LEFT(TableOCEDUCS1[[#This Row],[Structure Line]],7)</calculatedColumnFormula>
    </tableColumn>
    <tableColumn id="12" name="Unit Title" dataDxfId="61">
      <calculatedColumnFormula>MID(TableOCEDUCS1[[#This Row],[Structure Line]],9,LEN(TableOCEDUCS1[[#This Row],[Structure Line]]))</calculatedColumnFormula>
    </tableColumn>
    <tableColumn id="13" name="CPs" dataDxfId="60">
      <calculatedColumnFormula>TableOCEDUCS1[[#This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59"/>
    <tableColumn id="15" name="Discont." dataDxfId="58"/>
  </tableColumns>
  <tableStyleInfo name="TableStyleLight1" showFirstColumn="0" showLastColumn="0" showRowStripes="1" showColumnStripes="0"/>
</table>
</file>

<file path=xl/tables/table22.xml><?xml version="1.0" encoding="utf-8"?>
<table xmlns="http://schemas.openxmlformats.org/spreadsheetml/2006/main" id="21" name="TableOCEDUC" displayName="TableOCEDUC" ref="A202:O216" totalsRowShown="0">
  <autoFilter ref="A202:O216"/>
  <sortState ref="A167:R177">
    <sortCondition ref="M42:M53"/>
  </sortState>
  <tableColumns count="15">
    <tableColumn id="9" name="UDC" dataDxfId="57">
      <calculatedColumnFormula>TableOCEDUC[[#This Row],[Study Package Code]]</calculatedColumnFormula>
    </tableColumn>
    <tableColumn id="10" name="Version" dataDxfId="56">
      <calculatedColumnFormula>TableOCEDUC[[#This Row],[Ver]]</calculatedColumnFormula>
    </tableColumn>
    <tableColumn id="11" name="OUA Code" dataDxfId="55">
      <calculatedColumnFormula>LEFT(TableOCEDUC[[#This Row],[Structure Line]],7)</calculatedColumnFormula>
    </tableColumn>
    <tableColumn id="12" name="Unit Title" dataDxfId="54">
      <calculatedColumnFormula>MID(TableOCEDUC[[#This Row],[Structure Line]],9,LEN(TableOCEDUC[[#This Row],[Structure Line]]))</calculatedColumnFormula>
    </tableColumn>
    <tableColumn id="13" name="CPs" dataDxfId="53">
      <calculatedColumnFormula>TableOCEDUC[[#This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52"/>
    <tableColumn id="15" name="Discont." dataDxfId="51"/>
  </tableColumns>
  <tableStyleInfo name="TableStyleLight1" showFirstColumn="0" showLastColumn="0" showRowStripes="1" showColumnStripes="0"/>
</table>
</file>

<file path=xl/tables/table23.xml><?xml version="1.0" encoding="utf-8"?>
<table xmlns="http://schemas.openxmlformats.org/spreadsheetml/2006/main" id="22" name="TableOCEDHE1" displayName="TableOCEDHE1" ref="A219:O223" totalsRowShown="0">
  <autoFilter ref="A219:O223"/>
  <sortState ref="A184:M215">
    <sortCondition ref="F10:F42"/>
  </sortState>
  <tableColumns count="15">
    <tableColumn id="9" name="UDC" dataDxfId="50">
      <calculatedColumnFormula>TableOCEDHE1[[#This Row],[Study Package Code]]</calculatedColumnFormula>
    </tableColumn>
    <tableColumn id="10" name="Version" dataDxfId="49">
      <calculatedColumnFormula>TableOCEDHE1[[#This Row],[Ver]]</calculatedColumnFormula>
    </tableColumn>
    <tableColumn id="11" name="OUA Code" dataDxfId="48">
      <calculatedColumnFormula>LEFT(TableOCEDHE1[[#This Row],[Structure Line]],8)</calculatedColumnFormula>
    </tableColumn>
    <tableColumn id="12" name="Unit Title" dataDxfId="47">
      <calculatedColumnFormula>MID(TableOCEDHE1[[#This Row],[Structure Line]],9,LEN(TableOCEDHE1[[#This Row],[Structure Line]]))</calculatedColumnFormula>
    </tableColumn>
    <tableColumn id="13" name="CPs" dataDxfId="46">
      <calculatedColumnFormula>TableOCEDHE1[[#This Row],[Credit Points]]</calculatedColumnFormula>
    </tableColumn>
    <tableColumn id="1" name="No." dataDxfId="45"/>
    <tableColumn id="2" name="Component Type" dataDxfId="44"/>
    <tableColumn id="3" name="Year Level" dataDxfId="43"/>
    <tableColumn id="4" name="Study Period" dataDxfId="42"/>
    <tableColumn id="5" name="Study Package Code" dataDxfId="41"/>
    <tableColumn id="6" name="Ver" dataDxfId="40"/>
    <tableColumn id="7" name="Structure Line" dataDxfId="39"/>
    <tableColumn id="8" name="Credit Points" dataDxfId="38"/>
    <tableColumn id="14" name="Effective" dataDxfId="37"/>
    <tableColumn id="15" name="Discont." dataDxfId="36"/>
  </tableColumns>
  <tableStyleInfo name="TableStyleLight1" showFirstColumn="0" showLastColumn="0" showRowStripes="1" showColumnStripes="0"/>
</table>
</file>

<file path=xl/tables/table24.xml><?xml version="1.0" encoding="utf-8"?>
<table xmlns="http://schemas.openxmlformats.org/spreadsheetml/2006/main" id="23" name="TableOCEDHE" displayName="TableOCEDHE" ref="A225:O229" totalsRowShown="0">
  <autoFilter ref="A225:O229"/>
  <sortState ref="A190:M221">
    <sortCondition ref="F10:F42"/>
  </sortState>
  <tableColumns count="15">
    <tableColumn id="9" name="UDC" dataDxfId="35">
      <calculatedColumnFormula>TableOCEDHE[[#This Row],[Study Package Code]]</calculatedColumnFormula>
    </tableColumn>
    <tableColumn id="10" name="Version" dataDxfId="34">
      <calculatedColumnFormula>TableOCEDHE[[#This Row],[Ver]]</calculatedColumnFormula>
    </tableColumn>
    <tableColumn id="11" name="OUA Code" dataDxfId="33">
      <calculatedColumnFormula>LEFT(TableOCEDHE[[#This Row],[Structure Line]],8)</calculatedColumnFormula>
    </tableColumn>
    <tableColumn id="12" name="Unit Title" dataDxfId="32">
      <calculatedColumnFormula>MID(TableOCEDHE[[#This Row],[Structure Line]],9,LEN(TableOCEDHE[[#This Row],[Structure Line]]))</calculatedColumnFormula>
    </tableColumn>
    <tableColumn id="13" name="CPs" dataDxfId="31">
      <calculatedColumnFormula>TableOCEDHE[[#This Row],[Credit Points]]</calculatedColumnFormula>
    </tableColumn>
    <tableColumn id="1" name="No." dataDxfId="30"/>
    <tableColumn id="2" name="Component Type" dataDxfId="29"/>
    <tableColumn id="3" name="Year Level" dataDxfId="28"/>
    <tableColumn id="4" name="Study Period" dataDxfId="27"/>
    <tableColumn id="5" name="Study Package Code" dataDxfId="26"/>
    <tableColumn id="6" name="Ver" dataDxfId="25"/>
    <tableColumn id="7" name="Structure Line" dataDxfId="24"/>
    <tableColumn id="8" name="Credit Points" dataDxfId="23"/>
    <tableColumn id="14" name="Effective" dataDxfId="22"/>
    <tableColumn id="15" name="Discont." dataDxfId="21"/>
  </tableColumns>
  <tableStyleInfo name="TableStyleLight1" showFirstColumn="0" showLastColumn="0" showRowStripes="1" showColumnStripes="0"/>
</table>
</file>

<file path=xl/tables/table25.xml><?xml version="1.0" encoding="utf-8"?>
<table xmlns="http://schemas.openxmlformats.org/spreadsheetml/2006/main" id="24" name="Table53565754" displayName="Table53565754" ref="Q3:R7" totalsRowShown="0">
  <autoFilter ref="Q3:R7"/>
  <tableColumns count="2">
    <tableColumn id="1" name="Column1"/>
    <tableColumn id="2" name="Column2"/>
  </tableColumns>
  <tableStyleInfo name="TableStyleLight4" showFirstColumn="0" showLastColumn="0" showRowStripes="1" showColumnStripes="0"/>
</table>
</file>

<file path=xl/tables/table26.xml><?xml version="1.0" encoding="utf-8"?>
<table xmlns="http://schemas.openxmlformats.org/spreadsheetml/2006/main" id="25" name="Table5356575426" displayName="Table5356575426" ref="Q9:R25" totalsRowShown="0">
  <autoFilter ref="Q9:R25"/>
  <tableColumns count="2">
    <tableColumn id="1" name="Column1"/>
    <tableColumn id="2" name="Column2"/>
  </tableColumns>
  <tableStyleInfo name="TableStyleLight4" showFirstColumn="0" showLastColumn="0" showRowStripes="1" showColumnStripes="0"/>
</table>
</file>

<file path=xl/tables/table27.xml><?xml version="1.0" encoding="utf-8"?>
<table xmlns="http://schemas.openxmlformats.org/spreadsheetml/2006/main" id="26" name="Table5356575427" displayName="Table5356575427" ref="Q27:R43" totalsRowShown="0">
  <autoFilter ref="Q27:R43"/>
  <tableColumns count="2">
    <tableColumn id="1" name="Column1"/>
    <tableColumn id="2" name="Column2"/>
  </tableColumns>
  <tableStyleInfo name="TableStyleLight4" showFirstColumn="0" showLastColumn="0" showRowStripes="1" showColumnStripes="0"/>
</table>
</file>

<file path=xl/tables/table28.xml><?xml version="1.0" encoding="utf-8"?>
<table xmlns="http://schemas.openxmlformats.org/spreadsheetml/2006/main" id="27" name="Table5356575428" displayName="Table5356575428" ref="Q45:R85" totalsRowShown="0">
  <autoFilter ref="Q45:R85"/>
  <tableColumns count="2">
    <tableColumn id="1" name="Column1"/>
    <tableColumn id="2" name="Column2"/>
  </tableColumns>
  <tableStyleInfo name="TableStyleLight4" showFirstColumn="0" showLastColumn="0" showRowStripes="1" showColumnStripes="0"/>
</table>
</file>

<file path=xl/tables/table29.xml><?xml version="1.0" encoding="utf-8"?>
<table xmlns="http://schemas.openxmlformats.org/spreadsheetml/2006/main" id="28" name="Table5356575429" displayName="Table5356575429" ref="Q88:R95" totalsRowShown="0">
  <autoFilter ref="Q88:R95"/>
  <tableColumns count="2">
    <tableColumn id="1" name="Column1"/>
    <tableColumn id="2" name="Column2"/>
  </tableColumns>
  <tableStyleInfo name="TableStyleLight4" showFirstColumn="0" showLastColumn="0" showRowStripes="1" showColumnStripes="0"/>
</table>
</file>

<file path=xl/tables/table3.xml><?xml version="1.0" encoding="utf-8"?>
<table xmlns="http://schemas.openxmlformats.org/spreadsheetml/2006/main" id="5" name="TableMajorsMTeach" displayName="TableMajorsMTeach" ref="A29:F32" totalsRowShown="0" headerRowDxfId="322" dataDxfId="321">
  <autoFilter ref="A29:F32"/>
  <tableColumns count="6">
    <tableColumn id="1" name="Choose your Major" dataDxfId="320"/>
    <tableColumn id="2" name="UDC" dataDxfId="319"/>
    <tableColumn id="3" name="Version" dataDxfId="318"/>
    <tableColumn id="4" name="Credit Points" dataDxfId="317"/>
    <tableColumn id="5" name="Effective Date" dataDxfId="316"/>
    <tableColumn id="6" name="Akari Update" dataDxfId="315"/>
  </tableColumns>
  <tableStyleInfo name="TableStyleLight8" showFirstColumn="0" showLastColumn="0" showRowStripes="1" showColumnStripes="0"/>
</table>
</file>

<file path=xl/tables/table30.xml><?xml version="1.0" encoding="utf-8"?>
<table xmlns="http://schemas.openxmlformats.org/spreadsheetml/2006/main" id="29" name="Table5356575430" displayName="Table5356575430" ref="Q97:R103" totalsRowShown="0">
  <autoFilter ref="Q97:R103"/>
  <tableColumns count="2">
    <tableColumn id="1" name="Column1"/>
    <tableColumn id="2" name="Column2"/>
  </tableColumns>
  <tableStyleInfo name="TableStyleLight4" showFirstColumn="0" showLastColumn="0" showRowStripes="1" showColumnStripes="0"/>
</table>
</file>

<file path=xl/tables/table31.xml><?xml version="1.0" encoding="utf-8"?>
<table xmlns="http://schemas.openxmlformats.org/spreadsheetml/2006/main" id="30" name="Table5356575431" displayName="Table5356575431" ref="Q105:R111" totalsRowShown="0">
  <autoFilter ref="Q105:R111"/>
  <tableColumns count="2">
    <tableColumn id="1" name="Column1"/>
    <tableColumn id="2" name="Column2"/>
  </tableColumns>
  <tableStyleInfo name="TableStyleLight4" showFirstColumn="0" showLastColumn="0" showRowStripes="1" showColumnStripes="0"/>
</table>
</file>

<file path=xl/tables/table32.xml><?xml version="1.0" encoding="utf-8"?>
<table xmlns="http://schemas.openxmlformats.org/spreadsheetml/2006/main" id="31" name="Table5356575432" displayName="Table5356575432" ref="Q114:R130" totalsRowShown="0">
  <autoFilter ref="Q114:R130"/>
  <tableColumns count="2">
    <tableColumn id="1" name="Column1"/>
    <tableColumn id="2" name="Column2"/>
  </tableColumns>
  <tableStyleInfo name="TableStyleLight4" showFirstColumn="0" showLastColumn="0" showRowStripes="1" showColumnStripes="0"/>
</table>
</file>

<file path=xl/tables/table33.xml><?xml version="1.0" encoding="utf-8"?>
<table xmlns="http://schemas.openxmlformats.org/spreadsheetml/2006/main" id="32" name="Table5356575433" displayName="Table5356575433" ref="Q132:R136" totalsRowShown="0">
  <autoFilter ref="Q132:R136"/>
  <tableColumns count="2">
    <tableColumn id="1" name="Column1"/>
    <tableColumn id="2" name="Column2"/>
  </tableColumns>
  <tableStyleInfo name="TableStyleLight4" showFirstColumn="0" showLastColumn="0" showRowStripes="1" showColumnStripes="0"/>
</table>
</file>

<file path=xl/tables/table34.xml><?xml version="1.0" encoding="utf-8"?>
<table xmlns="http://schemas.openxmlformats.org/spreadsheetml/2006/main" id="33" name="Table5356575434" displayName="Table5356575434" ref="Q138:R142" totalsRowShown="0">
  <autoFilter ref="Q138:R142"/>
  <tableColumns count="2">
    <tableColumn id="1" name="Column1"/>
    <tableColumn id="2" name="Column2"/>
  </tableColumns>
  <tableStyleInfo name="TableStyleLight4" showFirstColumn="0" showLastColumn="0" showRowStripes="1" showColumnStripes="0"/>
</table>
</file>

<file path=xl/tables/table35.xml><?xml version="1.0" encoding="utf-8"?>
<table xmlns="http://schemas.openxmlformats.org/spreadsheetml/2006/main" id="34" name="Table5356575435" displayName="Table5356575435" ref="Q144:R148" totalsRowShown="0">
  <autoFilter ref="Q144:R148"/>
  <tableColumns count="2">
    <tableColumn id="1" name="Column1"/>
    <tableColumn id="2" name="Column2"/>
  </tableColumns>
  <tableStyleInfo name="TableStyleLight4" showFirstColumn="0" showLastColumn="0" showRowStripes="1" showColumnStripes="0"/>
</table>
</file>

<file path=xl/tables/table36.xml><?xml version="1.0" encoding="utf-8"?>
<table xmlns="http://schemas.openxmlformats.org/spreadsheetml/2006/main" id="35" name="Table5356575436" displayName="Table5356575436" ref="Q186:R200" totalsRowShown="0">
  <autoFilter ref="Q186:R200"/>
  <tableColumns count="2">
    <tableColumn id="1" name="Column1"/>
    <tableColumn id="2" name="Column2"/>
  </tableColumns>
  <tableStyleInfo name="TableStyleLight4" showFirstColumn="0" showLastColumn="0" showRowStripes="1" showColumnStripes="0"/>
</table>
</file>

<file path=xl/tables/table37.xml><?xml version="1.0" encoding="utf-8"?>
<table xmlns="http://schemas.openxmlformats.org/spreadsheetml/2006/main" id="36" name="Table5356575437" displayName="Table5356575437" ref="Q202:R216" totalsRowShown="0">
  <autoFilter ref="Q202:R216"/>
  <tableColumns count="2">
    <tableColumn id="1" name="Column1"/>
    <tableColumn id="2" name="Column2"/>
  </tableColumns>
  <tableStyleInfo name="TableStyleLight4" showFirstColumn="0" showLastColumn="0" showRowStripes="1" showColumnStripes="0"/>
</table>
</file>

<file path=xl/tables/table38.xml><?xml version="1.0" encoding="utf-8"?>
<table xmlns="http://schemas.openxmlformats.org/spreadsheetml/2006/main" id="37" name="Table5356575438" displayName="Table5356575438" ref="Q219:R223" totalsRowShown="0">
  <autoFilter ref="Q219:R223"/>
  <tableColumns count="2">
    <tableColumn id="1" name="Column1"/>
    <tableColumn id="2" name="Column2"/>
  </tableColumns>
  <tableStyleInfo name="TableStyleLight4" showFirstColumn="0" showLastColumn="0" showRowStripes="1" showColumnStripes="0"/>
</table>
</file>

<file path=xl/tables/table39.xml><?xml version="1.0" encoding="utf-8"?>
<table xmlns="http://schemas.openxmlformats.org/spreadsheetml/2006/main" id="38" name="Table5356575439" displayName="Table5356575439" ref="Q225:R229" totalsRowShown="0">
  <autoFilter ref="Q225:R229"/>
  <tableColumns count="2">
    <tableColumn id="1" name="Column1"/>
    <tableColumn id="2" name="Column2"/>
  </tableColumns>
  <tableStyleInfo name="TableStyleLight4" showFirstColumn="0" showLastColumn="0" showRowStripes="1" showColumnStripes="0"/>
</table>
</file>

<file path=xl/tables/table4.xml><?xml version="1.0" encoding="utf-8"?>
<table xmlns="http://schemas.openxmlformats.org/spreadsheetml/2006/main" id="16" name="TableSpecialisationsOMEDUC" displayName="TableSpecialisationsOMEDUC" ref="A40:F44" totalsRowShown="0" headerRowDxfId="314" dataDxfId="313">
  <autoFilter ref="A40:F44"/>
  <tableColumns count="6">
    <tableColumn id="1" name="Choose your MEd Specialisation (drop-down list)" dataDxfId="312"/>
    <tableColumn id="2" name="UDC" dataDxfId="311"/>
    <tableColumn id="3" name="Version" dataDxfId="310"/>
    <tableColumn id="4" name="Credit Points" dataDxfId="309"/>
    <tableColumn id="5" name="Effective Date" dataDxfId="308"/>
    <tableColumn id="6" name="Akari Update" dataDxfId="307"/>
  </tableColumns>
  <tableStyleInfo name="TableStyleLight8" showFirstColumn="0" showLastColumn="0" showRowStripes="1" showColumnStripes="0"/>
</table>
</file>

<file path=xl/tables/table40.xml><?xml version="1.0" encoding="utf-8"?>
<table xmlns="http://schemas.openxmlformats.org/spreadsheetml/2006/main" id="39" name="TableOGEDUC" displayName="TableOGEDUC" ref="A150:O153" totalsRowShown="0">
  <autoFilter ref="A150:O153"/>
  <sortState ref="A151:R161">
    <sortCondition ref="M42:M53"/>
  </sortState>
  <tableColumns count="15">
    <tableColumn id="9" name="UDC" dataDxfId="20">
      <calculatedColumnFormula>TableOGEDUC[[#This Row],[Study Package Code]]</calculatedColumnFormula>
    </tableColumn>
    <tableColumn id="10" name="Version" dataDxfId="19">
      <calculatedColumnFormula>TableOGEDUC[[#This Row],[Ver]]</calculatedColumnFormula>
    </tableColumn>
    <tableColumn id="11" name="OUA Code" dataDxfId="18">
      <calculatedColumnFormula>LEFT(TableOGEDUC[[#This Row],[Structure Line]],7)</calculatedColumnFormula>
    </tableColumn>
    <tableColumn id="12" name="Unit Title" dataDxfId="17">
      <calculatedColumnFormula>MID(TableOGEDUC[[#This Row],[Structure Line]],9,LEN(TableOGEDUC[[#This Row],[Structure Line]]))</calculatedColumnFormula>
    </tableColumn>
    <tableColumn id="13" name="CPs" dataDxfId="16">
      <calculatedColumnFormula>TableOGEDUC[[#This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5"/>
    <tableColumn id="15" name="Discont." dataDxfId="14"/>
  </tableColumns>
  <tableStyleInfo name="TableStyleLight1" showFirstColumn="0" showLastColumn="0" showRowStripes="1" showColumnStripes="0"/>
</table>
</file>

<file path=xl/tables/table41.xml><?xml version="1.0" encoding="utf-8"?>
<table xmlns="http://schemas.openxmlformats.org/spreadsheetml/2006/main" id="40" name="Table535657543241" displayName="Table535657543241" ref="Q150:R153" totalsRowShown="0">
  <autoFilter ref="Q150:R153"/>
  <tableColumns count="2">
    <tableColumn id="1" name="Column1"/>
    <tableColumn id="2" name="Column2"/>
  </tableColumns>
  <tableStyleInfo name="TableStyleLight4" showFirstColumn="0" showLastColumn="0" showRowStripes="1" showColumnStripes="0"/>
</table>
</file>

<file path=xl/tables/table42.xml><?xml version="1.0" encoding="utf-8"?>
<table xmlns="http://schemas.openxmlformats.org/spreadsheetml/2006/main" id="42" name="TableOUMPEDUPR" displayName="TableOUMPEDUPR" ref="A155:O163" totalsRowShown="0">
  <autoFilter ref="A155:O163"/>
  <sortState ref="A156:R166">
    <sortCondition ref="M42:M53"/>
  </sortState>
  <tableColumns count="15">
    <tableColumn id="9" name="UDC" dataDxfId="13">
      <calculatedColumnFormula>TableOUMPEDUPR[[#This Row],[Study Package Code]]</calculatedColumnFormula>
    </tableColumn>
    <tableColumn id="10" name="Version" dataDxfId="12">
      <calculatedColumnFormula>TableOUMPEDUPR[[#This Row],[Ver]]</calculatedColumnFormula>
    </tableColumn>
    <tableColumn id="11" name="OUA Code" dataDxfId="11">
      <calculatedColumnFormula>LEFT(TableOUMPEDUPR[[#This Row],[Structure Line]],7)</calculatedColumnFormula>
    </tableColumn>
    <tableColumn id="12" name="Unit Title" dataDxfId="10">
      <calculatedColumnFormula>MID(TableOUMPEDUPR[[#This Row],[Structure Line]],9,LEN(TableOUMPEDUPR[[#This Row],[Structure Line]]))</calculatedColumnFormula>
    </tableColumn>
    <tableColumn id="13" name="CPs" dataDxfId="9">
      <calculatedColumnFormula>TableOUMPEDUPR[[#This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8"/>
    <tableColumn id="15" name="Discont." dataDxfId="7"/>
  </tableColumns>
  <tableStyleInfo name="TableStyleLight1" showFirstColumn="0" showLastColumn="0" showRowStripes="1" showColumnStripes="0"/>
</table>
</file>

<file path=xl/tables/table43.xml><?xml version="1.0" encoding="utf-8"?>
<table xmlns="http://schemas.openxmlformats.org/spreadsheetml/2006/main" id="43" name="Table535657543644" displayName="Table535657543644" ref="Q155:R163" totalsRowShown="0">
  <autoFilter ref="Q155:R163"/>
  <tableColumns count="2">
    <tableColumn id="1" name="Column1"/>
    <tableColumn id="2" name="Column2"/>
  </tableColumns>
  <tableStyleInfo name="TableStyleLight4" showFirstColumn="0" showLastColumn="0" showRowStripes="1" showColumnStripes="0"/>
</table>
</file>

<file path=xl/tables/table44.xml><?xml version="1.0" encoding="utf-8"?>
<table xmlns="http://schemas.openxmlformats.org/spreadsheetml/2006/main" id="44" name="TableOUMPEDUSC" displayName="TableOUMPEDUSC" ref="A165:O184" totalsRowShown="0">
  <autoFilter ref="A165:O184"/>
  <sortState ref="A166:R176">
    <sortCondition ref="M42:M53"/>
  </sortState>
  <tableColumns count="15">
    <tableColumn id="9" name="UDC" dataDxfId="6">
      <calculatedColumnFormula>TableOUMPEDUSC[[#This Row],[Study Package Code]]</calculatedColumnFormula>
    </tableColumn>
    <tableColumn id="10" name="Version" dataDxfId="5">
      <calculatedColumnFormula>TableOUMPEDUSC[[#This Row],[Ver]]</calculatedColumnFormula>
    </tableColumn>
    <tableColumn id="11" name="OUA Code" dataDxfId="4">
      <calculatedColumnFormula>LEFT(TableOUMPEDUSC[[#This Row],[Structure Line]],7)</calculatedColumnFormula>
    </tableColumn>
    <tableColumn id="12" name="Unit Title" dataDxfId="3">
      <calculatedColumnFormula>MID(TableOUMPEDUSC[[#This Row],[Structure Line]],9,LEN(TableOUMPEDUSC[[#This Row],[Structure Line]]))</calculatedColumnFormula>
    </tableColumn>
    <tableColumn id="13" name="CPs" dataDxfId="2">
      <calculatedColumnFormula>TableOUMPEDUSC[[#This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
    <tableColumn id="15" name="Discont." dataDxfId="0"/>
  </tableColumns>
  <tableStyleInfo name="TableStyleLight1" showFirstColumn="0" showLastColumn="0" showRowStripes="1" showColumnStripes="0"/>
</table>
</file>

<file path=xl/tables/table45.xml><?xml version="1.0" encoding="utf-8"?>
<table xmlns="http://schemas.openxmlformats.org/spreadsheetml/2006/main" id="45" name="Table53565754364446" displayName="Table53565754364446" ref="Q165:R184" totalsRowShown="0">
  <autoFilter ref="Q165:R184"/>
  <tableColumns count="2">
    <tableColumn id="1" name="Column1"/>
    <tableColumn id="2" name="Column2"/>
  </tableColumns>
  <tableStyleInfo name="TableStyleLight4" showFirstColumn="0" showLastColumn="0" showRowStripes="1" showColumnStripes="0"/>
</table>
</file>

<file path=xl/tables/table46.xml><?xml version="1.0" encoding="utf-8"?>
<table xmlns="http://schemas.openxmlformats.org/spreadsheetml/2006/main" id="13" name="TableAvailabilities" displayName="TableAvailabilities" ref="A4:E75" totalsRowShown="0">
  <autoFilter ref="A4:E75"/>
  <sortState ref="A5:I30">
    <sortCondition ref="A4:A30"/>
  </sortState>
  <tableColumns count="5">
    <tableColumn id="1" name="Row Labels"/>
    <tableColumn id="2" name="OpenUnis SP 1"/>
    <tableColumn id="3" name="OpenUnis SP 2"/>
    <tableColumn id="6" name="OpenUnis SP 3"/>
    <tableColumn id="7" name="OpenUnis SP 4"/>
  </tableColumns>
  <tableStyleInfo name="TableStyleLight7" showFirstColumn="0" showLastColumn="0" showRowStripes="1" showColumnStripes="0"/>
</table>
</file>

<file path=xl/tables/table5.xml><?xml version="1.0" encoding="utf-8"?>
<table xmlns="http://schemas.openxmlformats.org/spreadsheetml/2006/main" id="41" name="TableMajorsGradDip" displayName="TableMajorsGradDip" ref="A35:F37" totalsRowShown="0" headerRowDxfId="306" dataDxfId="305">
  <autoFilter ref="A35:F37"/>
  <tableColumns count="6">
    <tableColumn id="1" name="Choose your Major" dataDxfId="304"/>
    <tableColumn id="2" name="UDC" dataDxfId="303"/>
    <tableColumn id="3" name="Version" dataDxfId="302"/>
    <tableColumn id="4" name="Credit Points" dataDxfId="301"/>
    <tableColumn id="5" name="Effective Date" dataDxfId="300"/>
    <tableColumn id="6" name="Akari Update" dataDxfId="299"/>
  </tableColumns>
  <tableStyleInfo name="TableStyleLight8" showFirstColumn="0" showLastColumn="0" showRowStripes="1" showColumnStripes="0"/>
</table>
</file>

<file path=xl/tables/table6.xml><?xml version="1.0" encoding="utf-8"?>
<table xmlns="http://schemas.openxmlformats.org/spreadsheetml/2006/main" id="10" name="TableFirstTeachingArea" displayName="TableFirstTeachingArea" ref="A6:B12" totalsRowShown="0">
  <autoFilter ref="A6:B12"/>
  <tableColumns count="2">
    <tableColumn id="1" name="First Teaching Area"/>
    <tableColumn id="2" name="Code"/>
  </tableColumns>
  <tableStyleInfo name="TableStyleLight8" showFirstColumn="0" showLastColumn="0" showRowStripes="1" showColumnStripes="0"/>
</table>
</file>

<file path=xl/tables/table7.xml><?xml version="1.0" encoding="utf-8"?>
<table xmlns="http://schemas.openxmlformats.org/spreadsheetml/2006/main" id="11" name="TableSecondTeachingArea" displayName="TableSecondTeachingArea" ref="A15:B27" totalsRowShown="0">
  <autoFilter ref="A15:B27"/>
  <sortState ref="A15:B26">
    <sortCondition ref="A32:A44"/>
  </sortState>
  <tableColumns count="2">
    <tableColumn id="1" name="Teaching Area"/>
    <tableColumn id="2" name="Code"/>
  </tableColumns>
  <tableStyleInfo name="TableStyleLight8" showFirstColumn="0" showLastColumn="0" showRowStripes="1" showColumnStripes="0"/>
</table>
</file>

<file path=xl/tables/table8.xml><?xml version="1.0" encoding="utf-8"?>
<table xmlns="http://schemas.openxmlformats.org/spreadsheetml/2006/main" id="46" name="TableOGEDUCTeachingArea" displayName="TableOGEDUCTeachingArea" ref="A30:B36" totalsRowShown="0">
  <autoFilter ref="A30:B36"/>
  <tableColumns count="2">
    <tableColumn id="1" name="Choose your Approved Teaching Area (drop-down list)"/>
    <tableColumn id="2" name="Code"/>
  </tableColumns>
  <tableStyleInfo name="TableStyleLight8" showFirstColumn="0" showLastColumn="0" showRowStripes="1" showColumnStripes="0"/>
</table>
</file>

<file path=xl/tables/table9.xml><?xml version="1.0" encoding="utf-8"?>
<table xmlns="http://schemas.openxmlformats.org/spreadsheetml/2006/main" id="2" name="TableHandbook" displayName="TableHandbook" ref="A3:AC100" totalsRowShown="0" headerRowDxfId="281" dataDxfId="279" headerRowBorderDxfId="280" tableBorderDxfId="278">
  <autoFilter ref="A3:AC100"/>
  <sortState ref="A4:AC100">
    <sortCondition ref="A3:A100"/>
  </sortState>
  <tableColumns count="29">
    <tableColumn id="1" name="UDC" dataDxfId="277"/>
    <tableColumn id="2" name="Ver" dataDxfId="276"/>
    <tableColumn id="3" name="OUA Cd" dataDxfId="275"/>
    <tableColumn id="4" name="Title" dataDxfId="274"/>
    <tableColumn id="5" name="Credits" dataDxfId="273"/>
    <tableColumn id="6" name="Pre-reqs" dataDxfId="272"/>
    <tableColumn id="12" name="SP1" dataDxfId="271">
      <calculatedColumnFormula>IFERROR(IF(VLOOKUP(TableHandbook[[#This Row],[UDC]],TableAvailabilities[],2,FALSE)&gt;0,"Y",""),"")</calculatedColumnFormula>
    </tableColumn>
    <tableColumn id="17" name="SP2" dataDxfId="270">
      <calculatedColumnFormula>IFERROR(IF(VLOOKUP(TableHandbook[[#This Row],[UDC]],TableAvailabilities[],3,FALSE)&gt;0,"Y",""),"")</calculatedColumnFormula>
    </tableColumn>
    <tableColumn id="18" name="SP3" dataDxfId="269">
      <calculatedColumnFormula>IFERROR(IF(VLOOKUP(TableHandbook[[#This Row],[UDC]],TableAvailabilities[],4,FALSE)&gt;0,"Y",""),"")</calculatedColumnFormula>
    </tableColumn>
    <tableColumn id="7" name="SP4" dataDxfId="268">
      <calculatedColumnFormula>IFERROR(IF(VLOOKUP(TableHandbook[[#This Row],[UDC]],TableAvailabilities[],5,FALSE)&gt;0,"Y",""),"")</calculatedColumnFormula>
    </tableColumn>
    <tableColumn id="16" name="Notes" dataDxfId="267"/>
    <tableColumn id="8" name="OM-TEACH1" dataDxfId="266">
      <calculatedColumnFormula>IFERROR(VLOOKUP(TableHandbook[[#This Row],[UDC]],TableOMTEACH1[],7,FALSE),"")</calculatedColumnFormula>
    </tableColumn>
    <tableColumn id="9" name="OUMP-TCHEC" dataDxfId="265">
      <calculatedColumnFormula>IFERROR(VLOOKUP(TableHandbook[[#This Row],[UDC]],TableOUMPTCHEC[],7,FALSE),"")</calculatedColumnFormula>
    </tableColumn>
    <tableColumn id="10" name="OUMP-TCHPE" dataDxfId="264">
      <calculatedColumnFormula>IFERROR(VLOOKUP(TableHandbook[[#This Row],[UDC]],TableOUMPTCHPE[],7,FALSE),"")</calculatedColumnFormula>
    </tableColumn>
    <tableColumn id="20" name="OUMP-TCHSE" dataDxfId="263">
      <calculatedColumnFormula>IFERROR(VLOOKUP(TableHandbook[[#This Row],[UDC]],TableOUMPTCHSE[],7,FALSE),"")</calculatedColumnFormula>
    </tableColumn>
    <tableColumn id="11" name="OC-TESOL1" dataDxfId="262">
      <calculatedColumnFormula>IFERROR(VLOOKUP(TableHandbook[[#This Row],[UDC]],TableOCTESOL1[],7,FALSE),"")</calculatedColumnFormula>
    </tableColumn>
    <tableColumn id="13" name="OC-TESOL" dataDxfId="261">
      <calculatedColumnFormula>IFERROR(VLOOKUP(TableHandbook[[#This Row],[UDC]],TableOCTESOL[],7,FALSE),"")</calculatedColumnFormula>
    </tableColumn>
    <tableColumn id="14" name="OM-APLING" dataDxfId="260">
      <calculatedColumnFormula>IFERROR(VLOOKUP(TableHandbook[[#This Row],[UDC]],TableOMAPLING[],7,FALSE),"")</calculatedColumnFormula>
    </tableColumn>
    <tableColumn id="15" name="OC-EDHE1" dataDxfId="259">
      <calculatedColumnFormula>IFERROR(VLOOKUP(TableHandbook[[#This Row],[UDC]],TableOCEDHE1[],7,FALSE),"")</calculatedColumnFormula>
    </tableColumn>
    <tableColumn id="19" name="OC-EDHE" dataDxfId="258">
      <calculatedColumnFormula>IFERROR(VLOOKUP(TableHandbook[[#This Row],[UDC]],TableOCEDHE[],7,FALSE),"")</calculatedColumnFormula>
    </tableColumn>
    <tableColumn id="21" name="OC-EDUCS1" dataDxfId="257">
      <calculatedColumnFormula>IFERROR(VLOOKUP(TableHandbook[[#This Row],[UDC]],TableOCEDUCS1[],7,FALSE),"")</calculatedColumnFormula>
    </tableColumn>
    <tableColumn id="22" name="OC-EDUC" dataDxfId="256">
      <calculatedColumnFormula>IFERROR(VLOOKUP(TableHandbook[[#This Row],[UDC]],TableOCEDUC[],7,FALSE),"")</calculatedColumnFormula>
    </tableColumn>
    <tableColumn id="27" name="OG-EDUC" dataDxfId="255">
      <calculatedColumnFormula>IFERROR(VLOOKUP(TableHandbook[[#This Row],[UDC]],TableOGEDUC[],7,FALSE),"")</calculatedColumnFormula>
    </tableColumn>
    <tableColumn id="30" name="OUMP-EDUPR" dataDxfId="254">
      <calculatedColumnFormula>IFERROR(VLOOKUP(TableHandbook[[#This Row],[UDC]],TableOUMPEDUPR[],7,FALSE),"")</calculatedColumnFormula>
    </tableColumn>
    <tableColumn id="31" name="OUMP-EDUSC" dataDxfId="253">
      <calculatedColumnFormula>IFERROR(VLOOKUP(TableHandbook[[#This Row],[UDC]],TableOUMPEDUSC[],7,FALSE),"")</calculatedColumnFormula>
    </tableColumn>
    <tableColumn id="23" name="OM-EDUC" dataDxfId="252">
      <calculatedColumnFormula>IFERROR(VLOOKUP(TableHandbook[[#This Row],[UDC]],TableOMEDUC[],7,FALSE),"")</calculatedColumnFormula>
    </tableColumn>
    <tableColumn id="24" name="OSEP-CULIN" dataDxfId="251">
      <calculatedColumnFormula>IFERROR(VLOOKUP(TableHandbook[[#This Row],[UDC]],TableOSEPCULIN[],7,FALSE),"")</calculatedColumnFormula>
    </tableColumn>
    <tableColumn id="25" name="OSEP-LNTCH" dataDxfId="250">
      <calculatedColumnFormula>IFERROR(VLOOKUP(TableHandbook[[#This Row],[UDC]],TableOSEPLNTCH[],7,FALSE),"")</calculatedColumnFormula>
    </tableColumn>
    <tableColumn id="26" name="OSEP-STEME" dataDxfId="249">
      <calculatedColumnFormula>IFERROR(VLOOKUP(TableHandbook[[#This Row],[UDC]],TableOSEPSTEME[],7,FALSE),"")</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students.connect.curtin.edu.au/"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students.connect.curtin.edu.au/"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students.connect.curtin.edu.au/" TargetMode="External"/></Relationships>
</file>

<file path=xl/worksheets/_rels/sheet1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8" Type="http://schemas.openxmlformats.org/officeDocument/2006/relationships/table" Target="../tables/table16.xml"/><Relationship Id="rId13" Type="http://schemas.openxmlformats.org/officeDocument/2006/relationships/table" Target="../tables/table21.xml"/><Relationship Id="rId18" Type="http://schemas.openxmlformats.org/officeDocument/2006/relationships/table" Target="../tables/table26.xml"/><Relationship Id="rId26" Type="http://schemas.openxmlformats.org/officeDocument/2006/relationships/table" Target="../tables/table34.xml"/><Relationship Id="rId3" Type="http://schemas.openxmlformats.org/officeDocument/2006/relationships/table" Target="../tables/table11.xml"/><Relationship Id="rId21" Type="http://schemas.openxmlformats.org/officeDocument/2006/relationships/table" Target="../tables/table29.xml"/><Relationship Id="rId34" Type="http://schemas.openxmlformats.org/officeDocument/2006/relationships/table" Target="../tables/table42.xml"/><Relationship Id="rId7" Type="http://schemas.openxmlformats.org/officeDocument/2006/relationships/table" Target="../tables/table15.xml"/><Relationship Id="rId12" Type="http://schemas.openxmlformats.org/officeDocument/2006/relationships/table" Target="../tables/table20.xml"/><Relationship Id="rId17" Type="http://schemas.openxmlformats.org/officeDocument/2006/relationships/table" Target="../tables/table25.xml"/><Relationship Id="rId25" Type="http://schemas.openxmlformats.org/officeDocument/2006/relationships/table" Target="../tables/table33.xml"/><Relationship Id="rId33" Type="http://schemas.openxmlformats.org/officeDocument/2006/relationships/table" Target="../tables/table41.xml"/><Relationship Id="rId2" Type="http://schemas.openxmlformats.org/officeDocument/2006/relationships/table" Target="../tables/table10.xml"/><Relationship Id="rId16" Type="http://schemas.openxmlformats.org/officeDocument/2006/relationships/table" Target="../tables/table24.xml"/><Relationship Id="rId20" Type="http://schemas.openxmlformats.org/officeDocument/2006/relationships/table" Target="../tables/table28.xml"/><Relationship Id="rId29" Type="http://schemas.openxmlformats.org/officeDocument/2006/relationships/table" Target="../tables/table37.xml"/><Relationship Id="rId1" Type="http://schemas.openxmlformats.org/officeDocument/2006/relationships/printerSettings" Target="../printerSettings/printerSettings14.bin"/><Relationship Id="rId6" Type="http://schemas.openxmlformats.org/officeDocument/2006/relationships/table" Target="../tables/table14.xml"/><Relationship Id="rId11" Type="http://schemas.openxmlformats.org/officeDocument/2006/relationships/table" Target="../tables/table19.xml"/><Relationship Id="rId24" Type="http://schemas.openxmlformats.org/officeDocument/2006/relationships/table" Target="../tables/table32.xml"/><Relationship Id="rId32" Type="http://schemas.openxmlformats.org/officeDocument/2006/relationships/table" Target="../tables/table40.xml"/><Relationship Id="rId37" Type="http://schemas.openxmlformats.org/officeDocument/2006/relationships/table" Target="../tables/table45.xml"/><Relationship Id="rId5" Type="http://schemas.openxmlformats.org/officeDocument/2006/relationships/table" Target="../tables/table13.xml"/><Relationship Id="rId15" Type="http://schemas.openxmlformats.org/officeDocument/2006/relationships/table" Target="../tables/table23.xml"/><Relationship Id="rId23" Type="http://schemas.openxmlformats.org/officeDocument/2006/relationships/table" Target="../tables/table31.xml"/><Relationship Id="rId28" Type="http://schemas.openxmlformats.org/officeDocument/2006/relationships/table" Target="../tables/table36.xml"/><Relationship Id="rId36" Type="http://schemas.openxmlformats.org/officeDocument/2006/relationships/table" Target="../tables/table44.xml"/><Relationship Id="rId10" Type="http://schemas.openxmlformats.org/officeDocument/2006/relationships/table" Target="../tables/table18.xml"/><Relationship Id="rId19" Type="http://schemas.openxmlformats.org/officeDocument/2006/relationships/table" Target="../tables/table27.xml"/><Relationship Id="rId31" Type="http://schemas.openxmlformats.org/officeDocument/2006/relationships/table" Target="../tables/table39.xml"/><Relationship Id="rId4" Type="http://schemas.openxmlformats.org/officeDocument/2006/relationships/table" Target="../tables/table12.xml"/><Relationship Id="rId9" Type="http://schemas.openxmlformats.org/officeDocument/2006/relationships/table" Target="../tables/table17.xml"/><Relationship Id="rId14" Type="http://schemas.openxmlformats.org/officeDocument/2006/relationships/table" Target="../tables/table22.xml"/><Relationship Id="rId22" Type="http://schemas.openxmlformats.org/officeDocument/2006/relationships/table" Target="../tables/table30.xml"/><Relationship Id="rId27" Type="http://schemas.openxmlformats.org/officeDocument/2006/relationships/table" Target="../tables/table35.xml"/><Relationship Id="rId30" Type="http://schemas.openxmlformats.org/officeDocument/2006/relationships/table" Target="../tables/table38.xml"/><Relationship Id="rId35" Type="http://schemas.openxmlformats.org/officeDocument/2006/relationships/table" Target="../tables/table4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tudents.connect.curtin.edu.a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students.connect.curtin.edu.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59999389629810485"/>
    <pageSetUpPr fitToPage="1"/>
  </sheetPr>
  <dimension ref="A1:W38"/>
  <sheetViews>
    <sheetView showGridLines="0" topLeftCell="A3" workbookViewId="0">
      <selection activeCell="D7" sqref="D7"/>
    </sheetView>
  </sheetViews>
  <sheetFormatPr defaultColWidth="9" defaultRowHeight="15" x14ac:dyDescent="0.25"/>
  <cols>
    <col min="1" max="1" width="8.5" style="16" customWidth="1"/>
    <col min="2" max="2" width="3.25" style="16" customWidth="1"/>
    <col min="3" max="3" width="11.875" style="16" bestFit="1" customWidth="1"/>
    <col min="4" max="4" width="62.25" style="13" bestFit="1" customWidth="1"/>
    <col min="5" max="5" width="7.2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2"/>
      <c r="K1" s="11"/>
      <c r="L1" s="11" t="s">
        <v>7</v>
      </c>
    </row>
    <row r="2" spans="1:23" hidden="1" x14ac:dyDescent="0.25">
      <c r="A2" s="176"/>
      <c r="B2" s="178">
        <v>2</v>
      </c>
      <c r="C2" s="178">
        <v>3</v>
      </c>
      <c r="D2" s="178">
        <v>4</v>
      </c>
      <c r="E2" s="178"/>
      <c r="F2" s="178">
        <v>6</v>
      </c>
      <c r="G2" s="178">
        <v>5</v>
      </c>
      <c r="H2" s="178">
        <v>7</v>
      </c>
      <c r="I2" s="178">
        <v>8</v>
      </c>
      <c r="J2" s="178">
        <v>9</v>
      </c>
      <c r="K2" s="178">
        <v>10</v>
      </c>
      <c r="L2" s="177"/>
    </row>
    <row r="3" spans="1:23" ht="39.950000000000003" customHeight="1" x14ac:dyDescent="0.25">
      <c r="A3" s="428" t="s">
        <v>8</v>
      </c>
      <c r="B3" s="428"/>
      <c r="C3" s="428"/>
      <c r="D3" s="428"/>
      <c r="E3" s="135"/>
      <c r="F3" s="135"/>
      <c r="G3" s="135"/>
      <c r="H3" s="135"/>
      <c r="I3" s="135"/>
      <c r="J3" s="135"/>
      <c r="K3" s="135"/>
      <c r="L3" s="135"/>
    </row>
    <row r="4" spans="1:23" ht="25.5" x14ac:dyDescent="0.25">
      <c r="A4" s="14"/>
      <c r="B4" s="15"/>
      <c r="C4" s="15"/>
      <c r="D4" s="309" t="s">
        <v>9</v>
      </c>
      <c r="E4" s="265"/>
      <c r="F4" s="15"/>
      <c r="G4" s="72"/>
      <c r="H4" s="72"/>
      <c r="I4" s="72"/>
      <c r="J4" s="72"/>
      <c r="K4" s="72"/>
      <c r="L4" s="72"/>
    </row>
    <row r="5" spans="1:23" ht="20.100000000000001" customHeight="1" x14ac:dyDescent="0.25">
      <c r="B5" s="17"/>
      <c r="C5" s="190" t="s">
        <v>10</v>
      </c>
      <c r="D5" s="298" t="s">
        <v>11</v>
      </c>
      <c r="E5" s="18"/>
      <c r="F5" s="190" t="s">
        <v>12</v>
      </c>
      <c r="G5" s="18" t="str">
        <f>IFERROR(CONCATENATE(VLOOKUP(D5,TableCourses[],2,FALSE)," ",VLOOKUP(D5,TableCourses[],3,FALSE)),"")</f>
        <v>OM-TEACH1 v.2</v>
      </c>
      <c r="H5" s="18"/>
      <c r="I5" s="18"/>
      <c r="J5" s="18"/>
      <c r="K5" s="18"/>
      <c r="L5" s="19"/>
    </row>
    <row r="6" spans="1:23" ht="20.100000000000001" customHeight="1" x14ac:dyDescent="0.25">
      <c r="B6" s="17"/>
      <c r="C6" s="190" t="s">
        <v>13</v>
      </c>
      <c r="D6" s="170" t="s">
        <v>14</v>
      </c>
      <c r="E6" s="18"/>
      <c r="F6" s="190" t="s">
        <v>15</v>
      </c>
      <c r="G6" s="18" t="str">
        <f>IFERROR(CONCATENATE(VLOOKUP(D6,TableMajorsMTeach[],2,FALSE)," ",VLOOKUP(D6,TableMajorsMTeach[],3,FALSE)),"")</f>
        <v>OUMP-TCHEC v.2</v>
      </c>
      <c r="H6" s="18"/>
      <c r="I6" s="18"/>
      <c r="J6" s="18"/>
      <c r="K6" s="18"/>
      <c r="L6" s="306" t="e">
        <f>CONCATENATE(VLOOKUP(D6,TableMajorsMTeach[],2,FALSE),VLOOKUP(D7,TableStudyPeriods[],2,FALSE))</f>
        <v>#N/A</v>
      </c>
    </row>
    <row r="7" spans="1:23" ht="20.100000000000001" customHeight="1" x14ac:dyDescent="0.25">
      <c r="A7" s="20"/>
      <c r="B7" s="21"/>
      <c r="C7" s="190" t="s">
        <v>16</v>
      </c>
      <c r="D7" s="171" t="s">
        <v>17</v>
      </c>
      <c r="E7" s="22"/>
      <c r="F7" s="190" t="s">
        <v>18</v>
      </c>
      <c r="G7" s="18" t="str">
        <f>IFERROR(VLOOKUP($D$5,TableCourses[],4,FALSE),"")</f>
        <v>400 credit points required</v>
      </c>
      <c r="H7" s="76"/>
      <c r="I7" s="76"/>
      <c r="J7" s="76"/>
      <c r="K7" s="76"/>
      <c r="L7" s="76"/>
      <c r="M7" s="23"/>
      <c r="N7" s="23"/>
      <c r="O7" s="23"/>
      <c r="P7" s="23"/>
      <c r="Q7" s="23"/>
      <c r="R7" s="23"/>
      <c r="S7" s="23"/>
      <c r="T7" s="23"/>
      <c r="U7" s="23"/>
      <c r="V7" s="23"/>
      <c r="W7" s="23"/>
    </row>
    <row r="8" spans="1:23" s="26" customFormat="1" ht="14.1" customHeight="1" x14ac:dyDescent="0.25">
      <c r="A8" s="160"/>
      <c r="B8" s="160"/>
      <c r="C8" s="160"/>
      <c r="D8" s="161"/>
      <c r="E8" s="162"/>
      <c r="F8" s="160"/>
      <c r="G8" s="160"/>
      <c r="H8" s="163" t="s">
        <v>19</v>
      </c>
      <c r="I8" s="179"/>
      <c r="J8" s="179"/>
      <c r="K8" s="174"/>
      <c r="L8" s="165"/>
      <c r="M8" s="24"/>
      <c r="N8" s="24"/>
      <c r="O8" s="24"/>
      <c r="P8" s="25"/>
      <c r="Q8" s="25"/>
      <c r="R8" s="25"/>
      <c r="S8" s="25"/>
      <c r="T8" s="25"/>
      <c r="U8" s="25"/>
      <c r="V8" s="25"/>
      <c r="W8" s="25"/>
    </row>
    <row r="9" spans="1:23" s="26" customFormat="1" ht="21" x14ac:dyDescent="0.25">
      <c r="A9" s="160" t="s">
        <v>20</v>
      </c>
      <c r="B9" s="160"/>
      <c r="C9" s="160" t="s">
        <v>21</v>
      </c>
      <c r="D9" s="161" t="s">
        <v>3</v>
      </c>
      <c r="E9" s="186" t="s">
        <v>22</v>
      </c>
      <c r="F9" s="160" t="s">
        <v>23</v>
      </c>
      <c r="G9" s="160" t="s">
        <v>24</v>
      </c>
      <c r="H9" s="167" t="s">
        <v>25</v>
      </c>
      <c r="I9" s="180" t="s">
        <v>26</v>
      </c>
      <c r="J9" s="180" t="s">
        <v>27</v>
      </c>
      <c r="K9" s="181" t="s">
        <v>28</v>
      </c>
      <c r="L9" s="166" t="s">
        <v>29</v>
      </c>
      <c r="M9" s="24"/>
      <c r="N9" s="24"/>
      <c r="O9" s="24"/>
      <c r="P9" s="25"/>
      <c r="Q9" s="25"/>
      <c r="R9" s="25"/>
      <c r="S9" s="25"/>
      <c r="T9" s="25"/>
      <c r="U9" s="25"/>
      <c r="V9" s="25"/>
      <c r="W9" s="25"/>
    </row>
    <row r="10" spans="1:23" s="29" customFormat="1" ht="21" customHeight="1" x14ac:dyDescent="0.15">
      <c r="A10" s="64" t="str">
        <f>IFERROR(IF(HLOOKUP($L$6,RangeUnitsetsECEPR,M10,FALSE)=0,"",HLOOKUP($L$6,RangeUnitsetsECEPR,M10,FALSE)),"")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IF(OR(A10="",A10="--"),"",VLOOKUP($D$7,TableStudyPeriods[],2,FALSE))</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74">
        <v>2</v>
      </c>
      <c r="N10" s="27"/>
      <c r="O10" s="27"/>
      <c r="P10" s="28"/>
      <c r="Q10" s="28"/>
      <c r="R10" s="28"/>
      <c r="S10" s="28"/>
      <c r="T10" s="28"/>
      <c r="U10" s="28"/>
      <c r="V10" s="28"/>
      <c r="W10" s="28"/>
    </row>
    <row r="11" spans="1:23" s="29" customFormat="1" ht="21" customHeight="1" x14ac:dyDescent="0.15">
      <c r="A11" s="64" t="str">
        <f>IFERROR(IF(HLOOKUP($L$6,RangeUnitsetsECEPR,M11,FALSE)=0,"",HLOOKUP($L$6,RangeUnitsetsECEPR,M11,FALSE)),"")</f>
        <v/>
      </c>
      <c r="B11" s="58" t="str">
        <f>IFERROR(IF(VLOOKUP($A11,TableHandbook[],2,FALSE)=0,"",VLOOKUP($A11,TableHandbook[],2,FALSE)),"")</f>
        <v/>
      </c>
      <c r="C11" s="58" t="str">
        <f>IFERROR(IF(VLOOKUP($A11,TableHandbook[],3,FALSE)=0,"",VLOOKUP($A11,TableHandbook[],3,FALSE)),"")</f>
        <v/>
      </c>
      <c r="D11" s="65" t="str">
        <f>IFERROR(IF(VLOOKUP($A11,TableHandbook[],4,FALSE)=0,"",VLOOKUP($A11,TableHandbook[],4,FALSE)),"")</f>
        <v/>
      </c>
      <c r="E11" s="58" t="str">
        <f>IF(A11="","",E10)</f>
        <v/>
      </c>
      <c r="F11" s="57" t="str">
        <f>IFERROR(IF(VLOOKUP($A11,TableHandbook[],6,FALSE)=0,"",VLOOKUP($A11,TableHandbook[],6,FALSE)),"")</f>
        <v/>
      </c>
      <c r="G11" s="58" t="str">
        <f>IFERROR(IF(VLOOKUP($A11,TableHandbook[],5,FALSE)=0,"",VLOOKUP($A11,TableHandbook[],5,FALSE)),"")</f>
        <v/>
      </c>
      <c r="H11" s="68" t="str">
        <f>IFERROR(VLOOKUP($A11,TableHandbook[],H$2,FALSE),"")</f>
        <v/>
      </c>
      <c r="I11" s="58" t="str">
        <f>IFERROR(VLOOKUP($A11,TableHandbook[],I$2,FALSE),"")</f>
        <v/>
      </c>
      <c r="J11" s="58" t="str">
        <f>IFERROR(VLOOKUP($A11,TableHandbook[],J$2,FALSE),"")</f>
        <v/>
      </c>
      <c r="K11" s="182" t="str">
        <f>IFERROR(VLOOKUP($A11,TableHandbook[],K$2,FALSE),"")</f>
        <v/>
      </c>
      <c r="L11" s="66"/>
      <c r="M11" s="74">
        <v>3</v>
      </c>
      <c r="N11" s="27"/>
      <c r="O11" s="27"/>
      <c r="P11" s="28"/>
      <c r="Q11" s="28"/>
      <c r="R11" s="28"/>
      <c r="S11" s="28"/>
      <c r="T11" s="28"/>
      <c r="U11" s="28"/>
      <c r="V11" s="28"/>
      <c r="W11" s="28"/>
    </row>
    <row r="12" spans="1:23" s="29" customFormat="1" ht="4.5" customHeight="1" x14ac:dyDescent="0.15">
      <c r="A12" s="30"/>
      <c r="B12" s="31"/>
      <c r="C12" s="31"/>
      <c r="D12" s="32"/>
      <c r="E12" s="31"/>
      <c r="F12" s="33"/>
      <c r="G12" s="31"/>
      <c r="H12" s="134"/>
      <c r="I12" s="183"/>
      <c r="J12" s="183"/>
      <c r="K12" s="184"/>
      <c r="L12" s="34"/>
      <c r="M12" s="35"/>
      <c r="N12" s="27"/>
      <c r="O12" s="27"/>
      <c r="P12" s="27"/>
      <c r="Q12" s="28"/>
      <c r="R12" s="28"/>
      <c r="S12" s="28"/>
      <c r="T12" s="28"/>
      <c r="U12" s="28"/>
      <c r="V12" s="28"/>
      <c r="W12" s="28"/>
    </row>
    <row r="13" spans="1:23" s="29" customFormat="1" ht="21" customHeight="1" x14ac:dyDescent="0.15">
      <c r="A13" s="64" t="str">
        <f>IFERROR(IF(HLOOKUP($L$6,RangeUnitsetsECEPR,M13,FALSE)=0,"",HLOOKUP($L$6,RangeUnitsetsECEPR,M13,FALSE)),"")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IF(OR(A13="",A13="--"),"",VLOOKUP($D$7,TableStudyPeriods[],3,FALSE))</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7"/>
      <c r="M13" s="74">
        <v>4</v>
      </c>
      <c r="N13" s="27"/>
      <c r="O13" s="27"/>
      <c r="P13" s="28"/>
      <c r="Q13" s="28"/>
      <c r="R13" s="28"/>
      <c r="S13" s="28"/>
      <c r="T13" s="28"/>
      <c r="U13" s="28"/>
      <c r="V13" s="28"/>
      <c r="W13" s="28"/>
    </row>
    <row r="14" spans="1:23" s="29" customFormat="1" ht="21" customHeight="1" x14ac:dyDescent="0.15">
      <c r="A14" s="64" t="str">
        <f>IFERROR(IF(HLOOKUP($L$6,RangeUnitsetsECEPR,M14,FALSE)=0,"",HLOOKUP($L$6,RangeUnitsetsECEPR,M14,FALSE)),"")</f>
        <v/>
      </c>
      <c r="B14" s="58" t="str">
        <f>IFERROR(IF(VLOOKUP($A14,TableHandbook[],2,FALSE)=0,"",VLOOKUP($A14,TableHandbook[],2,FALSE)),"")</f>
        <v/>
      </c>
      <c r="C14" s="58" t="str">
        <f>IFERROR(IF(VLOOKUP($A14,TableHandbook[],3,FALSE)=0,"",VLOOKUP($A14,TableHandbook[],3,FALSE)),"")</f>
        <v/>
      </c>
      <c r="D14" s="65" t="str">
        <f>IFERROR(IF(VLOOKUP($A14,TableHandbook[],4,FALSE)=0,"",VLOOKUP($A14,TableHandbook[],4,FALSE)),"")</f>
        <v/>
      </c>
      <c r="E14" s="58" t="str">
        <f>IF(A14="","",E13)</f>
        <v/>
      </c>
      <c r="F14" s="57" t="str">
        <f>IFERROR(IF(VLOOKUP($A14,TableHandbook[],6,FALSE)=0,"",VLOOKUP($A14,TableHandbook[],6,FALSE)),"")</f>
        <v/>
      </c>
      <c r="G14" s="58" t="str">
        <f>IFERROR(IF(VLOOKUP($A14,TableHandbook[],5,FALSE)=0,"",VLOOKUP($A14,TableHandbook[],5,FALSE)),"")</f>
        <v/>
      </c>
      <c r="H14" s="68" t="str">
        <f>IFERROR(VLOOKUP($A14,TableHandbook[],H$2,FALSE),"")</f>
        <v/>
      </c>
      <c r="I14" s="58" t="str">
        <f>IFERROR(VLOOKUP($A14,TableHandbook[],I$2,FALSE),"")</f>
        <v/>
      </c>
      <c r="J14" s="58" t="str">
        <f>IFERROR(VLOOKUP($A14,TableHandbook[],J$2,FALSE),"")</f>
        <v/>
      </c>
      <c r="K14" s="182" t="str">
        <f>IFERROR(VLOOKUP($A14,TableHandbook[],K$2,FALSE),"")</f>
        <v/>
      </c>
      <c r="L14" s="66"/>
      <c r="M14" s="74">
        <v>5</v>
      </c>
      <c r="N14" s="27"/>
      <c r="O14" s="27"/>
      <c r="P14" s="28"/>
      <c r="Q14" s="28"/>
      <c r="R14" s="28"/>
      <c r="S14" s="28"/>
      <c r="T14" s="28"/>
      <c r="U14" s="28"/>
      <c r="V14" s="28"/>
      <c r="W14" s="28"/>
    </row>
    <row r="15" spans="1:23" s="29" customFormat="1" ht="4.5" customHeight="1" x14ac:dyDescent="0.15">
      <c r="A15" s="30"/>
      <c r="B15" s="31"/>
      <c r="C15" s="31"/>
      <c r="D15" s="32"/>
      <c r="E15" s="31"/>
      <c r="F15" s="33"/>
      <c r="G15" s="31"/>
      <c r="H15" s="134"/>
      <c r="I15" s="183"/>
      <c r="J15" s="183"/>
      <c r="K15" s="184"/>
      <c r="L15" s="34"/>
      <c r="M15" s="35"/>
      <c r="N15" s="27"/>
      <c r="O15" s="27"/>
      <c r="P15" s="27"/>
      <c r="Q15" s="28"/>
      <c r="R15" s="28"/>
      <c r="S15" s="28"/>
      <c r="T15" s="28"/>
      <c r="U15" s="28"/>
      <c r="V15" s="28"/>
      <c r="W15" s="28"/>
    </row>
    <row r="16" spans="1:23" s="29" customFormat="1" ht="21" customHeight="1" x14ac:dyDescent="0.15">
      <c r="A16" s="64" t="str">
        <f>IFERROR(IF(HLOOKUP($L$6,RangeUnitsetsECEPR,M16,FALSE)=0,"",HLOOKUP($L$6,RangeUnitsetsECEPR,M16,FALSE)),"")</f>
        <v/>
      </c>
      <c r="B16" s="60" t="str">
        <f>IFERROR(IF(VLOOKUP($A16,TableHandbook[],2,FALSE)=0,"",VLOOKUP($A16,TableHandbook[],2,FALSE)),"")</f>
        <v/>
      </c>
      <c r="C16" s="60" t="str">
        <f>IFERROR(IF(VLOOKUP($A16,TableHandbook[],3,FALSE)=0,"",VLOOKUP($A16,TableHandbook[],3,FALSE)),"")</f>
        <v/>
      </c>
      <c r="D16" s="65" t="str">
        <f>IFERROR(IF(VLOOKUP($A16,TableHandbook[],4,FALSE)=0,"",VLOOKUP($A16,TableHandbook[],4,FALSE)),"")</f>
        <v/>
      </c>
      <c r="E16" s="58" t="str">
        <f>IF(OR(A16="",A16="--"),"",VLOOKUP($D$7,TableStudyPeriods[],4,FALSE))</f>
        <v/>
      </c>
      <c r="F16" s="57" t="str">
        <f>IFERROR(IF(VLOOKUP($A16,TableHandbook[],6,FALSE)=0,"",VLOOKUP($A16,TableHandbook[],6,FALSE)),"")</f>
        <v/>
      </c>
      <c r="G16" s="60" t="str">
        <f>IFERROR(IF(VLOOKUP($A16,TableHandbook[],5,FALSE)=0,"",VLOOKUP($A16,TableHandbook[],5,FALSE)),"")</f>
        <v/>
      </c>
      <c r="H16" s="70" t="str">
        <f>IFERROR(VLOOKUP($A16,TableHandbook[],H$2,FALSE),"")</f>
        <v/>
      </c>
      <c r="I16" s="60" t="str">
        <f>IFERROR(VLOOKUP($A16,TableHandbook[],I$2,FALSE),"")</f>
        <v/>
      </c>
      <c r="J16" s="60" t="str">
        <f>IFERROR(VLOOKUP($A16,TableHandbook[],J$2,FALSE),"")</f>
        <v/>
      </c>
      <c r="K16" s="185" t="str">
        <f>IFERROR(VLOOKUP($A16,TableHandbook[],K$2,FALSE),"")</f>
        <v/>
      </c>
      <c r="L16" s="67"/>
      <c r="M16" s="74">
        <v>6</v>
      </c>
      <c r="N16" s="27"/>
      <c r="O16" s="27"/>
      <c r="P16" s="28"/>
      <c r="Q16" s="28"/>
      <c r="R16" s="28"/>
      <c r="S16" s="28"/>
      <c r="T16" s="28"/>
      <c r="U16" s="28"/>
      <c r="V16" s="28"/>
      <c r="W16" s="28"/>
    </row>
    <row r="17" spans="1:23" s="38" customFormat="1" ht="21" customHeight="1" x14ac:dyDescent="0.15">
      <c r="A17" s="64" t="str">
        <f>IFERROR(IF(HLOOKUP($L$6,RangeUnitsetsECEPR,M17,FALSE)=0,"",HLOOKUP($L$6,RangeUnitsetsECEPR,M17,FALSE)),"")</f>
        <v/>
      </c>
      <c r="B17" s="60" t="str">
        <f>IFERROR(IF(VLOOKUP($A17,TableHandbook[],2,FALSE)=0,"",VLOOKUP($A17,TableHandbook[],2,FALSE)),"")</f>
        <v/>
      </c>
      <c r="C17" s="60" t="str">
        <f>IFERROR(IF(VLOOKUP($A17,TableHandbook[],3,FALSE)=0,"",VLOOKUP($A17,TableHandbook[],3,FALSE)),"")</f>
        <v/>
      </c>
      <c r="D17" s="65" t="str">
        <f>IFERROR(IF(VLOOKUP($A17,TableHandbook[],4,FALSE)=0,"",VLOOKUP($A17,TableHandbook[],4,FALSE)),"")</f>
        <v/>
      </c>
      <c r="E17" s="58" t="str">
        <f>IF(A17="","",E16)</f>
        <v/>
      </c>
      <c r="F17" s="57" t="str">
        <f>IFERROR(IF(VLOOKUP($A17,TableHandbook[],6,FALSE)=0,"",VLOOKUP($A17,TableHandbook[],6,FALSE)),"")</f>
        <v/>
      </c>
      <c r="G17" s="60" t="str">
        <f>IFERROR(IF(VLOOKUP($A17,TableHandbook[],5,FALSE)=0,"",VLOOKUP($A17,TableHandbook[],5,FALSE)),"")</f>
        <v/>
      </c>
      <c r="H17" s="70" t="str">
        <f>IFERROR(VLOOKUP($A17,TableHandbook[],H$2,FALSE),"")</f>
        <v/>
      </c>
      <c r="I17" s="60" t="str">
        <f>IFERROR(VLOOKUP($A17,TableHandbook[],I$2,FALSE),"")</f>
        <v/>
      </c>
      <c r="J17" s="60" t="str">
        <f>IFERROR(VLOOKUP($A17,TableHandbook[],J$2,FALSE),"")</f>
        <v/>
      </c>
      <c r="K17" s="185" t="str">
        <f>IFERROR(VLOOKUP($A17,TableHandbook[],K$2,FALSE),"")</f>
        <v/>
      </c>
      <c r="L17" s="67"/>
      <c r="M17" s="74">
        <v>7</v>
      </c>
      <c r="N17" s="36"/>
      <c r="O17" s="36"/>
      <c r="P17" s="37"/>
      <c r="Q17" s="37"/>
      <c r="R17" s="37"/>
      <c r="S17" s="37"/>
      <c r="T17" s="37"/>
      <c r="U17" s="37"/>
      <c r="V17" s="37"/>
      <c r="W17" s="37"/>
    </row>
    <row r="18" spans="1:23" s="29" customFormat="1" ht="4.5" customHeight="1" x14ac:dyDescent="0.15">
      <c r="A18" s="30"/>
      <c r="B18" s="31"/>
      <c r="C18" s="31"/>
      <c r="D18" s="32"/>
      <c r="E18" s="31"/>
      <c r="F18" s="33"/>
      <c r="G18" s="31"/>
      <c r="H18" s="134"/>
      <c r="I18" s="183"/>
      <c r="J18" s="183"/>
      <c r="K18" s="184"/>
      <c r="L18" s="34"/>
      <c r="M18" s="35"/>
      <c r="N18" s="27"/>
      <c r="O18" s="27"/>
      <c r="P18" s="27"/>
      <c r="Q18" s="28"/>
      <c r="R18" s="28"/>
      <c r="S18" s="28"/>
      <c r="T18" s="28"/>
      <c r="U18" s="28"/>
      <c r="V18" s="28"/>
      <c r="W18" s="28"/>
    </row>
    <row r="19" spans="1:23" s="38" customFormat="1" ht="21" customHeight="1" x14ac:dyDescent="0.15">
      <c r="A19" s="64" t="str">
        <f>IFERROR(IF(HLOOKUP($L$6,RangeUnitsetsECEPR,M19,FALSE)=0,"",HLOOKUP($L$6,RangeUnitsetsECEPR,M19,FALSE)),"")</f>
        <v/>
      </c>
      <c r="B19" s="60" t="str">
        <f>IFERROR(IF(VLOOKUP($A19,TableHandbook[],2,FALSE)=0,"",VLOOKUP($A19,TableHandbook[],2,FALSE)),"")</f>
        <v/>
      </c>
      <c r="C19" s="60" t="str">
        <f>IFERROR(IF(VLOOKUP($A19,TableHandbook[],3,FALSE)=0,"",VLOOKUP($A19,TableHandbook[],3,FALSE)),"")</f>
        <v/>
      </c>
      <c r="D19" s="65" t="str">
        <f>IFERROR(IF(VLOOKUP($A19,TableHandbook[],4,FALSE)=0,"",VLOOKUP($A19,TableHandbook[],4,FALSE)),"")</f>
        <v/>
      </c>
      <c r="E19" s="58" t="str">
        <f>IF(OR(A19="",A19="--"),"",VLOOKUP($D$7,TableStudyPeriods[],5,FALSE))</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185" t="str">
        <f>IFERROR(VLOOKUP($A19,TableHandbook[],K$2,FALSE),"")</f>
        <v/>
      </c>
      <c r="L19" s="67"/>
      <c r="M19" s="74">
        <v>8</v>
      </c>
      <c r="N19" s="36"/>
      <c r="O19" s="36"/>
      <c r="P19" s="37"/>
      <c r="Q19" s="37"/>
      <c r="R19" s="37"/>
      <c r="S19" s="37"/>
      <c r="T19" s="37"/>
      <c r="U19" s="37"/>
      <c r="V19" s="37"/>
      <c r="W19" s="37"/>
    </row>
    <row r="20" spans="1:23" s="38" customFormat="1" ht="21" customHeight="1" x14ac:dyDescent="0.15">
      <c r="A20" s="64" t="str">
        <f>IFERROR(IF(HLOOKUP($L$6,RangeUnitsetsECEPR,M20,FALSE)=0,"",HLOOKUP($L$6,RangeUnitsetsECEPR,M20,FALSE)),"")</f>
        <v/>
      </c>
      <c r="B20" s="60" t="str">
        <f>IFERROR(IF(VLOOKUP($A20,TableHandbook[],2,FALSE)=0,"",VLOOKUP($A20,TableHandbook[],2,FALSE)),"")</f>
        <v/>
      </c>
      <c r="C20" s="60" t="str">
        <f>IFERROR(IF(VLOOKUP($A20,TableHandbook[],3,FALSE)=0,"",VLOOKUP($A20,TableHandbook[],3,FALSE)),"")</f>
        <v/>
      </c>
      <c r="D20" s="63" t="str">
        <f>IFERROR(IF(VLOOKUP($A20,TableHandbook[],4,FALSE)=0,"",VLOOKUP($A20,TableHandbook[],4,FALSE)),"")</f>
        <v/>
      </c>
      <c r="E20" s="60" t="str">
        <f>IF(A20="","",E19)</f>
        <v/>
      </c>
      <c r="F20" s="57" t="str">
        <f>IFERROR(IF(VLOOKUP($A20,TableHandbook[],6,FALSE)=0,"",VLOOKUP($A20,TableHandbook[],6,FALSE)),"")</f>
        <v/>
      </c>
      <c r="G20" s="60" t="str">
        <f>IFERROR(IF(VLOOKUP($A20,TableHandbook[],5,FALSE)=0,"",VLOOKUP($A20,TableHandbook[],5,FALSE)),"")</f>
        <v/>
      </c>
      <c r="H20" s="70" t="str">
        <f>IFERROR(VLOOKUP($A20,TableHandbook[],H$2,FALSE),"")</f>
        <v/>
      </c>
      <c r="I20" s="60" t="str">
        <f>IFERROR(VLOOKUP($A20,TableHandbook[],I$2,FALSE),"")</f>
        <v/>
      </c>
      <c r="J20" s="60" t="str">
        <f>IFERROR(VLOOKUP($A20,TableHandbook[],J$2,FALSE),"")</f>
        <v/>
      </c>
      <c r="K20" s="185" t="str">
        <f>IFERROR(VLOOKUP($A20,TableHandbook[],K$2,FALSE),"")</f>
        <v/>
      </c>
      <c r="L20" s="67"/>
      <c r="M20" s="74">
        <v>9</v>
      </c>
      <c r="N20" s="36"/>
      <c r="O20" s="36"/>
      <c r="P20" s="37"/>
      <c r="Q20" s="37"/>
      <c r="R20" s="37"/>
      <c r="S20" s="37"/>
      <c r="T20" s="37"/>
      <c r="U20" s="37"/>
      <c r="V20" s="37"/>
      <c r="W20" s="37"/>
    </row>
    <row r="21" spans="1:23" s="26" customFormat="1" ht="21" x14ac:dyDescent="0.25">
      <c r="A21" s="160" t="s">
        <v>30</v>
      </c>
      <c r="B21" s="160"/>
      <c r="C21" s="160" t="s">
        <v>21</v>
      </c>
      <c r="D21" s="161" t="s">
        <v>3</v>
      </c>
      <c r="E21" s="186" t="s">
        <v>22</v>
      </c>
      <c r="F21" s="160" t="s">
        <v>23</v>
      </c>
      <c r="G21" s="160" t="s">
        <v>24</v>
      </c>
      <c r="H21" s="167" t="s">
        <v>25</v>
      </c>
      <c r="I21" s="180" t="s">
        <v>26</v>
      </c>
      <c r="J21" s="180" t="s">
        <v>27</v>
      </c>
      <c r="K21" s="181" t="s">
        <v>28</v>
      </c>
      <c r="L21" s="166" t="s">
        <v>29</v>
      </c>
      <c r="M21" s="24"/>
      <c r="N21" s="24"/>
      <c r="O21" s="24"/>
      <c r="P21" s="25"/>
      <c r="Q21" s="25"/>
      <c r="R21" s="25"/>
      <c r="S21" s="25"/>
      <c r="T21" s="25"/>
      <c r="U21" s="25"/>
      <c r="V21" s="25"/>
      <c r="W21" s="25"/>
    </row>
    <row r="22" spans="1:23" s="29" customFormat="1" ht="21" customHeight="1" x14ac:dyDescent="0.15">
      <c r="A22" s="64" t="str">
        <f>IFERROR(IF(HLOOKUP($L$6,RangeUnitsetsECEPR,M22,FALSE)=0,"",HLOOKUP($L$6,RangeUnitsetsECEPR,M22,FALSE)),"")</f>
        <v/>
      </c>
      <c r="B22" s="60" t="str">
        <f>IFERROR(IF(VLOOKUP($A22,TableHandbook[],2,FALSE)=0,"",VLOOKUP($A22,TableHandbook[],2,FALSE)),"")</f>
        <v/>
      </c>
      <c r="C22" s="60" t="str">
        <f>IFERROR(IF(VLOOKUP($A22,TableHandbook[],3,FALSE)=0,"",VLOOKUP($A22,TableHandbook[],3,FALSE)),"")</f>
        <v/>
      </c>
      <c r="D22" s="61" t="str">
        <f>IFERROR(IF(VLOOKUP($A22,TableHandbook[],4,FALSE)=0,"",VLOOKUP($A22,TableHandbook[],4,FALSE)),"")</f>
        <v/>
      </c>
      <c r="E22" s="60" t="str">
        <f>IF(OR(A22="",A22="--"),"",VLOOKUP($D$7,TableStudyPeriods[],2,FALSE))</f>
        <v/>
      </c>
      <c r="F22" s="57" t="str">
        <f>IFERROR(IF(VLOOKUP($A22,TableHandbook[],6,FALSE)=0,"",VLOOKUP($A22,TableHandbook[],6,FALSE)),"")</f>
        <v/>
      </c>
      <c r="G22" s="58" t="str">
        <f>IFERROR(IF(VLOOKUP($A22,TableHandbook[],5,FALSE)=0,"",VLOOKUP($A22,TableHandbook[],5,FALSE)),"")</f>
        <v/>
      </c>
      <c r="H22" s="68" t="str">
        <f>IFERROR(VLOOKUP($A22,TableHandbook[],H$2,FALSE),"")</f>
        <v/>
      </c>
      <c r="I22" s="58" t="str">
        <f>IFERROR(VLOOKUP($A22,TableHandbook[],I$2,FALSE),"")</f>
        <v/>
      </c>
      <c r="J22" s="58" t="str">
        <f>IFERROR(VLOOKUP($A22,TableHandbook[],J$2,FALSE),"")</f>
        <v/>
      </c>
      <c r="K22" s="182" t="str">
        <f>IFERROR(VLOOKUP($A22,TableHandbook[],K$2,FALSE),"")</f>
        <v/>
      </c>
      <c r="L22" s="62"/>
      <c r="M22" s="74">
        <v>10</v>
      </c>
      <c r="N22" s="27"/>
      <c r="O22" s="27"/>
      <c r="P22" s="28"/>
      <c r="Q22" s="28"/>
      <c r="R22" s="28"/>
      <c r="S22" s="28"/>
      <c r="T22" s="28"/>
      <c r="U22" s="28"/>
      <c r="V22" s="28"/>
      <c r="W22" s="28"/>
    </row>
    <row r="23" spans="1:23" s="29" customFormat="1" ht="21" customHeight="1" x14ac:dyDescent="0.15">
      <c r="A23" s="64" t="str">
        <f>IFERROR(IF(HLOOKUP($L$6,RangeUnitsetsECEPR,M23,FALSE)=0,"",HLOOKUP($L$6,RangeUnitsetsECEPR,M23,FALSE)),"")</f>
        <v/>
      </c>
      <c r="B23" s="60" t="str">
        <f>IFERROR(IF(VLOOKUP($A23,TableHandbook[],2,FALSE)=0,"",VLOOKUP($A23,TableHandbook[],2,FALSE)),"")</f>
        <v/>
      </c>
      <c r="C23" s="60" t="str">
        <f>IFERROR(IF(VLOOKUP($A23,TableHandbook[],3,FALSE)=0,"",VLOOKUP($A23,TableHandbook[],3,FALSE)),"")</f>
        <v/>
      </c>
      <c r="D23" s="63" t="str">
        <f>IFERROR(IF(VLOOKUP($A23,TableHandbook[],4,FALSE)=0,"",VLOOKUP($A23,TableHandbook[],4,FALSE)),"")</f>
        <v/>
      </c>
      <c r="E23" s="60" t="str">
        <f>IF(A23="","",E22)</f>
        <v/>
      </c>
      <c r="F23" s="57" t="str">
        <f>IFERROR(IF(VLOOKUP($A23,TableHandbook[],6,FALSE)=0,"",VLOOKUP($A23,TableHandbook[],6,FALSE)),"")</f>
        <v/>
      </c>
      <c r="G23" s="58" t="str">
        <f>IFERROR(IF(VLOOKUP($A23,TableHandbook[],5,FALSE)=0,"",VLOOKUP($A23,TableHandbook[],5,FALSE)),"")</f>
        <v/>
      </c>
      <c r="H23" s="68" t="str">
        <f>IFERROR(VLOOKUP($A23,TableHandbook[],H$2,FALSE),"")</f>
        <v/>
      </c>
      <c r="I23" s="58" t="str">
        <f>IFERROR(VLOOKUP($A23,TableHandbook[],I$2,FALSE),"")</f>
        <v/>
      </c>
      <c r="J23" s="58" t="str">
        <f>IFERROR(VLOOKUP($A23,TableHandbook[],J$2,FALSE),"")</f>
        <v/>
      </c>
      <c r="K23" s="182" t="str">
        <f>IFERROR(VLOOKUP($A23,TableHandbook[],K$2,FALSE),"")</f>
        <v/>
      </c>
      <c r="L23" s="62"/>
      <c r="M23" s="74">
        <v>11</v>
      </c>
      <c r="N23" s="27"/>
      <c r="O23" s="27"/>
      <c r="P23" s="28"/>
      <c r="Q23" s="28"/>
      <c r="R23" s="28"/>
      <c r="S23" s="28"/>
      <c r="T23" s="28"/>
      <c r="U23" s="28"/>
      <c r="V23" s="28"/>
      <c r="W23" s="28"/>
    </row>
    <row r="24" spans="1:23" s="29" customFormat="1" ht="4.5" customHeight="1" x14ac:dyDescent="0.15">
      <c r="A24" s="30"/>
      <c r="B24" s="31"/>
      <c r="C24" s="31"/>
      <c r="D24" s="32"/>
      <c r="E24" s="31"/>
      <c r="F24" s="33"/>
      <c r="G24" s="31"/>
      <c r="H24" s="134"/>
      <c r="I24" s="183"/>
      <c r="J24" s="183"/>
      <c r="K24" s="184"/>
      <c r="L24" s="34"/>
      <c r="M24" s="35"/>
      <c r="N24" s="27"/>
      <c r="O24" s="27"/>
      <c r="P24" s="27"/>
      <c r="Q24" s="28"/>
      <c r="R24" s="28"/>
      <c r="S24" s="28"/>
      <c r="T24" s="28"/>
      <c r="U24" s="28"/>
      <c r="V24" s="28"/>
      <c r="W24" s="28"/>
    </row>
    <row r="25" spans="1:23" s="29" customFormat="1" ht="21" customHeight="1" x14ac:dyDescent="0.15">
      <c r="A25" s="64" t="str">
        <f>IFERROR(IF(HLOOKUP($L$6,RangeUnitsetsECEPR,M25,FALSE)=0,"",HLOOKUP($L$6,RangeUnitsetsECEPR,M25,FALSE)),"")</f>
        <v/>
      </c>
      <c r="B25" s="60" t="str">
        <f>IFERROR(IF(VLOOKUP($A25,TableHandbook[],2,FALSE)=0,"",VLOOKUP($A25,TableHandbook[],2,FALSE)),"")</f>
        <v/>
      </c>
      <c r="C25" s="60" t="str">
        <f>IFERROR(IF(VLOOKUP($A25,TableHandbook[],3,FALSE)=0,"",VLOOKUP($A25,TableHandbook[],3,FALSE)),"")</f>
        <v/>
      </c>
      <c r="D25" s="63" t="str">
        <f>IFERROR(IF(VLOOKUP($A25,TableHandbook[],4,FALSE)=0,"",VLOOKUP($A25,TableHandbook[],4,FALSE)),"")</f>
        <v/>
      </c>
      <c r="E25" s="60" t="str">
        <f>IF(OR(A25="",A25="--"),"",VLOOKUP($D$7,TableStudyPeriods[],3,FALSE))</f>
        <v/>
      </c>
      <c r="F25" s="57" t="str">
        <f>IFERROR(IF(VLOOKUP($A25,TableHandbook[],6,FALSE)=0,"",VLOOKUP($A25,TableHandbook[],6,FALSE)),"")</f>
        <v/>
      </c>
      <c r="G25" s="58" t="str">
        <f>IFERROR(IF(VLOOKUP($A25,TableHandbook[],5,FALSE)=0,"",VLOOKUP($A25,TableHandbook[],5,FALSE)),"")</f>
        <v/>
      </c>
      <c r="H25" s="68" t="str">
        <f>IFERROR(VLOOKUP($A25,TableHandbook[],H$2,FALSE),"")</f>
        <v/>
      </c>
      <c r="I25" s="58" t="str">
        <f>IFERROR(VLOOKUP($A25,TableHandbook[],I$2,FALSE),"")</f>
        <v/>
      </c>
      <c r="J25" s="58" t="str">
        <f>IFERROR(VLOOKUP($A25,TableHandbook[],J$2,FALSE),"")</f>
        <v/>
      </c>
      <c r="K25" s="182" t="str">
        <f>IFERROR(VLOOKUP($A25,TableHandbook[],K$2,FALSE),"")</f>
        <v/>
      </c>
      <c r="L25" s="62"/>
      <c r="M25" s="74">
        <v>12</v>
      </c>
      <c r="N25" s="27"/>
      <c r="O25" s="27"/>
      <c r="P25" s="28"/>
      <c r="Q25" s="28"/>
      <c r="R25" s="28"/>
      <c r="S25" s="28"/>
      <c r="T25" s="28"/>
      <c r="U25" s="28"/>
      <c r="V25" s="28"/>
      <c r="W25" s="28"/>
    </row>
    <row r="26" spans="1:23" s="29" customFormat="1" ht="21" customHeight="1" x14ac:dyDescent="0.15">
      <c r="A26" s="64" t="str">
        <f>IFERROR(IF(HLOOKUP($L$6,RangeUnitsetsECEPR,M26,FALSE)=0,"",HLOOKUP($L$6,RangeUnitsetsECEPR,M26,FALSE)),"")</f>
        <v/>
      </c>
      <c r="B26" s="60" t="str">
        <f>IFERROR(IF(VLOOKUP($A26,TableHandbook[],2,FALSE)=0,"",VLOOKUP($A26,TableHandbook[],2,FALSE)),"")</f>
        <v/>
      </c>
      <c r="C26" s="60" t="str">
        <f>IFERROR(IF(VLOOKUP($A26,TableHandbook[],3,FALSE)=0,"",VLOOKUP($A26,TableHandbook[],3,FALSE)),"")</f>
        <v/>
      </c>
      <c r="D26" s="63" t="str">
        <f>IFERROR(IF(VLOOKUP($A26,TableHandbook[],4,FALSE)=0,"",VLOOKUP($A26,TableHandbook[],4,FALSE)),"")</f>
        <v/>
      </c>
      <c r="E26" s="60" t="str">
        <f>IF(A26="","",E25)</f>
        <v/>
      </c>
      <c r="F26" s="57" t="str">
        <f>IFERROR(IF(VLOOKUP($A26,TableHandbook[],6,FALSE)=0,"",VLOOKUP($A26,TableHandbook[],6,FALSE)),"")</f>
        <v/>
      </c>
      <c r="G26" s="58" t="str">
        <f>IFERROR(IF(VLOOKUP($A26,TableHandbook[],5,FALSE)=0,"",VLOOKUP($A26,TableHandbook[],5,FALSE)),"")</f>
        <v/>
      </c>
      <c r="H26" s="68" t="str">
        <f>IFERROR(VLOOKUP($A26,TableHandbook[],H$2,FALSE),"")</f>
        <v/>
      </c>
      <c r="I26" s="58" t="str">
        <f>IFERROR(VLOOKUP($A26,TableHandbook[],I$2,FALSE),"")</f>
        <v/>
      </c>
      <c r="J26" s="58" t="str">
        <f>IFERROR(VLOOKUP($A26,TableHandbook[],J$2,FALSE),"")</f>
        <v/>
      </c>
      <c r="K26" s="182" t="str">
        <f>IFERROR(VLOOKUP($A26,TableHandbook[],K$2,FALSE),"")</f>
        <v/>
      </c>
      <c r="L26" s="62"/>
      <c r="M26" s="74">
        <v>13</v>
      </c>
      <c r="N26" s="27"/>
      <c r="O26" s="27"/>
      <c r="P26" s="28"/>
      <c r="Q26" s="28"/>
      <c r="R26" s="28"/>
      <c r="S26" s="28"/>
      <c r="T26" s="28"/>
      <c r="U26" s="28"/>
      <c r="V26" s="28"/>
      <c r="W26" s="28"/>
    </row>
    <row r="27" spans="1:23" s="29" customFormat="1" ht="4.5" customHeight="1" x14ac:dyDescent="0.15">
      <c r="A27" s="30"/>
      <c r="B27" s="31"/>
      <c r="C27" s="31"/>
      <c r="D27" s="32"/>
      <c r="E27" s="31"/>
      <c r="F27" s="33"/>
      <c r="G27" s="31"/>
      <c r="H27" s="134"/>
      <c r="I27" s="183"/>
      <c r="J27" s="183"/>
      <c r="K27" s="184"/>
      <c r="L27" s="34"/>
      <c r="M27" s="35"/>
      <c r="N27" s="27"/>
      <c r="O27" s="27"/>
      <c r="P27" s="27"/>
      <c r="Q27" s="28"/>
      <c r="R27" s="28"/>
      <c r="S27" s="28"/>
      <c r="T27" s="28"/>
      <c r="U27" s="28"/>
      <c r="V27" s="28"/>
      <c r="W27" s="28"/>
    </row>
    <row r="28" spans="1:23" s="29" customFormat="1" ht="21" customHeight="1" x14ac:dyDescent="0.15">
      <c r="A28" s="64" t="str">
        <f>IFERROR(IF(HLOOKUP($L$6,RangeUnitsetsECEPR,M28,FALSE)=0,"",HLOOKUP($L$6,RangeUnitsetsECEPR,M28,FALSE)),"")</f>
        <v/>
      </c>
      <c r="B28" s="60" t="str">
        <f>IFERROR(IF(VLOOKUP($A28,TableHandbook[],2,FALSE)=0,"",VLOOKUP($A28,TableHandbook[],2,FALSE)),"")</f>
        <v/>
      </c>
      <c r="C28" s="60" t="str">
        <f>IFERROR(IF(VLOOKUP($A28,TableHandbook[],3,FALSE)=0,"",VLOOKUP($A28,TableHandbook[],3,FALSE)),"")</f>
        <v/>
      </c>
      <c r="D28" s="63" t="str">
        <f>IFERROR(IF(VLOOKUP($A28,TableHandbook[],4,FALSE)=0,"",VLOOKUP($A28,TableHandbook[],4,FALSE)),"")</f>
        <v/>
      </c>
      <c r="E28" s="60" t="str">
        <f>IF(OR(A28="",A28="--"),"",VLOOKUP($D$7,TableStudyPeriods[],4,FALSE))</f>
        <v/>
      </c>
      <c r="F28" s="57" t="str">
        <f>IFERROR(IF(VLOOKUP($A28,TableHandbook[],6,FALSE)=0,"",VLOOKUP($A28,TableHandbook[],6,FALSE)),"")</f>
        <v/>
      </c>
      <c r="G28" s="58" t="str">
        <f>IFERROR(IF(VLOOKUP($A28,TableHandbook[],5,FALSE)=0,"",VLOOKUP($A28,TableHandbook[],5,FALSE)),"")</f>
        <v/>
      </c>
      <c r="H28" s="70" t="str">
        <f>IFERROR(VLOOKUP($A28,TableHandbook[],H$2,FALSE),"")</f>
        <v/>
      </c>
      <c r="I28" s="60" t="str">
        <f>IFERROR(VLOOKUP($A28,TableHandbook[],I$2,FALSE),"")</f>
        <v/>
      </c>
      <c r="J28" s="60" t="str">
        <f>IFERROR(VLOOKUP($A28,TableHandbook[],J$2,FALSE),"")</f>
        <v/>
      </c>
      <c r="K28" s="185" t="str">
        <f>IFERROR(VLOOKUP($A28,TableHandbook[],K$2,FALSE),"")</f>
        <v/>
      </c>
      <c r="L28" s="62"/>
      <c r="M28" s="74">
        <v>14</v>
      </c>
      <c r="N28" s="27"/>
      <c r="O28" s="27"/>
      <c r="P28" s="28"/>
      <c r="Q28" s="28"/>
      <c r="R28" s="28"/>
      <c r="S28" s="28"/>
      <c r="T28" s="28"/>
      <c r="U28" s="28"/>
      <c r="V28" s="28"/>
      <c r="W28" s="28"/>
    </row>
    <row r="29" spans="1:23" s="29" customFormat="1" ht="21" customHeight="1" x14ac:dyDescent="0.15">
      <c r="A29" s="64" t="str">
        <f>IFERROR(IF(HLOOKUP($L$6,RangeUnitsetsECEPR,M29,FALSE)=0,"",HLOOKUP($L$6,RangeUnitsetsECEPR,M29,FALSE)),"")</f>
        <v/>
      </c>
      <c r="B29" s="60" t="str">
        <f>IFERROR(IF(VLOOKUP($A29,TableHandbook[],2,FALSE)=0,"",VLOOKUP($A29,TableHandbook[],2,FALSE)),"")</f>
        <v/>
      </c>
      <c r="C29" s="60" t="str">
        <f>IFERROR(IF(VLOOKUP($A29,TableHandbook[],3,FALSE)=0,"",VLOOKUP($A29,TableHandbook[],3,FALSE)),"")</f>
        <v/>
      </c>
      <c r="D29" s="63" t="str">
        <f>IFERROR(IF(VLOOKUP($A29,TableHandbook[],4,FALSE)=0,"",VLOOKUP($A29,TableHandbook[],4,FALSE)),"")</f>
        <v/>
      </c>
      <c r="E29" s="60" t="str">
        <f>IF(A29="","",E28)</f>
        <v/>
      </c>
      <c r="F29" s="57" t="str">
        <f>IFERROR(IF(VLOOKUP($A29,TableHandbook[],6,FALSE)=0,"",VLOOKUP($A29,TableHandbook[],6,FALSE)),"")</f>
        <v/>
      </c>
      <c r="G29" s="58" t="str">
        <f>IFERROR(IF(VLOOKUP($A29,TableHandbook[],5,FALSE)=0,"",VLOOKUP($A29,TableHandbook[],5,FALSE)),"")</f>
        <v/>
      </c>
      <c r="H29" s="70" t="str">
        <f>IFERROR(VLOOKUP($A29,TableHandbook[],H$2,FALSE),"")</f>
        <v/>
      </c>
      <c r="I29" s="60" t="str">
        <f>IFERROR(VLOOKUP($A29,TableHandbook[],I$2,FALSE),"")</f>
        <v/>
      </c>
      <c r="J29" s="60" t="str">
        <f>IFERROR(VLOOKUP($A29,TableHandbook[],J$2,FALSE),"")</f>
        <v/>
      </c>
      <c r="K29" s="185" t="str">
        <f>IFERROR(VLOOKUP($A29,TableHandbook[],K$2,FALSE),"")</f>
        <v/>
      </c>
      <c r="L29" s="62"/>
      <c r="M29" s="74">
        <v>15</v>
      </c>
      <c r="N29" s="27"/>
      <c r="O29" s="27"/>
      <c r="P29" s="28"/>
      <c r="Q29" s="28"/>
      <c r="R29" s="28"/>
      <c r="S29" s="28"/>
      <c r="T29" s="28"/>
      <c r="U29" s="28"/>
      <c r="V29" s="28"/>
      <c r="W29" s="28"/>
    </row>
    <row r="30" spans="1:23" s="38" customFormat="1" ht="4.5" customHeight="1" x14ac:dyDescent="0.15">
      <c r="A30" s="30"/>
      <c r="B30" s="31"/>
      <c r="C30" s="31"/>
      <c r="D30" s="32"/>
      <c r="E30" s="31"/>
      <c r="F30" s="33"/>
      <c r="G30" s="31"/>
      <c r="H30" s="134"/>
      <c r="I30" s="183"/>
      <c r="J30" s="183"/>
      <c r="K30" s="184"/>
      <c r="L30" s="34"/>
      <c r="M30" s="74"/>
      <c r="N30" s="36"/>
      <c r="O30" s="36"/>
      <c r="P30" s="37"/>
      <c r="Q30" s="37"/>
      <c r="R30" s="37"/>
      <c r="S30" s="37"/>
      <c r="T30" s="37"/>
      <c r="U30" s="37"/>
      <c r="V30" s="37"/>
      <c r="W30" s="37"/>
    </row>
    <row r="31" spans="1:23" s="38" customFormat="1" ht="21" customHeight="1" x14ac:dyDescent="0.15">
      <c r="A31" s="64" t="str">
        <f>IFERROR(IF(HLOOKUP($L$6,RangeUnitsetsECEPR,M31,FALSE)=0,"",HLOOKUP($L$6,RangeUnitsetsECEPR,M31,FALSE)),"")</f>
        <v/>
      </c>
      <c r="B31" s="60" t="str">
        <f>IFERROR(IF(VLOOKUP($A31,TableHandbook[],2,FALSE)=0,"",VLOOKUP($A31,TableHandbook[],2,FALSE)),"")</f>
        <v/>
      </c>
      <c r="C31" s="60" t="str">
        <f>IFERROR(IF(VLOOKUP($A31,TableHandbook[],3,FALSE)=0,"",VLOOKUP($A31,TableHandbook[],3,FALSE)),"")</f>
        <v/>
      </c>
      <c r="D31" s="63" t="str">
        <f>IFERROR(IF(VLOOKUP($A31,TableHandbook[],4,FALSE)=0,"",VLOOKUP($A31,TableHandbook[],4,FALSE)),"")</f>
        <v/>
      </c>
      <c r="E31" s="60" t="str">
        <f>IF(OR(A31="",A31="--"),"",VLOOKUP($D$7,TableStudyPeriods[],5,FALSE))</f>
        <v/>
      </c>
      <c r="F31" s="57" t="str">
        <f>IFERROR(IF(VLOOKUP($A31,TableHandbook[],6,FALSE)=0,"",VLOOKUP($A31,TableHandbook[],6,FALSE)),"")</f>
        <v/>
      </c>
      <c r="G31" s="58" t="str">
        <f>IFERROR(IF(VLOOKUP($A31,TableHandbook[],5,FALSE)=0,"",VLOOKUP($A31,TableHandbook[],5,FALSE)),"")</f>
        <v/>
      </c>
      <c r="H31" s="70" t="str">
        <f>IFERROR(VLOOKUP($A31,TableHandbook[],H$2,FALSE),"")</f>
        <v/>
      </c>
      <c r="I31" s="60" t="str">
        <f>IFERROR(VLOOKUP($A31,TableHandbook[],I$2,FALSE),"")</f>
        <v/>
      </c>
      <c r="J31" s="60" t="str">
        <f>IFERROR(VLOOKUP($A31,TableHandbook[],J$2,FALSE),"")</f>
        <v/>
      </c>
      <c r="K31" s="185" t="str">
        <f>IFERROR(VLOOKUP($A31,TableHandbook[],K$2,FALSE),"")</f>
        <v/>
      </c>
      <c r="L31" s="62"/>
      <c r="M31" s="74">
        <v>16</v>
      </c>
      <c r="N31" s="36"/>
      <c r="O31" s="36"/>
      <c r="P31" s="37"/>
      <c r="Q31" s="37"/>
      <c r="R31" s="37"/>
      <c r="S31" s="37"/>
      <c r="T31" s="37"/>
      <c r="U31" s="37"/>
      <c r="V31" s="37"/>
      <c r="W31" s="37"/>
    </row>
    <row r="32" spans="1:23" s="38" customFormat="1" ht="21" customHeight="1" x14ac:dyDescent="0.15">
      <c r="A32" s="64" t="str">
        <f>IFERROR(IF(HLOOKUP($L$6,RangeUnitsetsECEPR,M32,FALSE)=0,"",HLOOKUP($L$6,RangeUnitsetsECEPR,M32,FALSE)),"")</f>
        <v/>
      </c>
      <c r="B32" s="60" t="str">
        <f>IFERROR(IF(VLOOKUP($A32,TableHandbook[],2,FALSE)=0,"",VLOOKUP($A32,TableHandbook[],2,FALSE)),"")</f>
        <v/>
      </c>
      <c r="C32" s="60" t="str">
        <f>IFERROR(IF(VLOOKUP($A32,TableHandbook[],3,FALSE)=0,"",VLOOKUP($A32,TableHandbook[],3,FALSE)),"")</f>
        <v/>
      </c>
      <c r="D32" s="63" t="str">
        <f>IFERROR(IF(VLOOKUP($A32,TableHandbook[],4,FALSE)=0,"",VLOOKUP($A32,TableHandbook[],4,FALSE)),"")</f>
        <v/>
      </c>
      <c r="E32" s="58" t="str">
        <f>IF(A32="","",E31)</f>
        <v/>
      </c>
      <c r="F32" s="57" t="str">
        <f>IFERROR(IF(VLOOKUP($A32,TableHandbook[],6,FALSE)=0,"",VLOOKUP($A32,TableHandbook[],6,FALSE)),"")</f>
        <v/>
      </c>
      <c r="G32" s="58" t="str">
        <f>IFERROR(IF(VLOOKUP($A32,TableHandbook[],5,FALSE)=0,"",VLOOKUP($A32,TableHandbook[],5,FALSE)),"")</f>
        <v/>
      </c>
      <c r="H32" s="70" t="str">
        <f>IFERROR(VLOOKUP($A32,TableHandbook[],H$2,FALSE),"")</f>
        <v/>
      </c>
      <c r="I32" s="60" t="str">
        <f>IFERROR(VLOOKUP($A32,TableHandbook[],I$2,FALSE),"")</f>
        <v/>
      </c>
      <c r="J32" s="60" t="str">
        <f>IFERROR(VLOOKUP($A32,TableHandbook[],J$2,FALSE),"")</f>
        <v/>
      </c>
      <c r="K32" s="185" t="str">
        <f>IFERROR(VLOOKUP($A32,TableHandbook[],K$2,FALSE),"")</f>
        <v/>
      </c>
      <c r="L32" s="62"/>
      <c r="M32" s="74">
        <v>17</v>
      </c>
      <c r="N32" s="36"/>
      <c r="O32" s="36"/>
      <c r="P32" s="37"/>
      <c r="Q32" s="37"/>
      <c r="R32" s="37"/>
      <c r="S32" s="37"/>
      <c r="T32" s="37"/>
      <c r="U32" s="37"/>
      <c r="V32" s="37"/>
      <c r="W32" s="37"/>
    </row>
    <row r="33" spans="1:23" s="26" customFormat="1" ht="21" x14ac:dyDescent="0.25">
      <c r="A33" s="160" t="s">
        <v>31</v>
      </c>
      <c r="B33" s="160"/>
      <c r="C33" s="160" t="s">
        <v>21</v>
      </c>
      <c r="D33" s="161" t="s">
        <v>3</v>
      </c>
      <c r="E33" s="186" t="s">
        <v>22</v>
      </c>
      <c r="F33" s="160" t="s">
        <v>23</v>
      </c>
      <c r="G33" s="160" t="s">
        <v>24</v>
      </c>
      <c r="H33" s="167" t="s">
        <v>25</v>
      </c>
      <c r="I33" s="180" t="s">
        <v>26</v>
      </c>
      <c r="J33" s="180" t="s">
        <v>27</v>
      </c>
      <c r="K33" s="181" t="s">
        <v>28</v>
      </c>
      <c r="L33" s="166" t="s">
        <v>29</v>
      </c>
      <c r="M33" s="24"/>
      <c r="N33" s="24"/>
      <c r="O33" s="24"/>
      <c r="P33" s="25"/>
      <c r="Q33" s="25"/>
      <c r="R33" s="25"/>
      <c r="S33" s="25"/>
      <c r="T33" s="25"/>
      <c r="U33" s="25"/>
      <c r="V33" s="25"/>
      <c r="W33" s="25"/>
    </row>
    <row r="34" spans="1:23" s="29" customFormat="1" ht="21" customHeight="1" x14ac:dyDescent="0.15">
      <c r="A34" s="64" t="str">
        <f>IFERROR(IF(HLOOKUP($L$6,RangeUnitsetsECEPR,M34,FALSE)=0,"",HLOOKUP($L$6,RangeUnitsetsECEPR,M34,FALSE)),"")</f>
        <v/>
      </c>
      <c r="B34" s="60" t="str">
        <f>IFERROR(IF(VLOOKUP($A34,TableHandbook[],2,FALSE)=0,"",VLOOKUP($A34,TableHandbook[],2,FALSE)),"")</f>
        <v/>
      </c>
      <c r="C34" s="60" t="str">
        <f>IFERROR(IF(VLOOKUP($A34,TableHandbook[],3,FALSE)=0,"",VLOOKUP($A34,TableHandbook[],3,FALSE)),"")</f>
        <v/>
      </c>
      <c r="D34" s="61" t="str">
        <f>IFERROR(IF(VLOOKUP($A34,TableHandbook[],4,FALSE)=0,"",VLOOKUP($A34,TableHandbook[],4,FALSE)),"")</f>
        <v/>
      </c>
      <c r="E34" s="60" t="str">
        <f>IF(OR(A34="",A34="--"),"",VLOOKUP($D$7,TableStudyPeriods[],2,FALSE))</f>
        <v/>
      </c>
      <c r="F34" s="57" t="str">
        <f>IFERROR(IF(VLOOKUP($A34,TableHandbook[],6,FALSE)=0,"",VLOOKUP($A34,TableHandbook[],6,FALSE)),"")</f>
        <v/>
      </c>
      <c r="G34" s="58" t="str">
        <f>IFERROR(IF(VLOOKUP($A34,TableHandbook[],5,FALSE)=0,"",VLOOKUP($A34,TableHandbook[],5,FALSE)),"")</f>
        <v/>
      </c>
      <c r="H34" s="68" t="str">
        <f>IFERROR(VLOOKUP($A34,TableHandbook[],H$2,FALSE),"")</f>
        <v/>
      </c>
      <c r="I34" s="58" t="str">
        <f>IFERROR(VLOOKUP($A34,TableHandbook[],I$2,FALSE),"")</f>
        <v/>
      </c>
      <c r="J34" s="58" t="str">
        <f>IFERROR(VLOOKUP($A34,TableHandbook[],J$2,FALSE),"")</f>
        <v/>
      </c>
      <c r="K34" s="182" t="str">
        <f>IFERROR(VLOOKUP($A34,TableHandbook[],K$2,FALSE),"")</f>
        <v/>
      </c>
      <c r="L34" s="62"/>
      <c r="M34" s="74">
        <v>18</v>
      </c>
      <c r="N34" s="27"/>
      <c r="O34" s="27"/>
      <c r="P34" s="28"/>
      <c r="Q34" s="28"/>
      <c r="R34" s="28"/>
      <c r="S34" s="28"/>
      <c r="T34" s="28"/>
      <c r="U34" s="28"/>
      <c r="V34" s="28"/>
      <c r="W34" s="28"/>
    </row>
    <row r="35" spans="1:23" s="29" customFormat="1" ht="15" customHeight="1" x14ac:dyDescent="0.15">
      <c r="A35" s="235"/>
      <c r="B35" s="236"/>
      <c r="C35" s="236"/>
      <c r="D35" s="237"/>
      <c r="E35" s="236"/>
      <c r="F35" s="238"/>
      <c r="G35" s="235"/>
      <c r="H35" s="235"/>
      <c r="I35" s="235"/>
      <c r="J35" s="235"/>
      <c r="K35" s="235"/>
      <c r="L35" s="239"/>
      <c r="M35" s="74"/>
      <c r="N35" s="27"/>
      <c r="O35" s="27"/>
      <c r="P35" s="28"/>
      <c r="Q35" s="28"/>
      <c r="R35" s="28"/>
      <c r="S35" s="28"/>
      <c r="T35" s="28"/>
      <c r="U35" s="28"/>
      <c r="V35" s="28"/>
      <c r="W35" s="28"/>
    </row>
    <row r="36" spans="1:23" s="23" customFormat="1" ht="18" x14ac:dyDescent="0.25">
      <c r="A36" s="75" t="s">
        <v>32</v>
      </c>
      <c r="B36" s="75"/>
      <c r="C36" s="75"/>
      <c r="D36" s="75"/>
      <c r="E36" s="75"/>
      <c r="F36" s="75"/>
      <c r="G36" s="75"/>
      <c r="H36" s="75"/>
      <c r="I36" s="75"/>
      <c r="J36" s="75"/>
      <c r="K36" s="75"/>
      <c r="L36" s="75"/>
    </row>
    <row r="37" spans="1:23" s="45" customFormat="1" ht="17.25" x14ac:dyDescent="0.2">
      <c r="A37" s="39" t="s">
        <v>33</v>
      </c>
      <c r="B37" s="39"/>
      <c r="C37" s="39"/>
      <c r="D37" s="40"/>
      <c r="E37" s="40"/>
      <c r="F37" s="40"/>
      <c r="G37" s="40"/>
      <c r="H37" s="40"/>
      <c r="I37" s="40"/>
      <c r="J37" s="40"/>
      <c r="K37" s="40"/>
      <c r="L37" s="40"/>
      <c r="M37" s="43"/>
      <c r="N37" s="43"/>
      <c r="O37" s="43"/>
      <c r="P37" s="44"/>
      <c r="Q37" s="44"/>
      <c r="R37" s="44"/>
      <c r="S37" s="44"/>
      <c r="T37" s="44"/>
      <c r="U37" s="44"/>
      <c r="V37" s="44"/>
      <c r="W37" s="44"/>
    </row>
    <row r="38" spans="1:23" x14ac:dyDescent="0.25">
      <c r="A38" s="41" t="s">
        <v>34</v>
      </c>
      <c r="B38" s="41"/>
      <c r="C38" s="41"/>
      <c r="D38" s="41"/>
      <c r="E38" s="54"/>
      <c r="F38" s="42"/>
      <c r="G38" s="55"/>
      <c r="H38" s="55"/>
      <c r="I38" s="55"/>
      <c r="J38" s="55"/>
      <c r="K38" s="55"/>
      <c r="L38" s="55" t="s">
        <v>35</v>
      </c>
    </row>
  </sheetData>
  <sheetProtection formatCells="0"/>
  <mergeCells count="1">
    <mergeCell ref="A3:D3"/>
  </mergeCells>
  <conditionalFormatting sqref="D5:D7">
    <cfRule type="containsText" dxfId="348" priority="6" operator="containsText" text="Choose">
      <formula>NOT(ISERROR(SEARCH("Choose",D5)))</formula>
    </cfRule>
  </conditionalFormatting>
  <dataValidations count="1">
    <dataValidation type="list" allowBlank="1" showInputMessage="1" showErrorMessage="1" sqref="L27 L15 L12 L18 L24 L30"/>
  </dataValidations>
  <hyperlinks>
    <hyperlink ref="A37:L3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Unitsets!$A$22:$A$26</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P23"/>
  <sheetViews>
    <sheetView showGridLines="0" topLeftCell="A3" workbookViewId="0">
      <selection activeCell="A3" sqref="A3:D3"/>
    </sheetView>
  </sheetViews>
  <sheetFormatPr defaultColWidth="9" defaultRowHeight="15" x14ac:dyDescent="0.25"/>
  <cols>
    <col min="1" max="1" width="8.5" style="333" customWidth="1"/>
    <col min="2" max="2" width="3.25" style="333" customWidth="1"/>
    <col min="3" max="3" width="10.375" style="333" customWidth="1"/>
    <col min="4" max="4" width="48.25" style="323" customWidth="1"/>
    <col min="5" max="5" width="8.75" style="323" customWidth="1"/>
    <col min="6" max="6" width="18.125" style="323" customWidth="1"/>
    <col min="7" max="7" width="5.625" style="323" customWidth="1"/>
    <col min="8" max="11" width="3.875" style="323" customWidth="1"/>
    <col min="12" max="12" width="15.625" style="323" customWidth="1"/>
    <col min="13" max="13" width="2.5" style="323" hidden="1" customWidth="1"/>
    <col min="14" max="16384" width="9" style="323"/>
  </cols>
  <sheetData>
    <row r="1" spans="1:16" hidden="1" x14ac:dyDescent="0.25">
      <c r="A1" s="319" t="s">
        <v>0</v>
      </c>
      <c r="B1" s="320" t="s">
        <v>1</v>
      </c>
      <c r="C1" s="320" t="s">
        <v>2</v>
      </c>
      <c r="D1" s="321" t="s">
        <v>3</v>
      </c>
      <c r="E1" s="321"/>
      <c r="F1" s="321" t="s">
        <v>4</v>
      </c>
      <c r="G1" s="321" t="s">
        <v>5</v>
      </c>
      <c r="H1" s="322" t="s">
        <v>6</v>
      </c>
      <c r="I1" s="322"/>
      <c r="J1" s="321"/>
      <c r="K1" s="321"/>
      <c r="L1" s="321" t="s">
        <v>7</v>
      </c>
    </row>
    <row r="2" spans="1:16" hidden="1" x14ac:dyDescent="0.25">
      <c r="A2" s="324"/>
      <c r="B2" s="325">
        <v>2</v>
      </c>
      <c r="C2" s="325">
        <v>3</v>
      </c>
      <c r="D2" s="325">
        <v>4</v>
      </c>
      <c r="E2" s="325"/>
      <c r="F2" s="325">
        <v>6</v>
      </c>
      <c r="G2" s="325">
        <v>5</v>
      </c>
      <c r="H2" s="325">
        <v>7</v>
      </c>
      <c r="I2" s="325">
        <v>8</v>
      </c>
      <c r="J2" s="325">
        <v>9</v>
      </c>
      <c r="K2" s="325">
        <v>10</v>
      </c>
      <c r="L2" s="326"/>
    </row>
    <row r="3" spans="1:16" ht="39.950000000000003" customHeight="1" x14ac:dyDescent="0.25">
      <c r="A3" s="429" t="s">
        <v>8</v>
      </c>
      <c r="B3" s="429"/>
      <c r="C3" s="429"/>
      <c r="D3" s="429"/>
      <c r="E3" s="327"/>
      <c r="F3" s="327"/>
      <c r="G3" s="327"/>
      <c r="H3" s="327"/>
      <c r="I3" s="327"/>
      <c r="J3" s="327"/>
      <c r="K3" s="327"/>
      <c r="L3" s="327"/>
    </row>
    <row r="4" spans="1:16" ht="25.5" x14ac:dyDescent="0.25">
      <c r="A4" s="328"/>
      <c r="B4" s="329"/>
      <c r="C4" s="329"/>
      <c r="D4" s="330" t="s">
        <v>9</v>
      </c>
      <c r="E4" s="331"/>
      <c r="F4" s="329"/>
      <c r="G4" s="332"/>
      <c r="H4" s="332"/>
      <c r="I4" s="332"/>
      <c r="J4" s="332"/>
      <c r="K4" s="332"/>
      <c r="L4" s="332"/>
    </row>
    <row r="5" spans="1:16" ht="20.100000000000001" customHeight="1" x14ac:dyDescent="0.25">
      <c r="B5" s="334"/>
      <c r="C5" s="335" t="s">
        <v>10</v>
      </c>
      <c r="D5" s="437" t="s">
        <v>606</v>
      </c>
      <c r="E5" s="337"/>
      <c r="F5" s="334" t="s">
        <v>12</v>
      </c>
      <c r="G5" s="338" t="str">
        <f>IFERROR(CONCATENATE(VLOOKUP(D5,TableCourses[],2,FALSE)," ",VLOOKUP(D5,TableCourses[],3,FALSE)),"")</f>
        <v>OG-EDUC v.1</v>
      </c>
      <c r="H5" s="337"/>
      <c r="I5" s="337"/>
      <c r="J5" s="337"/>
      <c r="K5" s="337"/>
      <c r="L5" s="339"/>
    </row>
    <row r="6" spans="1:16" ht="20.100000000000001" customHeight="1" x14ac:dyDescent="0.25">
      <c r="B6" s="334"/>
      <c r="C6" s="335" t="s">
        <v>13</v>
      </c>
      <c r="D6" s="336" t="s">
        <v>188</v>
      </c>
      <c r="E6" s="337"/>
      <c r="F6" s="334" t="s">
        <v>15</v>
      </c>
      <c r="G6" s="337" t="str">
        <f>IFERROR(CONCATENATE(VLOOKUP(D6,TableMajorsGradDip[],2,FALSE)," ",VLOOKUP(D6,TableMajorsGradDip[],3,FALSE)),"")</f>
        <v>OUMP-EDUPR v.1</v>
      </c>
      <c r="H6" s="337"/>
      <c r="I6" s="337"/>
      <c r="J6" s="337"/>
      <c r="K6" s="337"/>
      <c r="L6" s="340" t="str">
        <f>CONCATENATE(VLOOKUP(D6,TableMajorsGradDip[],2,FALSE),VLOOKUP(D7,TableStudyPeriods[],2,FALSE))</f>
        <v>OUMP-EDUPRSP1</v>
      </c>
    </row>
    <row r="7" spans="1:16" ht="20.100000000000001" customHeight="1" x14ac:dyDescent="0.25">
      <c r="A7" s="341"/>
      <c r="B7" s="342"/>
      <c r="C7" s="335" t="s">
        <v>16</v>
      </c>
      <c r="D7" s="343" t="s">
        <v>140</v>
      </c>
      <c r="E7" s="344"/>
      <c r="F7" s="334" t="s">
        <v>18</v>
      </c>
      <c r="G7" s="337" t="str">
        <f>IFERROR(VLOOKUP($D$5,TableCourses[],4,FALSE),"")</f>
        <v>200 credit points required</v>
      </c>
      <c r="H7" s="345"/>
      <c r="I7" s="345"/>
      <c r="J7" s="345"/>
      <c r="K7" s="345"/>
      <c r="L7" s="345"/>
    </row>
    <row r="8" spans="1:16" s="353" customFormat="1" ht="14.1" customHeight="1" x14ac:dyDescent="0.25">
      <c r="A8" s="346"/>
      <c r="B8" s="346"/>
      <c r="C8" s="346"/>
      <c r="D8" s="347"/>
      <c r="E8" s="348"/>
      <c r="F8" s="346"/>
      <c r="G8" s="346"/>
      <c r="H8" s="349" t="s">
        <v>19</v>
      </c>
      <c r="I8" s="350"/>
      <c r="J8" s="350"/>
      <c r="K8" s="351"/>
      <c r="L8" s="348"/>
      <c r="M8" s="352"/>
      <c r="N8" s="352"/>
      <c r="O8" s="352"/>
    </row>
    <row r="9" spans="1:16" s="353" customFormat="1" ht="21" x14ac:dyDescent="0.25">
      <c r="A9" s="346" t="s">
        <v>20</v>
      </c>
      <c r="B9" s="346"/>
      <c r="C9" s="354" t="s">
        <v>21</v>
      </c>
      <c r="D9" s="347" t="s">
        <v>3</v>
      </c>
      <c r="E9" s="354" t="s">
        <v>22</v>
      </c>
      <c r="F9" s="346" t="s">
        <v>23</v>
      </c>
      <c r="G9" s="346" t="s">
        <v>24</v>
      </c>
      <c r="H9" s="355" t="s">
        <v>25</v>
      </c>
      <c r="I9" s="356" t="s">
        <v>26</v>
      </c>
      <c r="J9" s="356" t="s">
        <v>27</v>
      </c>
      <c r="K9" s="357" t="s">
        <v>28</v>
      </c>
      <c r="L9" s="346" t="s">
        <v>29</v>
      </c>
      <c r="M9" s="352"/>
      <c r="N9" s="352"/>
      <c r="O9" s="352"/>
    </row>
    <row r="10" spans="1:16" s="366" customFormat="1" ht="21" customHeight="1" x14ac:dyDescent="0.15">
      <c r="A10" s="430" t="str">
        <f>IFERROR(IF(HLOOKUP($L$6,RangeUnitsetsOGEDUCAcc,M10,FALSE)=0,"",HLOOKUP($L$6,RangeUnitsetsOGEDUCAcc,M10,FALSE)),"")</f>
        <v>EDPR5011</v>
      </c>
      <c r="B10" s="412">
        <f>IFERROR(IF(VLOOKUP($A10,TableHandbook[],2,FALSE)=0,"",VLOOKUP($A10,TableHandbook[],2,FALSE)),"")</f>
        <v>3</v>
      </c>
      <c r="C10" s="412" t="str">
        <f>IFERROR(IF(VLOOKUP($A10,TableHandbook[],3,FALSE)=0,"",VLOOKUP($A10,TableHandbook[],3,FALSE)),"")</f>
        <v>MTP502</v>
      </c>
      <c r="D10" s="431" t="str">
        <f>IFERROR(IF(VLOOKUP($A10,TableHandbook[],4,FALSE)=0,"",VLOOKUP($A10,TableHandbook[],4,FALSE)),"")</f>
        <v>Primary Professional Experience 1: Planning for Writing</v>
      </c>
      <c r="E10" s="412" t="str">
        <f>IF(OR(A10="",A10="--"),"",VLOOKUP($D$7,TableStudyPeriods[],2,FALSE))</f>
        <v>SP1</v>
      </c>
      <c r="F10" s="432" t="str">
        <f>IFERROR(IF(VLOOKUP($A10,TableHandbook[],6,FALSE)=0,"",VLOOKUP($A10,TableHandbook[],6,FALSE)),"")</f>
        <v>Nil</v>
      </c>
      <c r="G10" s="412">
        <f>IFERROR(IF(VLOOKUP($A10,TableHandbook[],5,FALSE)=0,"",VLOOKUP($A10,TableHandbook[],5,FALSE)),"")</f>
        <v>25</v>
      </c>
      <c r="H10" s="411" t="str">
        <f>IFERROR(VLOOKUP($A10,TableHandbook[],H$2,FALSE),"")</f>
        <v>Y</v>
      </c>
      <c r="I10" s="412" t="str">
        <f>IFERROR(VLOOKUP($A10,TableHandbook[],I$2,FALSE),"")</f>
        <v>Y</v>
      </c>
      <c r="J10" s="412" t="str">
        <f>IFERROR(VLOOKUP($A10,TableHandbook[],J$2,FALSE),"")</f>
        <v/>
      </c>
      <c r="K10" s="413" t="str">
        <f>IFERROR(VLOOKUP($A10,TableHandbook[],K$2,FALSE),"")</f>
        <v/>
      </c>
      <c r="L10" s="66"/>
      <c r="M10" s="364">
        <v>2</v>
      </c>
      <c r="N10" s="365"/>
      <c r="O10" s="365"/>
    </row>
    <row r="11" spans="1:16" s="366" customFormat="1" ht="21" customHeight="1" x14ac:dyDescent="0.15">
      <c r="A11" s="430" t="str">
        <f>IFERROR(IF(HLOOKUP($L$6,RangeUnitsetsOGEDUCAcc,M11,FALSE)=0,"",HLOOKUP($L$6,RangeUnitsetsOGEDUCAcc,M11,FALSE)),"")</f>
        <v>EDUC5012</v>
      </c>
      <c r="B11" s="412">
        <f>IFERROR(IF(VLOOKUP($A11,TableHandbook[],2,FALSE)=0,"",VLOOKUP($A11,TableHandbook[],2,FALSE)),"")</f>
        <v>2</v>
      </c>
      <c r="C11" s="412" t="str">
        <f>IFERROR(IF(VLOOKUP($A11,TableHandbook[],3,FALSE)=0,"",VLOOKUP($A11,TableHandbook[],3,FALSE)),"")</f>
        <v>MTPS500</v>
      </c>
      <c r="D11" s="431" t="str">
        <f>IFERROR(IF(VLOOKUP($A11,TableHandbook[],4,FALSE)=0,"",VLOOKUP($A11,TableHandbook[],4,FALSE)),"")</f>
        <v>Theories of Development and Learning</v>
      </c>
      <c r="E11" s="412" t="str">
        <f>IF(A11="","",E10)</f>
        <v>SP1</v>
      </c>
      <c r="F11" s="432" t="str">
        <f>IFERROR(IF(VLOOKUP($A11,TableHandbook[],6,FALSE)=0,"",VLOOKUP($A11,TableHandbook[],6,FALSE)),"")</f>
        <v>Nil</v>
      </c>
      <c r="G11" s="412">
        <f>IFERROR(IF(VLOOKUP($A11,TableHandbook[],5,FALSE)=0,"",VLOOKUP($A11,TableHandbook[],5,FALSE)),"")</f>
        <v>25</v>
      </c>
      <c r="H11" s="411" t="str">
        <f>IFERROR(VLOOKUP($A11,TableHandbook[],H$2,FALSE),"")</f>
        <v>Y</v>
      </c>
      <c r="I11" s="412" t="str">
        <f>IFERROR(VLOOKUP($A11,TableHandbook[],I$2,FALSE),"")</f>
        <v/>
      </c>
      <c r="J11" s="412" t="str">
        <f>IFERROR(VLOOKUP($A11,TableHandbook[],J$2,FALSE),"")</f>
        <v>Y</v>
      </c>
      <c r="K11" s="413" t="str">
        <f>IFERROR(VLOOKUP($A11,TableHandbook[],K$2,FALSE),"")</f>
        <v/>
      </c>
      <c r="L11" s="66"/>
      <c r="M11" s="364">
        <v>3</v>
      </c>
      <c r="N11" s="365"/>
      <c r="O11" s="365"/>
    </row>
    <row r="12" spans="1:16" s="366" customFormat="1" ht="21" customHeight="1" x14ac:dyDescent="0.15">
      <c r="A12" s="430" t="str">
        <f>IFERROR(IF(HLOOKUP($L$6,RangeUnitsetsOGEDUCAcc,M12,FALSE)=0,"",HLOOKUP($L$6,RangeUnitsetsOGEDUCAcc,M12,FALSE)),"")</f>
        <v>EDUC5032</v>
      </c>
      <c r="B12" s="412">
        <f>IFERROR(IF(VLOOKUP($A12,TableHandbook[],2,FALSE)=0,"",VLOOKUP($A12,TableHandbook[],2,FALSE)),"")</f>
        <v>1</v>
      </c>
      <c r="C12" s="412" t="str">
        <f>IFERROR(IF(VLOOKUP($A12,TableHandbook[],3,FALSE)=0,"",VLOOKUP($A12,TableHandbook[],3,FALSE)),"")</f>
        <v>MTC510</v>
      </c>
      <c r="D12" s="431" t="str">
        <f>IFERROR(IF(VLOOKUP($A12,TableHandbook[],4,FALSE)=0,"",VLOOKUP($A12,TableHandbook[],4,FALSE)),"")</f>
        <v>Introduction to English: Reading</v>
      </c>
      <c r="E12" s="412" t="str">
        <f>IF(A12="","",E11)</f>
        <v>SP1</v>
      </c>
      <c r="F12" s="432" t="str">
        <f>IFERROR(IF(VLOOKUP($A12,TableHandbook[],6,FALSE)=0,"",VLOOKUP($A12,TableHandbook[],6,FALSE)),"")</f>
        <v>Nil</v>
      </c>
      <c r="G12" s="412">
        <f>IFERROR(IF(VLOOKUP($A12,TableHandbook[],5,FALSE)=0,"",VLOOKUP($A12,TableHandbook[],5,FALSE)),"")</f>
        <v>25</v>
      </c>
      <c r="H12" s="411" t="str">
        <f>IFERROR(VLOOKUP($A12,TableHandbook[],H$2,FALSE),"")</f>
        <v>Y</v>
      </c>
      <c r="I12" s="412" t="str">
        <f>IFERROR(VLOOKUP($A12,TableHandbook[],I$2,FALSE),"")</f>
        <v/>
      </c>
      <c r="J12" s="412" t="str">
        <f>IFERROR(VLOOKUP($A12,TableHandbook[],J$2,FALSE),"")</f>
        <v>Y</v>
      </c>
      <c r="K12" s="413" t="str">
        <f>IFERROR(VLOOKUP($A12,TableHandbook[],K$2,FALSE),"")</f>
        <v/>
      </c>
      <c r="L12" s="67"/>
      <c r="M12" s="364">
        <v>4</v>
      </c>
      <c r="N12" s="365"/>
      <c r="O12" s="365"/>
    </row>
    <row r="13" spans="1:16" s="366" customFormat="1" ht="6" customHeight="1" x14ac:dyDescent="0.15">
      <c r="A13" s="367"/>
      <c r="B13" s="368"/>
      <c r="C13" s="368"/>
      <c r="D13" s="369"/>
      <c r="E13" s="368"/>
      <c r="F13" s="370"/>
      <c r="G13" s="368"/>
      <c r="H13" s="371"/>
      <c r="I13" s="372"/>
      <c r="J13" s="372"/>
      <c r="K13" s="373"/>
      <c r="L13" s="291"/>
      <c r="M13" s="364"/>
      <c r="N13" s="365"/>
      <c r="O13" s="365"/>
      <c r="P13" s="365"/>
    </row>
    <row r="14" spans="1:16" s="366" customFormat="1" ht="21" customHeight="1" x14ac:dyDescent="0.15">
      <c r="A14" s="430" t="str">
        <f>IFERROR(IF(HLOOKUP($L$6,RangeUnitsetsOGEDUCAcc,M14,FALSE)=0,"",HLOOKUP($L$6,RangeUnitsetsOGEDUCAcc,M14,FALSE)),"")</f>
        <v>EDPR5012</v>
      </c>
      <c r="B14" s="412">
        <f>IFERROR(IF(VLOOKUP($A14,TableHandbook[],2,FALSE)=0,"",VLOOKUP($A14,TableHandbook[],2,FALSE)),"")</f>
        <v>1</v>
      </c>
      <c r="C14" s="412" t="str">
        <f>IFERROR(IF(VLOOKUP($A14,TableHandbook[],3,FALSE)=0,"",VLOOKUP($A14,TableHandbook[],3,FALSE)),"")</f>
        <v>MTP505</v>
      </c>
      <c r="D14" s="431" t="str">
        <f>IFERROR(IF(VLOOKUP($A14,TableHandbook[],4,FALSE)=0,"",VLOOKUP($A14,TableHandbook[],4,FALSE)),"")</f>
        <v>Teaching Science in the Primary Years</v>
      </c>
      <c r="E14" s="412" t="str">
        <f>IF(OR(A14="",A14="--"),"",VLOOKUP($D$7,TableStudyPeriods[],3,FALSE))</f>
        <v>SP2</v>
      </c>
      <c r="F14" s="432" t="str">
        <f>IFERROR(IF(VLOOKUP($A14,TableHandbook[],6,FALSE)=0,"",VLOOKUP($A14,TableHandbook[],6,FALSE)),"")</f>
        <v>Nil</v>
      </c>
      <c r="G14" s="412">
        <f>IFERROR(IF(VLOOKUP($A14,TableHandbook[],5,FALSE)=0,"",VLOOKUP($A14,TableHandbook[],5,FALSE)),"")</f>
        <v>25</v>
      </c>
      <c r="H14" s="411" t="str">
        <f>IFERROR(VLOOKUP($A14,TableHandbook[],H$2,FALSE),"")</f>
        <v>Y</v>
      </c>
      <c r="I14" s="412" t="str">
        <f>IFERROR(VLOOKUP($A14,TableHandbook[],I$2,FALSE),"")</f>
        <v>Y</v>
      </c>
      <c r="J14" s="412" t="str">
        <f>IFERROR(VLOOKUP($A14,TableHandbook[],J$2,FALSE),"")</f>
        <v/>
      </c>
      <c r="K14" s="413" t="str">
        <f>IFERROR(VLOOKUP($A14,TableHandbook[],K$2,FALSE),"")</f>
        <v/>
      </c>
      <c r="L14" s="66"/>
      <c r="M14" s="364">
        <v>5</v>
      </c>
      <c r="N14" s="365"/>
      <c r="O14" s="365"/>
    </row>
    <row r="15" spans="1:16" s="366" customFormat="1" ht="21" customHeight="1" x14ac:dyDescent="0.15">
      <c r="A15" s="430" t="str">
        <f>IFERROR(IF(HLOOKUP($L$6,RangeUnitsetsOGEDUCAcc,M15,FALSE)=0,"",HLOOKUP($L$6,RangeUnitsetsOGEDUCAcc,M15,FALSE)),"")</f>
        <v>EDPR5013</v>
      </c>
      <c r="B15" s="433">
        <f>IFERROR(IF(VLOOKUP($A15,TableHandbook[],2,FALSE)=0,"",VLOOKUP($A15,TableHandbook[],2,FALSE)),"")</f>
        <v>1</v>
      </c>
      <c r="C15" s="433" t="str">
        <f>IFERROR(IF(VLOOKUP($A15,TableHandbook[],3,FALSE)=0,"",VLOOKUP($A15,TableHandbook[],3,FALSE)),"")</f>
        <v>MTP506</v>
      </c>
      <c r="D15" s="431" t="str">
        <f>IFERROR(IF(VLOOKUP($A15,TableHandbook[],4,FALSE)=0,"",VLOOKUP($A15,TableHandbook[],4,FALSE)),"")</f>
        <v>Primary Professional Experience 2: Assessment and Reporting</v>
      </c>
      <c r="E15" s="412" t="str">
        <f>IF(A15="","",E14)</f>
        <v>SP2</v>
      </c>
      <c r="F15" s="432" t="str">
        <f>IFERROR(IF(VLOOKUP($A15,TableHandbook[],6,FALSE)=0,"",VLOOKUP($A15,TableHandbook[],6,FALSE)),"")</f>
        <v>MTP502</v>
      </c>
      <c r="G15" s="433">
        <f>IFERROR(IF(VLOOKUP($A15,TableHandbook[],5,FALSE)=0,"",VLOOKUP($A15,TableHandbook[],5,FALSE)),"")</f>
        <v>25</v>
      </c>
      <c r="H15" s="434" t="str">
        <f>IFERROR(VLOOKUP($A15,TableHandbook[],H$2,FALSE),"")</f>
        <v/>
      </c>
      <c r="I15" s="433" t="str">
        <f>IFERROR(VLOOKUP($A15,TableHandbook[],I$2,FALSE),"")</f>
        <v>Y</v>
      </c>
      <c r="J15" s="433" t="str">
        <f>IFERROR(VLOOKUP($A15,TableHandbook[],J$2,FALSE),"")</f>
        <v>Y</v>
      </c>
      <c r="K15" s="435" t="str">
        <f>IFERROR(VLOOKUP($A15,TableHandbook[],K$2,FALSE),"")</f>
        <v/>
      </c>
      <c r="L15" s="67"/>
      <c r="M15" s="364">
        <v>6</v>
      </c>
      <c r="N15" s="365"/>
      <c r="O15" s="365"/>
    </row>
    <row r="16" spans="1:16" s="382" customFormat="1" ht="21" customHeight="1" x14ac:dyDescent="0.15">
      <c r="A16" s="430" t="str">
        <f>IFERROR(IF(HLOOKUP($L$6,RangeUnitsetsOGEDUCAcc,M16,FALSE)=0,"",HLOOKUP($L$6,RangeUnitsetsOGEDUCAcc,M16,FALSE)),"")</f>
        <v>EDPR5010</v>
      </c>
      <c r="B16" s="433">
        <f>IFERROR(IF(VLOOKUP($A16,TableHandbook[],2,FALSE)=0,"",VLOOKUP($A16,TableHandbook[],2,FALSE)),"")</f>
        <v>1</v>
      </c>
      <c r="C16" s="433" t="str">
        <f>IFERROR(IF(VLOOKUP($A16,TableHandbook[],3,FALSE)=0,"",VLOOKUP($A16,TableHandbook[],3,FALSE)),"")</f>
        <v>MTP501</v>
      </c>
      <c r="D16" s="431" t="str">
        <f>IFERROR(IF(VLOOKUP($A16,TableHandbook[],4,FALSE)=0,"",VLOOKUP($A16,TableHandbook[],4,FALSE)),"")</f>
        <v>Teaching Number, Algebra and Probability in the Primary Years</v>
      </c>
      <c r="E16" s="412" t="str">
        <f>IF(A16="","",E15)</f>
        <v>SP2</v>
      </c>
      <c r="F16" s="432" t="str">
        <f>IFERROR(IF(VLOOKUP($A16,TableHandbook[],6,FALSE)=0,"",VLOOKUP($A16,TableHandbook[],6,FALSE)),"")</f>
        <v>Nil</v>
      </c>
      <c r="G16" s="433">
        <f>IFERROR(IF(VLOOKUP($A16,TableHandbook[],5,FALSE)=0,"",VLOOKUP($A16,TableHandbook[],5,FALSE)),"")</f>
        <v>25</v>
      </c>
      <c r="H16" s="434" t="str">
        <f>IFERROR(VLOOKUP($A16,TableHandbook[],H$2,FALSE),"")</f>
        <v/>
      </c>
      <c r="I16" s="433" t="str">
        <f>IFERROR(VLOOKUP($A16,TableHandbook[],I$2,FALSE),"")</f>
        <v>Y</v>
      </c>
      <c r="J16" s="433" t="str">
        <f>IFERROR(VLOOKUP($A16,TableHandbook[],J$2,FALSE),"")</f>
        <v/>
      </c>
      <c r="K16" s="435" t="str">
        <f>IFERROR(VLOOKUP($A16,TableHandbook[],K$2,FALSE),"")</f>
        <v>Y</v>
      </c>
      <c r="L16" s="67"/>
      <c r="M16" s="364">
        <v>7</v>
      </c>
      <c r="N16" s="381"/>
      <c r="O16" s="381"/>
    </row>
    <row r="17" spans="1:16" s="366" customFormat="1" ht="6" customHeight="1" x14ac:dyDescent="0.15">
      <c r="A17" s="367"/>
      <c r="B17" s="368"/>
      <c r="C17" s="368"/>
      <c r="D17" s="369"/>
      <c r="E17" s="368"/>
      <c r="F17" s="370"/>
      <c r="G17" s="368"/>
      <c r="H17" s="371"/>
      <c r="I17" s="372"/>
      <c r="J17" s="372"/>
      <c r="K17" s="373"/>
      <c r="L17" s="291"/>
      <c r="M17" s="364"/>
      <c r="N17" s="365"/>
      <c r="O17" s="365"/>
      <c r="P17" s="365"/>
    </row>
    <row r="18" spans="1:16" s="382" customFormat="1" ht="21" customHeight="1" x14ac:dyDescent="0.15">
      <c r="A18" s="430" t="str">
        <f>IFERROR(IF(HLOOKUP($L$6,RangeUnitsetsOGEDUCAcc,M18,FALSE)=0,"",HLOOKUP($L$6,RangeUnitsetsOGEDUCAcc,M18,FALSE)),"")</f>
        <v>EDUC6063</v>
      </c>
      <c r="B18" s="433">
        <f>IFERROR(IF(VLOOKUP($A18,TableHandbook[],2,FALSE)=0,"",VLOOKUP($A18,TableHandbook[],2,FALSE)),"")</f>
        <v>1</v>
      </c>
      <c r="C18" s="433" t="str">
        <f>IFERROR(IF(VLOOKUP($A18,TableHandbook[],3,FALSE)=0,"",VLOOKUP($A18,TableHandbook[],3,FALSE)),"")</f>
        <v>MTC600</v>
      </c>
      <c r="D18" s="431" t="str">
        <f>IFERROR(IF(VLOOKUP($A18,TableHandbook[],4,FALSE)=0,"",VLOOKUP($A18,TableHandbook[],4,FALSE)),"")</f>
        <v>Professional Experience 3: Using Data to Inform Teaching and Learning</v>
      </c>
      <c r="E18" s="412" t="str">
        <f>IF(OR(A18="",A18="--"),"",VLOOKUP($D$7,TableStudyPeriods[],4,FALSE))</f>
        <v>SP3</v>
      </c>
      <c r="F18" s="432" t="str">
        <f>IFERROR(IF(VLOOKUP($A18,TableHandbook[],6,FALSE)=0,"",VLOOKUP($A18,TableHandbook[],6,FALSE)),"")</f>
        <v>MTEC502 or MTP506 or MTS504</v>
      </c>
      <c r="G18" s="433">
        <f>IFERROR(IF(VLOOKUP($A18,TableHandbook[],5,FALSE)=0,"",VLOOKUP($A18,TableHandbook[],5,FALSE)),"")</f>
        <v>25</v>
      </c>
      <c r="H18" s="434" t="str">
        <f>IFERROR(VLOOKUP($A18,TableHandbook[],H$2,FALSE),"")</f>
        <v>Y</v>
      </c>
      <c r="I18" s="433" t="str">
        <f>IFERROR(VLOOKUP($A18,TableHandbook[],I$2,FALSE),"")</f>
        <v/>
      </c>
      <c r="J18" s="433" t="str">
        <f>IFERROR(VLOOKUP($A18,TableHandbook[],J$2,FALSE),"")</f>
        <v>Y</v>
      </c>
      <c r="K18" s="435" t="str">
        <f>IFERROR(VLOOKUP($A18,TableHandbook[],K$2,FALSE),"")</f>
        <v/>
      </c>
      <c r="L18" s="67"/>
      <c r="M18" s="364">
        <v>8</v>
      </c>
      <c r="N18" s="381"/>
      <c r="O18" s="381"/>
    </row>
    <row r="19" spans="1:16" s="382" customFormat="1" ht="21" customHeight="1" x14ac:dyDescent="0.15">
      <c r="A19" s="430" t="str">
        <f>IFERROR(IF(HLOOKUP($L$6,RangeUnitsetsOGEDUCAcc,M19,FALSE)=0,"",HLOOKUP($L$6,RangeUnitsetsOGEDUCAcc,M19,FALSE)),"")</f>
        <v>EDUC5017</v>
      </c>
      <c r="B19" s="433">
        <f>IFERROR(IF(VLOOKUP($A19,TableHandbook[],2,FALSE)=0,"",VLOOKUP($A19,TableHandbook[],2,FALSE)),"")</f>
        <v>1</v>
      </c>
      <c r="C19" s="433" t="str">
        <f>IFERROR(IF(VLOOKUP($A19,TableHandbook[],3,FALSE)=0,"",VLOOKUP($A19,TableHandbook[],3,FALSE)),"")</f>
        <v>MTPS504</v>
      </c>
      <c r="D19" s="436" t="str">
        <f>IFERROR(IF(VLOOKUP($A19,TableHandbook[],4,FALSE)=0,"",VLOOKUP($A19,TableHandbook[],4,FALSE)),"")</f>
        <v>Creative Technologies</v>
      </c>
      <c r="E19" s="433" t="str">
        <f>IF(A19="","",E18)</f>
        <v>SP3</v>
      </c>
      <c r="F19" s="432" t="str">
        <f>IFERROR(IF(VLOOKUP($A19,TableHandbook[],6,FALSE)=0,"",VLOOKUP($A19,TableHandbook[],6,FALSE)),"")</f>
        <v>Nil</v>
      </c>
      <c r="G19" s="433">
        <f>IFERROR(IF(VLOOKUP($A19,TableHandbook[],5,FALSE)=0,"",VLOOKUP($A19,TableHandbook[],5,FALSE)),"")</f>
        <v>25</v>
      </c>
      <c r="H19" s="434" t="str">
        <f>IFERROR(VLOOKUP($A19,TableHandbook[],H$2,FALSE),"")</f>
        <v/>
      </c>
      <c r="I19" s="433" t="str">
        <f>IFERROR(VLOOKUP($A19,TableHandbook[],I$2,FALSE),"")</f>
        <v>Y</v>
      </c>
      <c r="J19" s="433" t="str">
        <f>IFERROR(VLOOKUP($A19,TableHandbook[],J$2,FALSE),"")</f>
        <v>Y</v>
      </c>
      <c r="K19" s="435" t="str">
        <f>IFERROR(VLOOKUP($A19,TableHandbook[],K$2,FALSE),"")</f>
        <v>Y</v>
      </c>
      <c r="L19" s="67"/>
      <c r="M19" s="364">
        <v>9</v>
      </c>
      <c r="N19" s="381"/>
      <c r="O19" s="381"/>
    </row>
    <row r="20" spans="1:16" ht="16.5" customHeight="1" x14ac:dyDescent="0.25">
      <c r="A20" s="384"/>
      <c r="B20" s="384"/>
      <c r="C20" s="384"/>
      <c r="D20" s="385"/>
      <c r="E20" s="385"/>
      <c r="F20" s="386"/>
      <c r="G20" s="386"/>
      <c r="H20" s="386"/>
      <c r="I20" s="386"/>
      <c r="J20" s="386"/>
      <c r="K20" s="386"/>
      <c r="L20" s="386"/>
    </row>
    <row r="21" spans="1:16" ht="18" x14ac:dyDescent="0.25">
      <c r="A21" s="421" t="s">
        <v>32</v>
      </c>
      <c r="B21" s="421"/>
      <c r="C21" s="421"/>
      <c r="D21" s="421"/>
      <c r="E21" s="421"/>
      <c r="F21" s="421"/>
      <c r="G21" s="421"/>
      <c r="H21" s="421"/>
      <c r="I21" s="421"/>
      <c r="J21" s="421"/>
      <c r="K21" s="421"/>
      <c r="L21" s="421"/>
    </row>
    <row r="22" spans="1:16" s="423" customFormat="1" ht="17.25" x14ac:dyDescent="0.2">
      <c r="A22" s="39" t="s">
        <v>33</v>
      </c>
      <c r="B22" s="39"/>
      <c r="C22" s="39"/>
      <c r="D22" s="40"/>
      <c r="E22" s="40"/>
      <c r="F22" s="40"/>
      <c r="G22" s="40"/>
      <c r="H22" s="40"/>
      <c r="I22" s="40"/>
      <c r="J22" s="40"/>
      <c r="K22" s="40"/>
      <c r="L22" s="40"/>
      <c r="M22" s="422"/>
      <c r="N22" s="422"/>
      <c r="O22" s="422"/>
    </row>
    <row r="23" spans="1:16" x14ac:dyDescent="0.25">
      <c r="A23" s="424" t="s">
        <v>34</v>
      </c>
      <c r="B23" s="424"/>
      <c r="C23" s="424"/>
      <c r="D23" s="424"/>
      <c r="E23" s="425"/>
      <c r="F23" s="386"/>
      <c r="G23" s="426"/>
      <c r="H23" s="426"/>
      <c r="I23" s="426"/>
      <c r="J23" s="426"/>
      <c r="K23" s="426"/>
      <c r="L23" s="426" t="s">
        <v>35</v>
      </c>
    </row>
  </sheetData>
  <sheetProtection algorithmName="SHA-512" hashValue="4qW+/LjWfOnhvALsln7DydbGeeWI/aE6Fk8slcZUulBQtXyLHw9uiibpTqtjgCnvCDqxlCcf3uHGAlrd/OKGeg==" saltValue="BtIagZWp0dhglTFULfqlyA==" spinCount="100000" sheet="1" objects="1" scenarios="1" formatCells="0"/>
  <mergeCells count="1">
    <mergeCell ref="A3:D3"/>
  </mergeCells>
  <conditionalFormatting sqref="A10:M19">
    <cfRule type="expression" dxfId="292" priority="2">
      <formula>LEFT($A10,3)="STA"</formula>
    </cfRule>
    <cfRule type="expression" dxfId="291" priority="3">
      <formula>LEFT($A10,3)="FTA"</formula>
    </cfRule>
  </conditionalFormatting>
  <conditionalFormatting sqref="D5:D7">
    <cfRule type="containsText" dxfId="290" priority="4" operator="containsText" text="Choose">
      <formula>NOT(ISERROR(SEARCH("Choose",D5)))</formula>
    </cfRule>
  </conditionalFormatting>
  <dataValidations count="1">
    <dataValidation type="list" allowBlank="1" showInputMessage="1" showErrorMessage="1" sqref="L13 L17"/>
  </dataValidations>
  <hyperlinks>
    <hyperlink ref="A22:L22"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19" max="10"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W31"/>
  <sheetViews>
    <sheetView showGridLines="0" topLeftCell="A3" workbookViewId="0">
      <selection activeCell="D7" sqref="D7"/>
    </sheetView>
  </sheetViews>
  <sheetFormatPr defaultColWidth="9" defaultRowHeight="15" x14ac:dyDescent="0.25"/>
  <cols>
    <col min="1" max="1" width="8.5" style="16" customWidth="1"/>
    <col min="2" max="2" width="3.25" style="16" customWidth="1"/>
    <col min="3" max="3" width="10.375" style="16" customWidth="1"/>
    <col min="4" max="4" width="48.25" style="13" customWidth="1"/>
    <col min="5" max="5" width="8.7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1"/>
      <c r="K1" s="11"/>
      <c r="L1" s="11" t="s">
        <v>7</v>
      </c>
    </row>
    <row r="2" spans="1:23" hidden="1" x14ac:dyDescent="0.25">
      <c r="A2" s="176"/>
      <c r="B2" s="228">
        <v>2</v>
      </c>
      <c r="C2" s="228">
        <v>3</v>
      </c>
      <c r="D2" s="228">
        <v>4</v>
      </c>
      <c r="E2" s="228"/>
      <c r="F2" s="228">
        <v>6</v>
      </c>
      <c r="G2" s="228">
        <v>5</v>
      </c>
      <c r="H2" s="228">
        <v>7</v>
      </c>
      <c r="I2" s="228">
        <v>8</v>
      </c>
      <c r="J2" s="228">
        <v>9</v>
      </c>
      <c r="K2" s="228">
        <v>10</v>
      </c>
      <c r="L2" s="177"/>
    </row>
    <row r="3" spans="1:23" ht="39.950000000000003" customHeight="1" x14ac:dyDescent="0.25">
      <c r="A3" s="428" t="s">
        <v>8</v>
      </c>
      <c r="B3" s="428"/>
      <c r="C3" s="428"/>
      <c r="D3" s="428"/>
      <c r="E3" s="135"/>
      <c r="F3" s="135"/>
      <c r="G3" s="135"/>
      <c r="H3" s="135"/>
      <c r="I3" s="135"/>
      <c r="J3" s="135"/>
      <c r="K3" s="135"/>
      <c r="L3" s="135"/>
    </row>
    <row r="4" spans="1:23" ht="25.5" x14ac:dyDescent="0.25">
      <c r="A4" s="14"/>
      <c r="B4" s="15"/>
      <c r="C4" s="15"/>
      <c r="D4" s="309" t="s">
        <v>9</v>
      </c>
      <c r="E4" s="265"/>
      <c r="F4" s="15"/>
      <c r="G4" s="72"/>
      <c r="H4" s="72"/>
      <c r="I4" s="72"/>
      <c r="J4" s="72"/>
      <c r="K4" s="72"/>
      <c r="L4" s="72"/>
    </row>
    <row r="5" spans="1:23" ht="20.100000000000001" customHeight="1" x14ac:dyDescent="0.25">
      <c r="B5" s="17"/>
      <c r="C5" s="190" t="s">
        <v>10</v>
      </c>
      <c r="D5" s="170" t="s">
        <v>113</v>
      </c>
      <c r="E5" s="18"/>
      <c r="F5" s="17" t="s">
        <v>12</v>
      </c>
      <c r="G5" s="204" t="str">
        <f>IFERROR(CONCATENATE(VLOOKUP(D5,TableCourses[],2,FALSE)," ",VLOOKUP(D5,TableCourses[],3,FALSE)),"")</f>
        <v>OG-EDUC v.1</v>
      </c>
      <c r="H5" s="18"/>
      <c r="I5" s="18"/>
      <c r="J5" s="18"/>
      <c r="K5" s="18"/>
      <c r="L5" s="19"/>
    </row>
    <row r="6" spans="1:23" ht="20.100000000000001" customHeight="1" x14ac:dyDescent="0.25">
      <c r="B6" s="17"/>
      <c r="C6" s="190" t="s">
        <v>13</v>
      </c>
      <c r="D6" s="170" t="s">
        <v>191</v>
      </c>
      <c r="E6" s="18"/>
      <c r="F6" s="17" t="s">
        <v>15</v>
      </c>
      <c r="G6" s="18" t="str">
        <f>IFERROR(CONCATENATE(VLOOKUP(D6,TableMajorsGradDip[],2,FALSE)," ",VLOOKUP(D6,TableMajorsGradDip[],3,FALSE)),"")</f>
        <v>OUMP-EDUSC v.1</v>
      </c>
      <c r="H6" s="18"/>
      <c r="I6" s="18"/>
      <c r="J6" s="18"/>
      <c r="K6" s="18"/>
      <c r="L6" s="307" t="str">
        <f>CONCATENATE(VLOOKUP(D6,TableMajorsGradDip[],2,FALSE),VLOOKUP(D8,TableStudyPeriods[],2,FALSE))</f>
        <v>OUMP-EDUSCSP1</v>
      </c>
    </row>
    <row r="7" spans="1:23" ht="20.100000000000001" customHeight="1" x14ac:dyDescent="0.25">
      <c r="B7" s="17"/>
      <c r="C7" s="190" t="s">
        <v>247</v>
      </c>
      <c r="D7" s="318" t="s">
        <v>248</v>
      </c>
      <c r="E7" s="18"/>
      <c r="F7" s="17"/>
      <c r="G7" s="18"/>
      <c r="H7" s="18"/>
      <c r="I7" s="18"/>
      <c r="J7" s="18"/>
      <c r="K7" s="18"/>
      <c r="L7" s="307" t="e">
        <f>VLOOKUP(D7,TableFirstTeachingArea[],2,FALSE)</f>
        <v>#N/A</v>
      </c>
    </row>
    <row r="8" spans="1:23" ht="20.100000000000001" customHeight="1" x14ac:dyDescent="0.25">
      <c r="A8" s="20"/>
      <c r="B8" s="21"/>
      <c r="C8" s="190" t="s">
        <v>16</v>
      </c>
      <c r="D8" s="171" t="s">
        <v>140</v>
      </c>
      <c r="E8" s="22"/>
      <c r="F8" s="17" t="s">
        <v>18</v>
      </c>
      <c r="G8" s="18" t="str">
        <f>IFERROR(VLOOKUP($D$5,TableCourses[],4,FALSE),"")</f>
        <v>200 credit points required</v>
      </c>
      <c r="H8" s="76"/>
      <c r="I8" s="76"/>
      <c r="J8" s="76"/>
      <c r="K8" s="76"/>
      <c r="L8" s="76"/>
      <c r="M8" s="23"/>
      <c r="N8" s="23"/>
      <c r="O8" s="23"/>
      <c r="P8" s="23"/>
      <c r="Q8" s="23"/>
      <c r="R8" s="23"/>
      <c r="S8" s="23"/>
      <c r="T8" s="23"/>
      <c r="U8" s="23"/>
      <c r="V8" s="23"/>
      <c r="W8" s="23"/>
    </row>
    <row r="9" spans="1:23" s="26" customFormat="1" ht="14.1" customHeight="1" x14ac:dyDescent="0.25">
      <c r="A9" s="160"/>
      <c r="B9" s="160"/>
      <c r="C9" s="160"/>
      <c r="D9" s="161"/>
      <c r="E9" s="162"/>
      <c r="F9" s="160"/>
      <c r="G9" s="160"/>
      <c r="H9" s="163" t="s">
        <v>19</v>
      </c>
      <c r="I9" s="179"/>
      <c r="J9" s="179"/>
      <c r="K9" s="164"/>
      <c r="L9" s="165"/>
      <c r="M9" s="24"/>
      <c r="N9" s="24"/>
      <c r="O9" s="24"/>
      <c r="P9" s="25"/>
      <c r="Q9" s="25"/>
      <c r="R9" s="25"/>
      <c r="S9" s="25"/>
      <c r="T9" s="25"/>
      <c r="U9" s="25"/>
      <c r="V9" s="25"/>
      <c r="W9" s="25"/>
    </row>
    <row r="10" spans="1:23" s="26" customFormat="1" ht="21" x14ac:dyDescent="0.25">
      <c r="A10" s="160" t="s">
        <v>20</v>
      </c>
      <c r="B10" s="160"/>
      <c r="C10" s="186" t="s">
        <v>21</v>
      </c>
      <c r="D10" s="161" t="s">
        <v>3</v>
      </c>
      <c r="E10" s="186" t="s">
        <v>22</v>
      </c>
      <c r="F10" s="160" t="s">
        <v>23</v>
      </c>
      <c r="G10" s="160" t="s">
        <v>24</v>
      </c>
      <c r="H10" s="167" t="s">
        <v>25</v>
      </c>
      <c r="I10" s="180" t="s">
        <v>26</v>
      </c>
      <c r="J10" s="180" t="s">
        <v>27</v>
      </c>
      <c r="K10" s="168" t="s">
        <v>28</v>
      </c>
      <c r="L10" s="166" t="s">
        <v>29</v>
      </c>
      <c r="M10" s="24"/>
      <c r="N10" s="24"/>
      <c r="O10" s="24"/>
      <c r="P10" s="25"/>
      <c r="Q10" s="25"/>
      <c r="R10" s="25"/>
      <c r="S10" s="25"/>
      <c r="T10" s="25"/>
      <c r="U10" s="25"/>
      <c r="V10" s="25"/>
      <c r="W10" s="25"/>
    </row>
    <row r="11" spans="1:23" s="29" customFormat="1" ht="21" customHeight="1" x14ac:dyDescent="0.15">
      <c r="A11" s="64" t="str">
        <f>IFERROR(IF(HLOOKUP($L$6,RangeUnitsetsOGEDUC,M11,FALSE)=0,"",HLOOKUP($L$6,RangeUnitsetsOGEDUC,M11,FALSE)),"")</f>
        <v>EDSC5037</v>
      </c>
      <c r="B11" s="58">
        <f>IFERROR(IF(VLOOKUP($A11,TableHandbook[],2,FALSE)=0,"",VLOOKUP($A11,TableHandbook[],2,FALSE)),"")</f>
        <v>1</v>
      </c>
      <c r="C11" s="58" t="str">
        <f>IFERROR(IF(VLOOKUP($A11,TableHandbook[],3,FALSE)=0,"",VLOOKUP($A11,TableHandbook[],3,FALSE)),"")</f>
        <v>MTS500</v>
      </c>
      <c r="D11" s="65" t="str">
        <f>IFERROR(IF(VLOOKUP($A11,TableHandbook[],4,FALSE)=0,"",VLOOKUP($A11,TableHandbook[],4,FALSE)),"")</f>
        <v>Teaching in the Secondary School</v>
      </c>
      <c r="E11" s="58" t="str">
        <f>IF(OR(A11="",A11="--"),"",VLOOKUP($D$8,TableStudyPeriods[],2,FALSE))</f>
        <v>SP1</v>
      </c>
      <c r="F11" s="57" t="str">
        <f>IFERROR(IF(VLOOKUP($A11,TableHandbook[],6,FALSE)=0,"",VLOOKUP($A11,TableHandbook[],6,FALSE)),"")</f>
        <v>Nil</v>
      </c>
      <c r="G11" s="58">
        <f>IFERROR(IF(VLOOKUP($A11,TableHandbook[],5,FALSE)=0,"",VLOOKUP($A11,TableHandbook[],5,FALSE)),"")</f>
        <v>25</v>
      </c>
      <c r="H11" s="68" t="str">
        <f>IFERROR(VLOOKUP($A11,TableHandbook[],H$2,FALSE),"")</f>
        <v>Y</v>
      </c>
      <c r="I11" s="58" t="str">
        <f>IFERROR(VLOOKUP($A11,TableHandbook[],I$2,FALSE),"")</f>
        <v>Y</v>
      </c>
      <c r="J11" s="58" t="str">
        <f>IFERROR(VLOOKUP($A11,TableHandbook[],J$2,FALSE),"")</f>
        <v/>
      </c>
      <c r="K11" s="69" t="str">
        <f>IFERROR(VLOOKUP($A11,TableHandbook[],K$2,FALSE),"")</f>
        <v/>
      </c>
      <c r="L11" s="66"/>
      <c r="M11" s="226">
        <v>2</v>
      </c>
      <c r="N11" s="27"/>
      <c r="O11" s="27"/>
      <c r="P11" s="28"/>
      <c r="Q11" s="28"/>
      <c r="R11" s="28"/>
      <c r="S11" s="28"/>
      <c r="T11" s="28"/>
      <c r="U11" s="28"/>
      <c r="V11" s="28"/>
      <c r="W11" s="28"/>
    </row>
    <row r="12" spans="1:23" s="29" customFormat="1" ht="21" customHeight="1" x14ac:dyDescent="0.15">
      <c r="A12" s="64" t="str">
        <f>IFERROR(IF(HLOOKUP($L$6,RangeUnitsetsOGEDUC,M12,FALSE)=0,"",HLOOKUP($L$6,RangeUnitsetsOGEDUC,M12,FALSE)),"")</f>
        <v>EDSC5039</v>
      </c>
      <c r="B12" s="58">
        <f>IFERROR(IF(VLOOKUP($A12,TableHandbook[],2,FALSE)=0,"",VLOOKUP($A12,TableHandbook[],2,FALSE)),"")</f>
        <v>1</v>
      </c>
      <c r="C12" s="58" t="str">
        <f>IFERROR(IF(VLOOKUP($A12,TableHandbook[],3,FALSE)=0,"",VLOOKUP($A12,TableHandbook[],3,FALSE)),"")</f>
        <v>MTS502</v>
      </c>
      <c r="D12" s="65" t="str">
        <f>IFERROR(IF(VLOOKUP($A12,TableHandbook[],4,FALSE)=0,"",VLOOKUP($A12,TableHandbook[],4,FALSE)),"")</f>
        <v>Secondary Professional Experience 1: Planning</v>
      </c>
      <c r="E12" s="58" t="str">
        <f>IF(A12="","",E11)</f>
        <v>SP1</v>
      </c>
      <c r="F12" s="57" t="str">
        <f>IFERROR(IF(VLOOKUP($A12,TableHandbook[],6,FALSE)=0,"",VLOOKUP($A12,TableHandbook[],6,FALSE)),"")</f>
        <v>Nil</v>
      </c>
      <c r="G12" s="58">
        <f>IFERROR(IF(VLOOKUP($A12,TableHandbook[],5,FALSE)=0,"",VLOOKUP($A12,TableHandbook[],5,FALSE)),"")</f>
        <v>25</v>
      </c>
      <c r="H12" s="68" t="str">
        <f>IFERROR(VLOOKUP($A12,TableHandbook[],H$2,FALSE),"")</f>
        <v>Y</v>
      </c>
      <c r="I12" s="58" t="str">
        <f>IFERROR(VLOOKUP($A12,TableHandbook[],I$2,FALSE),"")</f>
        <v>Y</v>
      </c>
      <c r="J12" s="58" t="str">
        <f>IFERROR(VLOOKUP($A12,TableHandbook[],J$2,FALSE),"")</f>
        <v/>
      </c>
      <c r="K12" s="69" t="str">
        <f>IFERROR(VLOOKUP($A12,TableHandbook[],K$2,FALSE),"")</f>
        <v/>
      </c>
      <c r="L12" s="66"/>
      <c r="M12" s="226">
        <v>3</v>
      </c>
      <c r="N12" s="27"/>
      <c r="O12" s="27"/>
      <c r="P12" s="28"/>
      <c r="Q12" s="28"/>
      <c r="R12" s="28"/>
      <c r="S12" s="28"/>
      <c r="T12" s="28"/>
      <c r="U12" s="28"/>
      <c r="V12" s="28"/>
      <c r="W12" s="28"/>
    </row>
    <row r="13" spans="1:23" s="29" customFormat="1" ht="6" customHeight="1" x14ac:dyDescent="0.15">
      <c r="A13" s="284"/>
      <c r="B13" s="285"/>
      <c r="C13" s="285"/>
      <c r="D13" s="286"/>
      <c r="E13" s="285"/>
      <c r="F13" s="287"/>
      <c r="G13" s="285"/>
      <c r="H13" s="288"/>
      <c r="I13" s="289"/>
      <c r="J13" s="289"/>
      <c r="K13" s="292"/>
      <c r="L13" s="291"/>
      <c r="M13" s="226"/>
      <c r="N13" s="27"/>
      <c r="O13" s="27"/>
      <c r="P13" s="27"/>
      <c r="Q13" s="28"/>
      <c r="R13" s="28"/>
      <c r="S13" s="28"/>
      <c r="T13" s="28"/>
      <c r="U13" s="28"/>
      <c r="V13" s="28"/>
      <c r="W13" s="28"/>
    </row>
    <row r="14" spans="1:23" s="29" customFormat="1" ht="21" customHeight="1" x14ac:dyDescent="0.15">
      <c r="A14" s="64" t="str">
        <f>IFERROR(IF(HLOOKUP($L$6,RangeUnitsetsOGEDUC,M14,FALSE)=0,"",HLOOKUP($L$6,RangeUnitsetsOGEDUC,M14,FALSE)),"")</f>
        <v>EDSC5051</v>
      </c>
      <c r="B14" s="58">
        <f>IFERROR(IF(VLOOKUP($A14,TableHandbook[],2,FALSE)=0,"",VLOOKUP($A14,TableHandbook[],2,FALSE)),"")</f>
        <v>1</v>
      </c>
      <c r="C14" s="58" t="str">
        <f>IFERROR(IF(VLOOKUP($A14,TableHandbook[],3,FALSE)=0,"",VLOOKUP($A14,TableHandbook[],3,FALSE)),"")</f>
        <v>MTS504</v>
      </c>
      <c r="D14" s="65" t="str">
        <f>IFERROR(IF(VLOOKUP($A14,TableHandbook[],4,FALSE)=0,"",VLOOKUP($A14,TableHandbook[],4,FALSE)),"")</f>
        <v>Secondary Professional Experience 2: Assessment and Reporting</v>
      </c>
      <c r="E14" s="58" t="str">
        <f>IF(OR(A14="",A14="--"),"",VLOOKUP($D$8,TableStudyPeriods[],3,FALSE))</f>
        <v>SP2</v>
      </c>
      <c r="F14" s="57" t="str">
        <f>IFERROR(IF(VLOOKUP($A14,TableHandbook[],6,FALSE)=0,"",VLOOKUP($A14,TableHandbook[],6,FALSE)),"")</f>
        <v>MTS502</v>
      </c>
      <c r="G14" s="58">
        <f>IFERROR(IF(VLOOKUP($A14,TableHandbook[],5,FALSE)=0,"",VLOOKUP($A14,TableHandbook[],5,FALSE)),"")</f>
        <v>25</v>
      </c>
      <c r="H14" s="68" t="str">
        <f>IFERROR(VLOOKUP($A14,TableHandbook[],H$2,FALSE),"")</f>
        <v/>
      </c>
      <c r="I14" s="58" t="str">
        <f>IFERROR(VLOOKUP($A14,TableHandbook[],I$2,FALSE),"")</f>
        <v>Y</v>
      </c>
      <c r="J14" s="58" t="str">
        <f>IFERROR(VLOOKUP($A14,TableHandbook[],J$2,FALSE),"")</f>
        <v>Y</v>
      </c>
      <c r="K14" s="69" t="str">
        <f>IFERROR(VLOOKUP($A14,TableHandbook[],K$2,FALSE),"")</f>
        <v/>
      </c>
      <c r="L14" s="67"/>
      <c r="M14" s="226">
        <v>4</v>
      </c>
      <c r="N14" s="27"/>
      <c r="O14" s="27"/>
      <c r="P14" s="28"/>
      <c r="Q14" s="28"/>
      <c r="R14" s="28"/>
      <c r="S14" s="28"/>
      <c r="T14" s="28"/>
      <c r="U14" s="28"/>
      <c r="V14" s="28"/>
      <c r="W14" s="28"/>
    </row>
    <row r="15" spans="1:23" s="29" customFormat="1" ht="21" customHeight="1" x14ac:dyDescent="0.15">
      <c r="A15" s="299" t="str">
        <f>IFERROR(IF(HLOOKUP($L$6,RangeUnitsetsOGEDUC,M15,FALSE)=0,"",HLOOKUP($L$6,RangeUnitsetsOGEDUC,M15,FALSE)),"")</f>
        <v>GDTAL</v>
      </c>
      <c r="B15" s="211" t="str">
        <f>IFERROR(IF(VLOOKUP($A15,TableHandbook[],2,FALSE)=0,"",VLOOKUP($A15,TableHandbook[],2,FALSE)),"")</f>
        <v/>
      </c>
      <c r="C15" s="211" t="str">
        <f>IFERROR(IF(VLOOKUP($A15,TableHandbook[],3,FALSE)=0,"",VLOOKUP($A15,TableHandbook[],3,FALSE)),"")</f>
        <v/>
      </c>
      <c r="D15" s="300" t="str">
        <f>IFERROR(IF(VLOOKUP($A15,TableHandbook[],4,FALSE)=0,"",VLOOKUP($A15,TableHandbook[],4,FALSE)),"")</f>
        <v>Teaching Area LOWER subject (see below)</v>
      </c>
      <c r="E15" s="211" t="str">
        <f>IF(A15="","",E14)</f>
        <v>SP2</v>
      </c>
      <c r="F15" s="301" t="str">
        <f>IFERROR(IF(VLOOKUP($A15,TableHandbook[],6,FALSE)=0,"",VLOOKUP($A15,TableHandbook[],6,FALSE)),"")</f>
        <v>See below</v>
      </c>
      <c r="G15" s="211">
        <f>IFERROR(IF(VLOOKUP($A15,TableHandbook[],5,FALSE)=0,"",VLOOKUP($A15,TableHandbook[],5,FALSE)),"")</f>
        <v>25</v>
      </c>
      <c r="H15" s="210" t="str">
        <f>IFERROR(VLOOKUP($A15,TableHandbook[],H$2,FALSE),"")</f>
        <v/>
      </c>
      <c r="I15" s="211" t="str">
        <f>IFERROR(VLOOKUP($A15,TableHandbook[],I$2,FALSE),"")</f>
        <v/>
      </c>
      <c r="J15" s="211" t="str">
        <f>IFERROR(VLOOKUP($A15,TableHandbook[],J$2,FALSE),"")</f>
        <v/>
      </c>
      <c r="K15" s="212" t="str">
        <f>IFERROR(VLOOKUP($A15,TableHandbook[],K$2,FALSE),"")</f>
        <v/>
      </c>
      <c r="L15" s="302"/>
      <c r="M15" s="303">
        <v>5</v>
      </c>
      <c r="N15" s="27"/>
      <c r="O15" s="27"/>
      <c r="P15" s="28"/>
      <c r="Q15" s="28"/>
      <c r="R15" s="28"/>
      <c r="S15" s="28"/>
      <c r="T15" s="28"/>
      <c r="U15" s="28"/>
      <c r="V15" s="28"/>
      <c r="W15" s="28"/>
    </row>
    <row r="16" spans="1:23" s="29" customFormat="1" ht="6" customHeight="1" x14ac:dyDescent="0.15">
      <c r="A16" s="284"/>
      <c r="B16" s="285"/>
      <c r="C16" s="285"/>
      <c r="D16" s="286"/>
      <c r="E16" s="285"/>
      <c r="F16" s="287"/>
      <c r="G16" s="285"/>
      <c r="H16" s="288"/>
      <c r="I16" s="289"/>
      <c r="J16" s="289"/>
      <c r="K16" s="292"/>
      <c r="L16" s="291"/>
      <c r="M16" s="226"/>
      <c r="N16" s="27"/>
      <c r="O16" s="27"/>
      <c r="P16" s="27"/>
      <c r="Q16" s="28"/>
      <c r="R16" s="28"/>
      <c r="S16" s="28"/>
      <c r="T16" s="28"/>
      <c r="U16" s="28"/>
      <c r="V16" s="28"/>
      <c r="W16" s="28"/>
    </row>
    <row r="17" spans="1:23" s="29" customFormat="1" ht="21" customHeight="1" x14ac:dyDescent="0.15">
      <c r="A17" s="64" t="str">
        <f>IFERROR(IF(HLOOKUP($L$6,RangeUnitsetsOGEDUC,M17,FALSE)=0,"",HLOOKUP($L$6,RangeUnitsetsOGEDUC,M17,FALSE)),"")</f>
        <v>EDUC6063</v>
      </c>
      <c r="B17" s="60">
        <f>IFERROR(IF(VLOOKUP($A17,TableHandbook[],2,FALSE)=0,"",VLOOKUP($A17,TableHandbook[],2,FALSE)),"")</f>
        <v>1</v>
      </c>
      <c r="C17" s="60" t="str">
        <f>IFERROR(IF(VLOOKUP($A17,TableHandbook[],3,FALSE)=0,"",VLOOKUP($A17,TableHandbook[],3,FALSE)),"")</f>
        <v>MTC600</v>
      </c>
      <c r="D17" s="65" t="str">
        <f>IFERROR(IF(VLOOKUP($A17,TableHandbook[],4,FALSE)=0,"",VLOOKUP($A17,TableHandbook[],4,FALSE)),"")</f>
        <v>Professional Experience 3: Using Data to Inform Teaching and Learning</v>
      </c>
      <c r="E17" s="58" t="str">
        <f>IF(OR(A17="",A17="--"),"",VLOOKUP($D$8,TableStudyPeriods[],4,FALSE))</f>
        <v>SP3</v>
      </c>
      <c r="F17" s="57" t="str">
        <f>IFERROR(IF(VLOOKUP($A17,TableHandbook[],6,FALSE)=0,"",VLOOKUP($A17,TableHandbook[],6,FALSE)),"")</f>
        <v>MTEC502 or MTP506 or MTS504</v>
      </c>
      <c r="G17" s="60">
        <f>IFERROR(IF(VLOOKUP($A17,TableHandbook[],5,FALSE)=0,"",VLOOKUP($A17,TableHandbook[],5,FALSE)),"")</f>
        <v>25</v>
      </c>
      <c r="H17" s="70" t="str">
        <f>IFERROR(VLOOKUP($A17,TableHandbook[],H$2,FALSE),"")</f>
        <v>Y</v>
      </c>
      <c r="I17" s="60" t="str">
        <f>IFERROR(VLOOKUP($A17,TableHandbook[],I$2,FALSE),"")</f>
        <v/>
      </c>
      <c r="J17" s="60" t="str">
        <f>IFERROR(VLOOKUP($A17,TableHandbook[],J$2,FALSE),"")</f>
        <v>Y</v>
      </c>
      <c r="K17" s="71" t="str">
        <f>IFERROR(VLOOKUP($A17,TableHandbook[],K$2,FALSE),"")</f>
        <v/>
      </c>
      <c r="L17" s="67"/>
      <c r="M17" s="226">
        <v>6</v>
      </c>
      <c r="N17" s="27"/>
      <c r="O17" s="27"/>
      <c r="P17" s="28"/>
      <c r="Q17" s="28"/>
      <c r="R17" s="28"/>
      <c r="S17" s="28"/>
      <c r="T17" s="28"/>
      <c r="U17" s="28"/>
      <c r="V17" s="28"/>
      <c r="W17" s="28"/>
    </row>
    <row r="18" spans="1:23" s="38" customFormat="1" ht="21" customHeight="1" x14ac:dyDescent="0.15">
      <c r="A18" s="64" t="str">
        <f>IFERROR(IF(HLOOKUP($L$6,RangeUnitsetsOGEDUC,M18,FALSE)=0,"",HLOOKUP($L$6,RangeUnitsetsOGEDUC,M18,FALSE)),"")</f>
        <v>EDUC5014</v>
      </c>
      <c r="B18" s="60">
        <f>IFERROR(IF(VLOOKUP($A18,TableHandbook[],2,FALSE)=0,"",VLOOKUP($A18,TableHandbook[],2,FALSE)),"")</f>
        <v>1</v>
      </c>
      <c r="C18" s="60" t="str">
        <f>IFERROR(IF(VLOOKUP($A18,TableHandbook[],3,FALSE)=0,"",VLOOKUP($A18,TableHandbook[],3,FALSE)),"")</f>
        <v>MTPS501</v>
      </c>
      <c r="D18" s="65" t="str">
        <f>IFERROR(IF(VLOOKUP($A18,TableHandbook[],4,FALSE)=0,"",VLOOKUP($A18,TableHandbook[],4,FALSE)),"")</f>
        <v>Pedagogies for Diversity</v>
      </c>
      <c r="E18" s="58" t="str">
        <f>IF(A18="","",E17)</f>
        <v>SP3</v>
      </c>
      <c r="F18" s="57" t="str">
        <f>IFERROR(IF(VLOOKUP($A18,TableHandbook[],6,FALSE)=0,"",VLOOKUP($A18,TableHandbook[],6,FALSE)),"")</f>
        <v>Nil</v>
      </c>
      <c r="G18" s="60">
        <f>IFERROR(IF(VLOOKUP($A18,TableHandbook[],5,FALSE)=0,"",VLOOKUP($A18,TableHandbook[],5,FALSE)),"")</f>
        <v>25</v>
      </c>
      <c r="H18" s="70" t="str">
        <f>IFERROR(VLOOKUP($A18,TableHandbook[],H$2,FALSE),"")</f>
        <v>Y</v>
      </c>
      <c r="I18" s="60" t="str">
        <f>IFERROR(VLOOKUP($A18,TableHandbook[],I$2,FALSE),"")</f>
        <v/>
      </c>
      <c r="J18" s="60" t="str">
        <f>IFERROR(VLOOKUP($A18,TableHandbook[],J$2,FALSE),"")</f>
        <v>Y</v>
      </c>
      <c r="K18" s="71" t="str">
        <f>IFERROR(VLOOKUP($A18,TableHandbook[],K$2,FALSE),"")</f>
        <v/>
      </c>
      <c r="L18" s="67"/>
      <c r="M18" s="226">
        <v>7</v>
      </c>
      <c r="N18" s="36"/>
      <c r="O18" s="36"/>
      <c r="P18" s="37"/>
      <c r="Q18" s="37"/>
      <c r="R18" s="37"/>
      <c r="S18" s="37"/>
      <c r="T18" s="37"/>
      <c r="U18" s="37"/>
      <c r="V18" s="37"/>
      <c r="W18" s="37"/>
    </row>
    <row r="19" spans="1:23" s="29" customFormat="1" ht="6" customHeight="1" x14ac:dyDescent="0.15">
      <c r="A19" s="284"/>
      <c r="B19" s="285"/>
      <c r="C19" s="285"/>
      <c r="D19" s="286"/>
      <c r="E19" s="285"/>
      <c r="F19" s="287"/>
      <c r="G19" s="285"/>
      <c r="H19" s="288"/>
      <c r="I19" s="289"/>
      <c r="J19" s="289"/>
      <c r="K19" s="292"/>
      <c r="L19" s="291"/>
      <c r="M19" s="226"/>
      <c r="N19" s="27"/>
      <c r="O19" s="27"/>
      <c r="P19" s="27"/>
      <c r="Q19" s="28"/>
      <c r="R19" s="28"/>
      <c r="S19" s="28"/>
      <c r="T19" s="28"/>
      <c r="U19" s="28"/>
      <c r="V19" s="28"/>
      <c r="W19" s="28"/>
    </row>
    <row r="20" spans="1:23" s="38" customFormat="1" ht="21" customHeight="1" x14ac:dyDescent="0.15">
      <c r="A20" s="64" t="str">
        <f>IFERROR(IF(HLOOKUP($L$6,RangeUnitsetsOGEDUC,M20,FALSE)=0,"",HLOOKUP($L$6,RangeUnitsetsOGEDUC,M20,FALSE)),"")</f>
        <v>EDUC5017</v>
      </c>
      <c r="B20" s="60">
        <f>IFERROR(IF(VLOOKUP($A20,TableHandbook[],2,FALSE)=0,"",VLOOKUP($A20,TableHandbook[],2,FALSE)),"")</f>
        <v>1</v>
      </c>
      <c r="C20" s="60" t="str">
        <f>IFERROR(IF(VLOOKUP($A20,TableHandbook[],3,FALSE)=0,"",VLOOKUP($A20,TableHandbook[],3,FALSE)),"")</f>
        <v>MTPS504</v>
      </c>
      <c r="D20" s="65" t="str">
        <f>IFERROR(IF(VLOOKUP($A20,TableHandbook[],4,FALSE)=0,"",VLOOKUP($A20,TableHandbook[],4,FALSE)),"")</f>
        <v>Creative Technologies</v>
      </c>
      <c r="E20" s="58" t="str">
        <f>IF(OR(A20="",A20="--"),"",VLOOKUP($D$8,TableStudyPeriods[],5,FALSE))</f>
        <v>SP4</v>
      </c>
      <c r="F20" s="57" t="str">
        <f>IFERROR(IF(VLOOKUP($A20,TableHandbook[],6,FALSE)=0,"",VLOOKUP($A20,TableHandbook[],6,FALSE)),"")</f>
        <v>Nil</v>
      </c>
      <c r="G20" s="60">
        <f>IFERROR(IF(VLOOKUP($A20,TableHandbook[],5,FALSE)=0,"",VLOOKUP($A20,TableHandbook[],5,FALSE)),"")</f>
        <v>25</v>
      </c>
      <c r="H20" s="70" t="str">
        <f>IFERROR(VLOOKUP($A20,TableHandbook[],H$2,FALSE),"")</f>
        <v/>
      </c>
      <c r="I20" s="60" t="str">
        <f>IFERROR(VLOOKUP($A20,TableHandbook[],I$2,FALSE),"")</f>
        <v>Y</v>
      </c>
      <c r="J20" s="60" t="str">
        <f>IFERROR(VLOOKUP($A20,TableHandbook[],J$2,FALSE),"")</f>
        <v>Y</v>
      </c>
      <c r="K20" s="71" t="str">
        <f>IFERROR(VLOOKUP($A20,TableHandbook[],K$2,FALSE),"")</f>
        <v>Y</v>
      </c>
      <c r="L20" s="67"/>
      <c r="M20" s="226">
        <v>8</v>
      </c>
      <c r="N20" s="36"/>
      <c r="O20" s="36"/>
      <c r="P20" s="37"/>
      <c r="Q20" s="37"/>
      <c r="R20" s="37"/>
      <c r="S20" s="37"/>
      <c r="T20" s="37"/>
      <c r="U20" s="37"/>
      <c r="V20" s="37"/>
      <c r="W20" s="37"/>
    </row>
    <row r="21" spans="1:23" s="38" customFormat="1" ht="21" customHeight="1" x14ac:dyDescent="0.15">
      <c r="A21" s="299" t="str">
        <f>IFERROR(IF(HLOOKUP($L$6,RangeUnitsetsOGEDUC,M21,FALSE)=0,"",HLOOKUP($L$6,RangeUnitsetsOGEDUC,M21,FALSE)),"")</f>
        <v>GDTAS</v>
      </c>
      <c r="B21" s="211" t="str">
        <f>IFERROR(IF(VLOOKUP($A21,TableHandbook[],2,FALSE)=0,"",VLOOKUP($A21,TableHandbook[],2,FALSE)),"")</f>
        <v/>
      </c>
      <c r="C21" s="211" t="str">
        <f>IFERROR(IF(VLOOKUP($A21,TableHandbook[],3,FALSE)=0,"",VLOOKUP($A21,TableHandbook[],3,FALSE)),"")</f>
        <v/>
      </c>
      <c r="D21" s="304" t="str">
        <f>IFERROR(IF(VLOOKUP($A21,TableHandbook[],4,FALSE)=0,"",VLOOKUP($A21,TableHandbook[],4,FALSE)),"")</f>
        <v>Teaching Area SENIOR subject (see below)</v>
      </c>
      <c r="E21" s="211" t="str">
        <f>IF(A21="","",E20)</f>
        <v>SP4</v>
      </c>
      <c r="F21" s="301" t="str">
        <f>IFERROR(IF(VLOOKUP($A21,TableHandbook[],6,FALSE)=0,"",VLOOKUP($A21,TableHandbook[],6,FALSE)),"")</f>
        <v>See below</v>
      </c>
      <c r="G21" s="211">
        <f>IFERROR(IF(VLOOKUP($A21,TableHandbook[],5,FALSE)=0,"",VLOOKUP($A21,TableHandbook[],5,FALSE)),"")</f>
        <v>25</v>
      </c>
      <c r="H21" s="210" t="str">
        <f>IFERROR(VLOOKUP($A21,TableHandbook[],H$2,FALSE),"")</f>
        <v/>
      </c>
      <c r="I21" s="211" t="str">
        <f>IFERROR(VLOOKUP($A21,TableHandbook[],I$2,FALSE),"")</f>
        <v/>
      </c>
      <c r="J21" s="211" t="str">
        <f>IFERROR(VLOOKUP($A21,TableHandbook[],J$2,FALSE),"")</f>
        <v/>
      </c>
      <c r="K21" s="212" t="str">
        <f>IFERROR(VLOOKUP($A21,TableHandbook[],K$2,FALSE),"")</f>
        <v/>
      </c>
      <c r="L21" s="302"/>
      <c r="M21" s="303">
        <v>9</v>
      </c>
      <c r="N21" s="36"/>
      <c r="O21" s="36"/>
      <c r="P21" s="37"/>
      <c r="Q21" s="37"/>
      <c r="R21" s="37"/>
      <c r="S21" s="37"/>
      <c r="T21" s="37"/>
      <c r="U21" s="37"/>
      <c r="V21" s="37"/>
      <c r="W21" s="37"/>
    </row>
    <row r="22" spans="1:23" ht="16.5" customHeight="1" x14ac:dyDescent="0.25">
      <c r="A22" s="46"/>
      <c r="B22" s="46"/>
      <c r="C22" s="46"/>
      <c r="D22" s="47"/>
      <c r="E22" s="47"/>
      <c r="F22" s="42"/>
      <c r="G22" s="42"/>
      <c r="H22" s="42"/>
      <c r="I22" s="42"/>
      <c r="J22" s="42"/>
      <c r="K22" s="42"/>
      <c r="L22" s="42"/>
      <c r="M22" s="23"/>
      <c r="N22" s="23"/>
      <c r="O22" s="23"/>
      <c r="P22" s="23"/>
      <c r="Q22" s="23"/>
      <c r="R22" s="23"/>
      <c r="S22" s="23"/>
      <c r="T22" s="23"/>
      <c r="U22" s="23"/>
      <c r="V22" s="23"/>
      <c r="W22" s="23"/>
    </row>
    <row r="23" spans="1:23" s="49" customFormat="1" ht="25.5" x14ac:dyDescent="0.25">
      <c r="A23" s="224" t="s">
        <v>246</v>
      </c>
      <c r="B23" s="136"/>
      <c r="C23" s="136"/>
      <c r="D23" s="137"/>
      <c r="E23" s="138"/>
      <c r="F23" s="138"/>
      <c r="G23" s="138"/>
      <c r="H23" s="139" t="s">
        <v>19</v>
      </c>
      <c r="I23" s="140"/>
      <c r="J23" s="141"/>
      <c r="K23" s="142"/>
      <c r="L23" s="143"/>
      <c r="M23" s="48"/>
      <c r="N23" s="48"/>
      <c r="O23" s="48"/>
      <c r="P23" s="48"/>
      <c r="Q23" s="48"/>
      <c r="R23" s="48"/>
      <c r="S23" s="48"/>
      <c r="T23" s="48"/>
      <c r="U23" s="48"/>
      <c r="V23" s="48"/>
      <c r="W23" s="48"/>
    </row>
    <row r="24" spans="1:23" ht="21" customHeight="1" x14ac:dyDescent="0.25">
      <c r="A24" s="160"/>
      <c r="B24" s="160"/>
      <c r="C24" s="186" t="s">
        <v>21</v>
      </c>
      <c r="D24" s="161" t="s">
        <v>3</v>
      </c>
      <c r="E24" s="186"/>
      <c r="F24" s="160" t="s">
        <v>23</v>
      </c>
      <c r="G24" s="160" t="s">
        <v>24</v>
      </c>
      <c r="H24" s="167" t="s">
        <v>25</v>
      </c>
      <c r="I24" s="180" t="s">
        <v>26</v>
      </c>
      <c r="J24" s="180" t="s">
        <v>27</v>
      </c>
      <c r="K24" s="168" t="s">
        <v>28</v>
      </c>
      <c r="L24" s="166" t="s">
        <v>29</v>
      </c>
      <c r="M24" s="74"/>
      <c r="N24" s="23"/>
      <c r="O24" s="23"/>
      <c r="P24" s="23"/>
      <c r="Q24" s="23"/>
      <c r="R24" s="23"/>
      <c r="S24" s="23"/>
      <c r="T24" s="23"/>
      <c r="U24" s="23"/>
      <c r="V24" s="23"/>
      <c r="W24" s="23"/>
    </row>
    <row r="25" spans="1:23" ht="21" customHeight="1" x14ac:dyDescent="0.25">
      <c r="A25" s="232"/>
      <c r="B25" s="206"/>
      <c r="C25" s="305"/>
      <c r="D25" s="207" t="s">
        <v>249</v>
      </c>
      <c r="E25" s="208"/>
      <c r="F25" s="209"/>
      <c r="G25" s="209"/>
      <c r="H25" s="210"/>
      <c r="I25" s="211"/>
      <c r="J25" s="211"/>
      <c r="K25" s="212"/>
      <c r="L25" s="213"/>
      <c r="M25" s="214">
        <v>2</v>
      </c>
      <c r="N25" s="23"/>
      <c r="O25" s="23"/>
      <c r="P25" s="23"/>
      <c r="Q25" s="23"/>
      <c r="R25" s="23"/>
      <c r="S25" s="23"/>
      <c r="T25" s="23"/>
      <c r="U25" s="23"/>
      <c r="V25" s="23"/>
      <c r="W25" s="23"/>
    </row>
    <row r="26" spans="1:23" ht="21" customHeight="1" x14ac:dyDescent="0.25">
      <c r="A26" s="233" t="str">
        <f>IFERROR(IF(HLOOKUP($L$7,RangeTeachingAreas,M26,FALSE)=0,"",HLOOKUP($L$7,RangeTeachingAreas,M26,FALSE)),"")</f>
        <v/>
      </c>
      <c r="B26" s="50" t="str">
        <f>IFERROR(IF(VLOOKUP($A26,TableHandbook[],2,FALSE)=0,"",VLOOKUP($A26,TableHandbook[],2,FALSE)),"")</f>
        <v/>
      </c>
      <c r="C26" s="295" t="str">
        <f>IFERROR(IF(VLOOKUP($A26,TableHandbook[],3,FALSE)=0,"",VLOOKUP($A26,TableHandbook[],3,FALSE)),"")</f>
        <v/>
      </c>
      <c r="D26" s="51" t="str">
        <f>IFERROR(IF(VLOOKUP($A26,TableHandbook[],4,FALSE)=0,"",VLOOKUP($A26,TableHandbook[],4,FALSE)),"")</f>
        <v/>
      </c>
      <c r="E26" s="52"/>
      <c r="F26" s="53" t="str">
        <f>IFERROR(IF(VLOOKUP($A26,TableHandbook[],6,FALSE)=0,"",VLOOKUP($A26,TableHandbook[],6,FALSE)),"")</f>
        <v/>
      </c>
      <c r="G26" s="53" t="str">
        <f>IFERROR(IF(VLOOKUP($A26,TableHandbook[],5,FALSE)=0,"",VLOOKUP($A26,TableHandbook[],5,FALSE)),"")</f>
        <v/>
      </c>
      <c r="H26" s="68" t="str">
        <f>IFERROR(VLOOKUP($A26,TableHandbook[],H$2,FALSE),"")</f>
        <v/>
      </c>
      <c r="I26" s="58" t="str">
        <f>IFERROR(VLOOKUP($A26,TableHandbook[],I$2,FALSE),"")</f>
        <v/>
      </c>
      <c r="J26" s="58" t="str">
        <f>IFERROR(VLOOKUP($A26,TableHandbook[],J$2,FALSE),"")</f>
        <v/>
      </c>
      <c r="K26" s="69" t="str">
        <f>IFERROR(VLOOKUP($A26,TableHandbook[],K$2,FALSE),"")</f>
        <v/>
      </c>
      <c r="L26" s="59"/>
      <c r="M26" s="74">
        <v>3</v>
      </c>
      <c r="N26" s="23"/>
      <c r="O26" s="23"/>
      <c r="P26" s="23"/>
      <c r="Q26" s="23"/>
      <c r="R26" s="23"/>
      <c r="S26" s="23"/>
      <c r="T26" s="23"/>
      <c r="U26" s="23"/>
      <c r="V26" s="23"/>
      <c r="W26" s="23"/>
    </row>
    <row r="27" spans="1:23" ht="21" customHeight="1" x14ac:dyDescent="0.25">
      <c r="A27" s="233" t="str">
        <f>IFERROR(IF(HLOOKUP($L$7,RangeTeachingAreas,M27,FALSE)=0,"",HLOOKUP($L$7,RangeTeachingAreas,M27,FALSE)),"")</f>
        <v/>
      </c>
      <c r="B27" s="50" t="str">
        <f>IFERROR(IF(VLOOKUP($A27,TableHandbook[],2,FALSE)=0,"",VLOOKUP($A27,TableHandbook[],2,FALSE)),"")</f>
        <v/>
      </c>
      <c r="C27" s="295" t="str">
        <f>IFERROR(IF(VLOOKUP($A27,TableHandbook[],3,FALSE)=0,"",VLOOKUP($A27,TableHandbook[],3,FALSE)),"")</f>
        <v/>
      </c>
      <c r="D27" s="51" t="str">
        <f>IFERROR(IF(VLOOKUP($A27,TableHandbook[],4,FALSE)=0,"",VLOOKUP($A27,TableHandbook[],4,FALSE)),"")</f>
        <v/>
      </c>
      <c r="E27" s="52"/>
      <c r="F27" s="53" t="str">
        <f>IFERROR(IF(VLOOKUP($A27,TableHandbook[],6,FALSE)=0,"",VLOOKUP($A27,TableHandbook[],6,FALSE)),"")</f>
        <v/>
      </c>
      <c r="G27" s="53" t="str">
        <f>IFERROR(IF(VLOOKUP($A27,TableHandbook[],5,FALSE)=0,"",VLOOKUP($A27,TableHandbook[],5,FALSE)),"")</f>
        <v/>
      </c>
      <c r="H27" s="68" t="str">
        <f>IFERROR(VLOOKUP($A27,TableHandbook[],H$2,FALSE),"")</f>
        <v/>
      </c>
      <c r="I27" s="58" t="str">
        <f>IFERROR(VLOOKUP($A27,TableHandbook[],I$2,FALSE),"")</f>
        <v/>
      </c>
      <c r="J27" s="58" t="str">
        <f>IFERROR(VLOOKUP($A27,TableHandbook[],J$2,FALSE),"")</f>
        <v/>
      </c>
      <c r="K27" s="69" t="str">
        <f>IFERROR(VLOOKUP($A27,TableHandbook[],K$2,FALSE),"")</f>
        <v/>
      </c>
      <c r="L27" s="59"/>
      <c r="M27" s="74">
        <v>4</v>
      </c>
      <c r="N27" s="23"/>
      <c r="O27" s="23"/>
      <c r="P27" s="23"/>
      <c r="Q27" s="23"/>
      <c r="R27" s="23"/>
      <c r="S27" s="23"/>
      <c r="T27" s="23"/>
      <c r="U27" s="23"/>
      <c r="V27" s="23"/>
      <c r="W27" s="23"/>
    </row>
    <row r="28" spans="1:23" ht="13.5" customHeight="1" x14ac:dyDescent="0.25">
      <c r="A28" s="254"/>
      <c r="B28" s="255"/>
      <c r="C28" s="256"/>
      <c r="D28" s="256"/>
      <c r="E28" s="257"/>
      <c r="F28" s="258"/>
      <c r="G28" s="258"/>
      <c r="H28" s="235"/>
      <c r="I28" s="235"/>
      <c r="J28" s="235"/>
      <c r="K28" s="235"/>
      <c r="L28" s="236"/>
      <c r="M28" s="74"/>
      <c r="N28" s="23"/>
      <c r="O28" s="23"/>
      <c r="P28" s="23"/>
      <c r="Q28" s="23"/>
      <c r="R28" s="23"/>
      <c r="S28" s="23"/>
      <c r="T28" s="23"/>
      <c r="U28" s="23"/>
      <c r="V28" s="23"/>
      <c r="W28" s="23"/>
    </row>
    <row r="29" spans="1:23" s="23" customFormat="1" ht="18" x14ac:dyDescent="0.25">
      <c r="A29" s="75" t="s">
        <v>32</v>
      </c>
      <c r="B29" s="75"/>
      <c r="C29" s="75"/>
      <c r="D29" s="75"/>
      <c r="E29" s="75"/>
      <c r="F29" s="75"/>
      <c r="G29" s="75"/>
      <c r="H29" s="75"/>
      <c r="I29" s="75"/>
      <c r="J29" s="75"/>
      <c r="K29" s="75"/>
      <c r="L29" s="75"/>
    </row>
    <row r="30" spans="1:23" s="45" customFormat="1" ht="17.25" x14ac:dyDescent="0.2">
      <c r="A30" s="39" t="s">
        <v>33</v>
      </c>
      <c r="B30" s="39"/>
      <c r="C30" s="39"/>
      <c r="D30" s="40"/>
      <c r="E30" s="40"/>
      <c r="F30" s="40"/>
      <c r="G30" s="40"/>
      <c r="H30" s="40"/>
      <c r="I30" s="40"/>
      <c r="J30" s="40"/>
      <c r="K30" s="40"/>
      <c r="L30" s="40"/>
      <c r="M30" s="43"/>
      <c r="N30" s="43"/>
      <c r="O30" s="43"/>
      <c r="P30" s="44"/>
      <c r="Q30" s="44"/>
      <c r="R30" s="44"/>
      <c r="S30" s="44"/>
      <c r="T30" s="44"/>
      <c r="U30" s="44"/>
      <c r="V30" s="44"/>
      <c r="W30" s="44"/>
    </row>
    <row r="31" spans="1:23" x14ac:dyDescent="0.25">
      <c r="A31" s="41" t="s">
        <v>34</v>
      </c>
      <c r="B31" s="41"/>
      <c r="C31" s="41"/>
      <c r="D31" s="41"/>
      <c r="E31" s="54"/>
      <c r="F31" s="42"/>
      <c r="G31" s="55"/>
      <c r="H31" s="55"/>
      <c r="I31" s="55"/>
      <c r="J31" s="55"/>
      <c r="K31" s="55"/>
      <c r="L31" s="55" t="s">
        <v>35</v>
      </c>
    </row>
  </sheetData>
  <sheetProtection formatCells="0"/>
  <mergeCells count="1">
    <mergeCell ref="A3:D3"/>
  </mergeCells>
  <conditionalFormatting sqref="A11:M21">
    <cfRule type="expression" dxfId="289" priority="1">
      <formula>LEFT($A11,3)="STA"</formula>
    </cfRule>
    <cfRule type="expression" dxfId="288" priority="2">
      <formula>LEFT($A11,3)="FTA"</formula>
    </cfRule>
  </conditionalFormatting>
  <conditionalFormatting sqref="D5:D8">
    <cfRule type="containsText" dxfId="287" priority="3" operator="containsText" text="Choose">
      <formula>NOT(ISERROR(SEARCH("Choose",D5)))</formula>
    </cfRule>
  </conditionalFormatting>
  <dataValidations count="1">
    <dataValidation type="list" allowBlank="1" showInputMessage="1" showErrorMessage="1" sqref="L16 L13 L19"/>
  </dataValidations>
  <hyperlinks>
    <hyperlink ref="A30:L30"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1"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14:formula1>
            <xm:f>'Unitsets OM-Teach Sec'!$A$30:$A$36</xm:f>
          </x14:formula1>
          <xm:sqref>D7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P30"/>
  <sheetViews>
    <sheetView showGridLines="0" topLeftCell="A3" workbookViewId="0">
      <selection activeCell="D7" sqref="D7"/>
    </sheetView>
  </sheetViews>
  <sheetFormatPr defaultColWidth="9" defaultRowHeight="15" x14ac:dyDescent="0.25"/>
  <cols>
    <col min="1" max="1" width="8.5" style="333" customWidth="1"/>
    <col min="2" max="2" width="3.25" style="333" customWidth="1"/>
    <col min="3" max="3" width="10.375" style="333" customWidth="1"/>
    <col min="4" max="4" width="48.25" style="323" customWidth="1"/>
    <col min="5" max="5" width="8.75" style="323" customWidth="1"/>
    <col min="6" max="6" width="18.125" style="323" customWidth="1"/>
    <col min="7" max="7" width="5.625" style="323" customWidth="1"/>
    <col min="8" max="11" width="3.875" style="323" customWidth="1"/>
    <col min="12" max="12" width="15.625" style="323" customWidth="1"/>
    <col min="13" max="13" width="2.5" style="323" hidden="1" customWidth="1"/>
    <col min="14" max="16384" width="9" style="323"/>
  </cols>
  <sheetData>
    <row r="1" spans="1:16" hidden="1" x14ac:dyDescent="0.25">
      <c r="A1" s="319" t="s">
        <v>0</v>
      </c>
      <c r="B1" s="320" t="s">
        <v>1</v>
      </c>
      <c r="C1" s="320" t="s">
        <v>2</v>
      </c>
      <c r="D1" s="321" t="s">
        <v>3</v>
      </c>
      <c r="E1" s="321"/>
      <c r="F1" s="321" t="s">
        <v>4</v>
      </c>
      <c r="G1" s="321" t="s">
        <v>5</v>
      </c>
      <c r="H1" s="322" t="s">
        <v>6</v>
      </c>
      <c r="I1" s="322"/>
      <c r="J1" s="321"/>
      <c r="K1" s="321"/>
      <c r="L1" s="321" t="s">
        <v>7</v>
      </c>
    </row>
    <row r="2" spans="1:16" hidden="1" x14ac:dyDescent="0.25">
      <c r="A2" s="324"/>
      <c r="B2" s="325">
        <v>2</v>
      </c>
      <c r="C2" s="325">
        <v>3</v>
      </c>
      <c r="D2" s="325">
        <v>4</v>
      </c>
      <c r="E2" s="325"/>
      <c r="F2" s="325">
        <v>6</v>
      </c>
      <c r="G2" s="325">
        <v>5</v>
      </c>
      <c r="H2" s="325">
        <v>7</v>
      </c>
      <c r="I2" s="325">
        <v>8</v>
      </c>
      <c r="J2" s="325">
        <v>9</v>
      </c>
      <c r="K2" s="325">
        <v>10</v>
      </c>
      <c r="L2" s="326"/>
    </row>
    <row r="3" spans="1:16" ht="39.950000000000003" customHeight="1" x14ac:dyDescent="0.25">
      <c r="A3" s="429" t="s">
        <v>8</v>
      </c>
      <c r="B3" s="429"/>
      <c r="C3" s="429"/>
      <c r="D3" s="429"/>
      <c r="E3" s="327"/>
      <c r="F3" s="327"/>
      <c r="G3" s="327"/>
      <c r="H3" s="327"/>
      <c r="I3" s="327"/>
      <c r="J3" s="327"/>
      <c r="K3" s="327"/>
      <c r="L3" s="327"/>
    </row>
    <row r="4" spans="1:16" ht="25.5" x14ac:dyDescent="0.25">
      <c r="A4" s="328"/>
      <c r="B4" s="329"/>
      <c r="C4" s="329"/>
      <c r="D4" s="330" t="s">
        <v>9</v>
      </c>
      <c r="E4" s="331"/>
      <c r="F4" s="329"/>
      <c r="G4" s="332"/>
      <c r="H4" s="332"/>
      <c r="I4" s="332"/>
      <c r="J4" s="332"/>
      <c r="K4" s="332"/>
      <c r="L4" s="332"/>
    </row>
    <row r="5" spans="1:16" ht="20.100000000000001" customHeight="1" x14ac:dyDescent="0.25">
      <c r="B5" s="334"/>
      <c r="C5" s="335" t="s">
        <v>10</v>
      </c>
      <c r="D5" s="298" t="s">
        <v>606</v>
      </c>
      <c r="E5" s="337"/>
      <c r="F5" s="334" t="s">
        <v>12</v>
      </c>
      <c r="G5" s="338" t="str">
        <f>IFERROR(CONCATENATE(VLOOKUP(D5,TableCourses[],2,FALSE)," ",VLOOKUP(D5,TableCourses[],3,FALSE)),"")</f>
        <v>OG-EDUC v.1</v>
      </c>
      <c r="H5" s="337"/>
      <c r="I5" s="337"/>
      <c r="J5" s="337"/>
      <c r="K5" s="337"/>
      <c r="L5" s="339"/>
    </row>
    <row r="6" spans="1:16" ht="20.100000000000001" customHeight="1" x14ac:dyDescent="0.25">
      <c r="B6" s="334"/>
      <c r="C6" s="335" t="s">
        <v>13</v>
      </c>
      <c r="D6" s="336" t="s">
        <v>191</v>
      </c>
      <c r="E6" s="337"/>
      <c r="F6" s="334" t="s">
        <v>15</v>
      </c>
      <c r="G6" s="337" t="str">
        <f>IFERROR(CONCATENATE(VLOOKUP(D6,TableMajorsGradDip[],2,FALSE)," ",VLOOKUP(D6,TableMajorsGradDip[],3,FALSE)),"")</f>
        <v>OUMP-EDUSC v.1</v>
      </c>
      <c r="H6" s="337"/>
      <c r="I6" s="337"/>
      <c r="J6" s="337"/>
      <c r="K6" s="337"/>
      <c r="L6" s="340" t="str">
        <f>CONCATENATE(VLOOKUP(D6,TableMajorsGradDip[],2,FALSE),VLOOKUP(D8,TableStudyPeriods[],2,FALSE))</f>
        <v>OUMP-EDUSCSP1</v>
      </c>
    </row>
    <row r="7" spans="1:16" ht="20.100000000000001" customHeight="1" x14ac:dyDescent="0.25">
      <c r="B7" s="334"/>
      <c r="C7" s="335" t="s">
        <v>247</v>
      </c>
      <c r="D7" s="427" t="s">
        <v>248</v>
      </c>
      <c r="E7" s="337"/>
      <c r="F7" s="334"/>
      <c r="G7" s="337"/>
      <c r="H7" s="337"/>
      <c r="I7" s="337"/>
      <c r="J7" s="337"/>
      <c r="K7" s="337"/>
      <c r="L7" s="340" t="e">
        <f>VLOOKUP(D7,TableFirstTeachingArea[],2,FALSE)</f>
        <v>#N/A</v>
      </c>
    </row>
    <row r="8" spans="1:16" ht="20.100000000000001" customHeight="1" x14ac:dyDescent="0.25">
      <c r="A8" s="341"/>
      <c r="B8" s="342"/>
      <c r="C8" s="335" t="s">
        <v>16</v>
      </c>
      <c r="D8" s="343" t="s">
        <v>140</v>
      </c>
      <c r="E8" s="344"/>
      <c r="F8" s="334" t="s">
        <v>18</v>
      </c>
      <c r="G8" s="337" t="str">
        <f>IFERROR(VLOOKUP($D$5,TableCourses[],4,FALSE),"")</f>
        <v>200 credit points required</v>
      </c>
      <c r="H8" s="345"/>
      <c r="I8" s="345"/>
      <c r="J8" s="345"/>
      <c r="K8" s="345"/>
      <c r="L8" s="345"/>
    </row>
    <row r="9" spans="1:16" s="353" customFormat="1" ht="14.1" customHeight="1" x14ac:dyDescent="0.25">
      <c r="A9" s="346"/>
      <c r="B9" s="346"/>
      <c r="C9" s="346"/>
      <c r="D9" s="347"/>
      <c r="E9" s="348"/>
      <c r="F9" s="346"/>
      <c r="G9" s="346"/>
      <c r="H9" s="349" t="s">
        <v>19</v>
      </c>
      <c r="I9" s="350"/>
      <c r="J9" s="350"/>
      <c r="K9" s="351"/>
      <c r="L9" s="348"/>
      <c r="M9" s="352"/>
      <c r="N9" s="352"/>
      <c r="O9" s="352"/>
    </row>
    <row r="10" spans="1:16" s="353" customFormat="1" ht="21" x14ac:dyDescent="0.25">
      <c r="A10" s="346" t="s">
        <v>20</v>
      </c>
      <c r="B10" s="346"/>
      <c r="C10" s="354" t="s">
        <v>21</v>
      </c>
      <c r="D10" s="347" t="s">
        <v>3</v>
      </c>
      <c r="E10" s="354" t="s">
        <v>22</v>
      </c>
      <c r="F10" s="346" t="s">
        <v>23</v>
      </c>
      <c r="G10" s="346" t="s">
        <v>24</v>
      </c>
      <c r="H10" s="355" t="s">
        <v>25</v>
      </c>
      <c r="I10" s="356" t="s">
        <v>26</v>
      </c>
      <c r="J10" s="356" t="s">
        <v>27</v>
      </c>
      <c r="K10" s="357" t="s">
        <v>28</v>
      </c>
      <c r="L10" s="346" t="s">
        <v>29</v>
      </c>
      <c r="M10" s="352"/>
      <c r="N10" s="352"/>
      <c r="O10" s="352"/>
    </row>
    <row r="11" spans="1:16" s="366" customFormat="1" ht="21" customHeight="1" x14ac:dyDescent="0.15">
      <c r="A11" s="358" t="str">
        <f>IFERROR(IF(HLOOKUP($L$6,RangeUnitsetsOGEDUCAcc,M11,FALSE)=0,"",HLOOKUP($L$6,RangeUnitsetsOGEDUCAcc,M11,FALSE)),"")</f>
        <v>EDSC5037</v>
      </c>
      <c r="B11" s="359">
        <f>IFERROR(IF(VLOOKUP($A11,TableHandbook[],2,FALSE)=0,"",VLOOKUP($A11,TableHandbook[],2,FALSE)),"")</f>
        <v>1</v>
      </c>
      <c r="C11" s="359" t="str">
        <f>IFERROR(IF(VLOOKUP($A11,TableHandbook[],3,FALSE)=0,"",VLOOKUP($A11,TableHandbook[],3,FALSE)),"")</f>
        <v>MTS500</v>
      </c>
      <c r="D11" s="360" t="str">
        <f>IFERROR(IF(VLOOKUP($A11,TableHandbook[],4,FALSE)=0,"",VLOOKUP($A11,TableHandbook[],4,FALSE)),"")</f>
        <v>Teaching in the Secondary School</v>
      </c>
      <c r="E11" s="359" t="str">
        <f>IF(OR(A11="",A11="--"),"",VLOOKUP($D$8,TableStudyPeriods[],2,FALSE))</f>
        <v>SP1</v>
      </c>
      <c r="F11" s="361" t="str">
        <f>IFERROR(IF(VLOOKUP($A11,TableHandbook[],6,FALSE)=0,"",VLOOKUP($A11,TableHandbook[],6,FALSE)),"")</f>
        <v>Nil</v>
      </c>
      <c r="G11" s="359">
        <f>IFERROR(IF(VLOOKUP($A11,TableHandbook[],5,FALSE)=0,"",VLOOKUP($A11,TableHandbook[],5,FALSE)),"")</f>
        <v>25</v>
      </c>
      <c r="H11" s="362" t="str">
        <f>IFERROR(VLOOKUP($A11,TableHandbook[],H$2,FALSE),"")</f>
        <v>Y</v>
      </c>
      <c r="I11" s="359" t="str">
        <f>IFERROR(VLOOKUP($A11,TableHandbook[],I$2,FALSE),"")</f>
        <v>Y</v>
      </c>
      <c r="J11" s="359" t="str">
        <f>IFERROR(VLOOKUP($A11,TableHandbook[],J$2,FALSE),"")</f>
        <v/>
      </c>
      <c r="K11" s="363" t="str">
        <f>IFERROR(VLOOKUP($A11,TableHandbook[],K$2,FALSE),"")</f>
        <v/>
      </c>
      <c r="L11" s="317"/>
      <c r="M11" s="364">
        <v>2</v>
      </c>
      <c r="N11" s="365"/>
      <c r="O11" s="365"/>
    </row>
    <row r="12" spans="1:16" s="366" customFormat="1" ht="21" customHeight="1" x14ac:dyDescent="0.15">
      <c r="A12" s="358" t="str">
        <f>IFERROR(IF(HLOOKUP($L$6,RangeUnitsetsOGEDUCAcc,M12,FALSE)=0,"",HLOOKUP($L$6,RangeUnitsetsOGEDUCAcc,M12,FALSE)),"")</f>
        <v>EDSC5039</v>
      </c>
      <c r="B12" s="359">
        <f>IFERROR(IF(VLOOKUP($A12,TableHandbook[],2,FALSE)=0,"",VLOOKUP($A12,TableHandbook[],2,FALSE)),"")</f>
        <v>1</v>
      </c>
      <c r="C12" s="359" t="str">
        <f>IFERROR(IF(VLOOKUP($A12,TableHandbook[],3,FALSE)=0,"",VLOOKUP($A12,TableHandbook[],3,FALSE)),"")</f>
        <v>MTS502</v>
      </c>
      <c r="D12" s="360" t="str">
        <f>IFERROR(IF(VLOOKUP($A12,TableHandbook[],4,FALSE)=0,"",VLOOKUP($A12,TableHandbook[],4,FALSE)),"")</f>
        <v>Secondary Professional Experience 1: Planning</v>
      </c>
      <c r="E12" s="359" t="str">
        <f>IF(A12="","",E11)</f>
        <v>SP1</v>
      </c>
      <c r="F12" s="361" t="str">
        <f>IFERROR(IF(VLOOKUP($A12,TableHandbook[],6,FALSE)=0,"",VLOOKUP($A12,TableHandbook[],6,FALSE)),"")</f>
        <v>Nil</v>
      </c>
      <c r="G12" s="359">
        <f>IFERROR(IF(VLOOKUP($A12,TableHandbook[],5,FALSE)=0,"",VLOOKUP($A12,TableHandbook[],5,FALSE)),"")</f>
        <v>25</v>
      </c>
      <c r="H12" s="362" t="str">
        <f>IFERROR(VLOOKUP($A12,TableHandbook[],H$2,FALSE),"")</f>
        <v>Y</v>
      </c>
      <c r="I12" s="359" t="str">
        <f>IFERROR(VLOOKUP($A12,TableHandbook[],I$2,FALSE),"")</f>
        <v>Y</v>
      </c>
      <c r="J12" s="359" t="str">
        <f>IFERROR(VLOOKUP($A12,TableHandbook[],J$2,FALSE),"")</f>
        <v/>
      </c>
      <c r="K12" s="363" t="str">
        <f>IFERROR(VLOOKUP($A12,TableHandbook[],K$2,FALSE),"")</f>
        <v/>
      </c>
      <c r="L12" s="317"/>
      <c r="M12" s="364">
        <v>3</v>
      </c>
      <c r="N12" s="365"/>
      <c r="O12" s="365"/>
    </row>
    <row r="13" spans="1:16" s="366" customFormat="1" ht="21" customHeight="1" x14ac:dyDescent="0.15">
      <c r="A13" s="358" t="str">
        <f>IFERROR(IF(HLOOKUP($L$6,RangeUnitsetsOGEDUCAcc,M13,FALSE)=0,"",HLOOKUP($L$6,RangeUnitsetsOGEDUCAcc,M13,FALSE)),"")</f>
        <v>EDUC5014</v>
      </c>
      <c r="B13" s="359">
        <f>IFERROR(IF(VLOOKUP($A13,TableHandbook[],2,FALSE)=0,"",VLOOKUP($A13,TableHandbook[],2,FALSE)),"")</f>
        <v>1</v>
      </c>
      <c r="C13" s="359" t="str">
        <f>IFERROR(IF(VLOOKUP($A13,TableHandbook[],3,FALSE)=0,"",VLOOKUP($A13,TableHandbook[],3,FALSE)),"")</f>
        <v>MTPS501</v>
      </c>
      <c r="D13" s="360" t="str">
        <f>IFERROR(IF(VLOOKUP($A13,TableHandbook[],4,FALSE)=0,"",VLOOKUP($A13,TableHandbook[],4,FALSE)),"")</f>
        <v>Pedagogies for Diversity</v>
      </c>
      <c r="E13" s="359" t="str">
        <f>IF(A13="","",E12)</f>
        <v>SP1</v>
      </c>
      <c r="F13" s="361" t="str">
        <f>IFERROR(IF(VLOOKUP($A13,TableHandbook[],6,FALSE)=0,"",VLOOKUP($A13,TableHandbook[],6,FALSE)),"")</f>
        <v>Nil</v>
      </c>
      <c r="G13" s="359">
        <f>IFERROR(IF(VLOOKUP($A13,TableHandbook[],5,FALSE)=0,"",VLOOKUP($A13,TableHandbook[],5,FALSE)),"")</f>
        <v>25</v>
      </c>
      <c r="H13" s="362" t="str">
        <f>IFERROR(VLOOKUP($A13,TableHandbook[],H$2,FALSE),"")</f>
        <v>Y</v>
      </c>
      <c r="I13" s="359" t="str">
        <f>IFERROR(VLOOKUP($A13,TableHandbook[],I$2,FALSE),"")</f>
        <v/>
      </c>
      <c r="J13" s="359" t="str">
        <f>IFERROR(VLOOKUP($A13,TableHandbook[],J$2,FALSE),"")</f>
        <v>Y</v>
      </c>
      <c r="K13" s="363" t="str">
        <f>IFERROR(VLOOKUP($A13,TableHandbook[],K$2,FALSE),"")</f>
        <v/>
      </c>
      <c r="L13" s="317"/>
      <c r="M13" s="364">
        <v>4</v>
      </c>
      <c r="N13" s="365"/>
      <c r="O13" s="365"/>
    </row>
    <row r="14" spans="1:16" s="366" customFormat="1" ht="6" customHeight="1" x14ac:dyDescent="0.15">
      <c r="A14" s="367"/>
      <c r="B14" s="368"/>
      <c r="C14" s="368"/>
      <c r="D14" s="369"/>
      <c r="E14" s="368"/>
      <c r="F14" s="370"/>
      <c r="G14" s="368"/>
      <c r="H14" s="371"/>
      <c r="I14" s="372"/>
      <c r="J14" s="372"/>
      <c r="K14" s="373"/>
      <c r="L14" s="291"/>
      <c r="M14" s="364"/>
      <c r="N14" s="365"/>
      <c r="O14" s="365"/>
      <c r="P14" s="365"/>
    </row>
    <row r="15" spans="1:16" s="366" customFormat="1" ht="21" customHeight="1" x14ac:dyDescent="0.15">
      <c r="A15" s="358" t="str">
        <f>IFERROR(IF(HLOOKUP($L$6,RangeUnitsetsOGEDUCAcc,M15,FALSE)=0,"",HLOOKUP($L$6,RangeUnitsetsOGEDUCAcc,M15,FALSE)),"")</f>
        <v>EDSC5051</v>
      </c>
      <c r="B15" s="359">
        <f>IFERROR(IF(VLOOKUP($A15,TableHandbook[],2,FALSE)=0,"",VLOOKUP($A15,TableHandbook[],2,FALSE)),"")</f>
        <v>1</v>
      </c>
      <c r="C15" s="359" t="str">
        <f>IFERROR(IF(VLOOKUP($A15,TableHandbook[],3,FALSE)=0,"",VLOOKUP($A15,TableHandbook[],3,FALSE)),"")</f>
        <v>MTS504</v>
      </c>
      <c r="D15" s="360" t="str">
        <f>IFERROR(IF(VLOOKUP($A15,TableHandbook[],4,FALSE)=0,"",VLOOKUP($A15,TableHandbook[],4,FALSE)),"")</f>
        <v>Secondary Professional Experience 2: Assessment and Reporting</v>
      </c>
      <c r="E15" s="359" t="str">
        <f>IF(OR(A15="",A15="--"),"",VLOOKUP($D$8,TableStudyPeriods[],3,FALSE))</f>
        <v>SP2</v>
      </c>
      <c r="F15" s="361" t="str">
        <f>IFERROR(IF(VLOOKUP($A15,TableHandbook[],6,FALSE)=0,"",VLOOKUP($A15,TableHandbook[],6,FALSE)),"")</f>
        <v>MTS502</v>
      </c>
      <c r="G15" s="359">
        <f>IFERROR(IF(VLOOKUP($A15,TableHandbook[],5,FALSE)=0,"",VLOOKUP($A15,TableHandbook[],5,FALSE)),"")</f>
        <v>25</v>
      </c>
      <c r="H15" s="362" t="str">
        <f>IFERROR(VLOOKUP($A15,TableHandbook[],H$2,FALSE),"")</f>
        <v/>
      </c>
      <c r="I15" s="359" t="str">
        <f>IFERROR(VLOOKUP($A15,TableHandbook[],I$2,FALSE),"")</f>
        <v>Y</v>
      </c>
      <c r="J15" s="359" t="str">
        <f>IFERROR(VLOOKUP($A15,TableHandbook[],J$2,FALSE),"")</f>
        <v>Y</v>
      </c>
      <c r="K15" s="363" t="str">
        <f>IFERROR(VLOOKUP($A15,TableHandbook[],K$2,FALSE),"")</f>
        <v/>
      </c>
      <c r="L15" s="317"/>
      <c r="M15" s="374">
        <v>5</v>
      </c>
      <c r="N15" s="365"/>
      <c r="O15" s="365"/>
    </row>
    <row r="16" spans="1:16" s="366" customFormat="1" ht="21" customHeight="1" x14ac:dyDescent="0.15">
      <c r="A16" s="358" t="str">
        <f>IFERROR(IF(HLOOKUP($L$6,RangeUnitsetsOGEDUCAcc,M16,FALSE)=0,"",HLOOKUP($L$6,RangeUnitsetsOGEDUCAcc,M16,FALSE)),"")</f>
        <v>EDUC5017</v>
      </c>
      <c r="B16" s="359">
        <f>IFERROR(IF(VLOOKUP($A16,TableHandbook[],2,FALSE)=0,"",VLOOKUP($A16,TableHandbook[],2,FALSE)),"")</f>
        <v>1</v>
      </c>
      <c r="C16" s="359" t="str">
        <f>IFERROR(IF(VLOOKUP($A16,TableHandbook[],3,FALSE)=0,"",VLOOKUP($A16,TableHandbook[],3,FALSE)),"")</f>
        <v>MTPS504</v>
      </c>
      <c r="D16" s="360" t="str">
        <f>IFERROR(IF(VLOOKUP($A16,TableHandbook[],4,FALSE)=0,"",VLOOKUP($A16,TableHandbook[],4,FALSE)),"")</f>
        <v>Creative Technologies</v>
      </c>
      <c r="E16" s="359" t="str">
        <f>IF(A16="","",E15)</f>
        <v>SP2</v>
      </c>
      <c r="F16" s="361" t="str">
        <f>IFERROR(IF(VLOOKUP($A16,TableHandbook[],6,FALSE)=0,"",VLOOKUP($A16,TableHandbook[],6,FALSE)),"")</f>
        <v>Nil</v>
      </c>
      <c r="G16" s="359">
        <f>IFERROR(IF(VLOOKUP($A16,TableHandbook[],5,FALSE)=0,"",VLOOKUP($A16,TableHandbook[],5,FALSE)),"")</f>
        <v>25</v>
      </c>
      <c r="H16" s="362" t="str">
        <f>IFERROR(VLOOKUP($A16,TableHandbook[],H$2,FALSE),"")</f>
        <v/>
      </c>
      <c r="I16" s="359" t="str">
        <f>IFERROR(VLOOKUP($A16,TableHandbook[],I$2,FALSE),"")</f>
        <v>Y</v>
      </c>
      <c r="J16" s="359" t="str">
        <f>IFERROR(VLOOKUP($A16,TableHandbook[],J$2,FALSE),"")</f>
        <v>Y</v>
      </c>
      <c r="K16" s="363" t="str">
        <f>IFERROR(VLOOKUP($A16,TableHandbook[],K$2,FALSE),"")</f>
        <v>Y</v>
      </c>
      <c r="L16" s="317"/>
      <c r="M16" s="364">
        <v>6</v>
      </c>
      <c r="N16" s="365"/>
      <c r="O16" s="365"/>
    </row>
    <row r="17" spans="1:16" s="382" customFormat="1" ht="21" customHeight="1" x14ac:dyDescent="0.15">
      <c r="A17" s="375" t="str">
        <f>IFERROR(IF(HLOOKUP($L$6,RangeUnitsetsOGEDUCAcc,M17,FALSE)=0,"",HLOOKUP($L$6,RangeUnitsetsOGEDUCAcc,M17,FALSE)),"")</f>
        <v>GDTAL</v>
      </c>
      <c r="B17" s="376" t="str">
        <f>IFERROR(IF(VLOOKUP($A17,TableHandbook[],2,FALSE)=0,"",VLOOKUP($A17,TableHandbook[],2,FALSE)),"")</f>
        <v/>
      </c>
      <c r="C17" s="376" t="str">
        <f>IFERROR(IF(VLOOKUP($A17,TableHandbook[],3,FALSE)=0,"",VLOOKUP($A17,TableHandbook[],3,FALSE)),"")</f>
        <v/>
      </c>
      <c r="D17" s="377" t="str">
        <f>IFERROR(IF(VLOOKUP($A17,TableHandbook[],4,FALSE)=0,"",VLOOKUP($A17,TableHandbook[],4,FALSE)),"")</f>
        <v>Teaching Area LOWER subject (see below)</v>
      </c>
      <c r="E17" s="376" t="str">
        <f>IF(A17="","",E16)</f>
        <v>SP2</v>
      </c>
      <c r="F17" s="378" t="str">
        <f>IFERROR(IF(VLOOKUP($A17,TableHandbook[],6,FALSE)=0,"",VLOOKUP($A17,TableHandbook[],6,FALSE)),"")</f>
        <v>See below</v>
      </c>
      <c r="G17" s="376">
        <f>IFERROR(IF(VLOOKUP($A17,TableHandbook[],5,FALSE)=0,"",VLOOKUP($A17,TableHandbook[],5,FALSE)),"")</f>
        <v>25</v>
      </c>
      <c r="H17" s="379" t="str">
        <f>IFERROR(VLOOKUP($A17,TableHandbook[],H$2,FALSE),"")</f>
        <v/>
      </c>
      <c r="I17" s="376" t="str">
        <f>IFERROR(VLOOKUP($A17,TableHandbook[],I$2,FALSE),"")</f>
        <v/>
      </c>
      <c r="J17" s="376" t="str">
        <f>IFERROR(VLOOKUP($A17,TableHandbook[],J$2,FALSE),"")</f>
        <v/>
      </c>
      <c r="K17" s="380" t="str">
        <f>IFERROR(VLOOKUP($A17,TableHandbook[],K$2,FALSE),"")</f>
        <v/>
      </c>
      <c r="L17" s="302"/>
      <c r="M17" s="364">
        <v>7</v>
      </c>
      <c r="N17" s="381"/>
      <c r="O17" s="381"/>
    </row>
    <row r="18" spans="1:16" s="366" customFormat="1" ht="6" customHeight="1" x14ac:dyDescent="0.15">
      <c r="A18" s="367"/>
      <c r="B18" s="368"/>
      <c r="C18" s="368"/>
      <c r="D18" s="369"/>
      <c r="E18" s="368"/>
      <c r="F18" s="370"/>
      <c r="G18" s="368"/>
      <c r="H18" s="371"/>
      <c r="I18" s="372"/>
      <c r="J18" s="372"/>
      <c r="K18" s="373"/>
      <c r="L18" s="291"/>
      <c r="M18" s="364"/>
      <c r="N18" s="365"/>
      <c r="O18" s="365"/>
      <c r="P18" s="365"/>
    </row>
    <row r="19" spans="1:16" s="382" customFormat="1" ht="21" customHeight="1" x14ac:dyDescent="0.15">
      <c r="A19" s="358" t="str">
        <f>IFERROR(IF(HLOOKUP($L$6,RangeUnitsetsOGEDUCAcc,M19,FALSE)=0,"",HLOOKUP($L$6,RangeUnitsetsOGEDUCAcc,M19,FALSE)),"")</f>
        <v>EDUC6063</v>
      </c>
      <c r="B19" s="359">
        <f>IFERROR(IF(VLOOKUP($A19,TableHandbook[],2,FALSE)=0,"",VLOOKUP($A19,TableHandbook[],2,FALSE)),"")</f>
        <v>1</v>
      </c>
      <c r="C19" s="359" t="str">
        <f>IFERROR(IF(VLOOKUP($A19,TableHandbook[],3,FALSE)=0,"",VLOOKUP($A19,TableHandbook[],3,FALSE)),"")</f>
        <v>MTC600</v>
      </c>
      <c r="D19" s="360" t="str">
        <f>IFERROR(IF(VLOOKUP($A19,TableHandbook[],4,FALSE)=0,"",VLOOKUP($A19,TableHandbook[],4,FALSE)),"")</f>
        <v>Professional Experience 3: Using Data to Inform Teaching and Learning</v>
      </c>
      <c r="E19" s="359" t="str">
        <f>IF(OR(A19="",A19="--"),"",VLOOKUP($D$8,TableStudyPeriods[],4,FALSE))</f>
        <v>SP3</v>
      </c>
      <c r="F19" s="361" t="str">
        <f>IFERROR(IF(VLOOKUP($A19,TableHandbook[],6,FALSE)=0,"",VLOOKUP($A19,TableHandbook[],6,FALSE)),"")</f>
        <v>MTEC502 or MTP506 or MTS504</v>
      </c>
      <c r="G19" s="359">
        <f>IFERROR(IF(VLOOKUP($A19,TableHandbook[],5,FALSE)=0,"",VLOOKUP($A19,TableHandbook[],5,FALSE)),"")</f>
        <v>25</v>
      </c>
      <c r="H19" s="362" t="str">
        <f>IFERROR(VLOOKUP($A19,TableHandbook[],H$2,FALSE),"")</f>
        <v>Y</v>
      </c>
      <c r="I19" s="359" t="str">
        <f>IFERROR(VLOOKUP($A19,TableHandbook[],I$2,FALSE),"")</f>
        <v/>
      </c>
      <c r="J19" s="359" t="str">
        <f>IFERROR(VLOOKUP($A19,TableHandbook[],J$2,FALSE),"")</f>
        <v>Y</v>
      </c>
      <c r="K19" s="363" t="str">
        <f>IFERROR(VLOOKUP($A19,TableHandbook[],K$2,FALSE),"")</f>
        <v/>
      </c>
      <c r="L19" s="317"/>
      <c r="M19" s="364">
        <v>8</v>
      </c>
      <c r="N19" s="381"/>
      <c r="O19" s="381"/>
    </row>
    <row r="20" spans="1:16" s="382" customFormat="1" ht="21" customHeight="1" x14ac:dyDescent="0.15">
      <c r="A20" s="375" t="str">
        <f>IFERROR(IF(HLOOKUP($L$6,RangeUnitsetsOGEDUCAcc,M20,FALSE)=0,"",HLOOKUP($L$6,RangeUnitsetsOGEDUCAcc,M20,FALSE)),"")</f>
        <v>GDTAS</v>
      </c>
      <c r="B20" s="376" t="str">
        <f>IFERROR(IF(VLOOKUP($A20,TableHandbook[],2,FALSE)=0,"",VLOOKUP($A20,TableHandbook[],2,FALSE)),"")</f>
        <v/>
      </c>
      <c r="C20" s="376" t="str">
        <f>IFERROR(IF(VLOOKUP($A20,TableHandbook[],3,FALSE)=0,"",VLOOKUP($A20,TableHandbook[],3,FALSE)),"")</f>
        <v/>
      </c>
      <c r="D20" s="383" t="str">
        <f>IFERROR(IF(VLOOKUP($A20,TableHandbook[],4,FALSE)=0,"",VLOOKUP($A20,TableHandbook[],4,FALSE)),"")</f>
        <v>Teaching Area SENIOR subject (see below)</v>
      </c>
      <c r="E20" s="376" t="str">
        <f>IF(A20="","",E19)</f>
        <v>SP3</v>
      </c>
      <c r="F20" s="378" t="str">
        <f>IFERROR(IF(VLOOKUP($A20,TableHandbook[],6,FALSE)=0,"",VLOOKUP($A20,TableHandbook[],6,FALSE)),"")</f>
        <v>See below</v>
      </c>
      <c r="G20" s="376">
        <f>IFERROR(IF(VLOOKUP($A20,TableHandbook[],5,FALSE)=0,"",VLOOKUP($A20,TableHandbook[],5,FALSE)),"")</f>
        <v>25</v>
      </c>
      <c r="H20" s="379" t="str">
        <f>IFERROR(VLOOKUP($A20,TableHandbook[],H$2,FALSE),"")</f>
        <v/>
      </c>
      <c r="I20" s="376" t="str">
        <f>IFERROR(VLOOKUP($A20,TableHandbook[],I$2,FALSE),"")</f>
        <v/>
      </c>
      <c r="J20" s="376" t="str">
        <f>IFERROR(VLOOKUP($A20,TableHandbook[],J$2,FALSE),"")</f>
        <v/>
      </c>
      <c r="K20" s="380" t="str">
        <f>IFERROR(VLOOKUP($A20,TableHandbook[],K$2,FALSE),"")</f>
        <v/>
      </c>
      <c r="L20" s="302"/>
      <c r="M20" s="374">
        <v>9</v>
      </c>
      <c r="N20" s="381"/>
      <c r="O20" s="381"/>
    </row>
    <row r="21" spans="1:16" ht="16.5" customHeight="1" x14ac:dyDescent="0.25">
      <c r="A21" s="384"/>
      <c r="B21" s="384"/>
      <c r="C21" s="384"/>
      <c r="D21" s="385"/>
      <c r="E21" s="385"/>
      <c r="F21" s="386"/>
      <c r="G21" s="386"/>
      <c r="H21" s="386"/>
      <c r="I21" s="386"/>
      <c r="J21" s="386"/>
      <c r="K21" s="386"/>
      <c r="L21" s="386"/>
    </row>
    <row r="22" spans="1:16" s="396" customFormat="1" ht="25.5" x14ac:dyDescent="0.25">
      <c r="A22" s="387" t="s">
        <v>246</v>
      </c>
      <c r="B22" s="388"/>
      <c r="C22" s="388"/>
      <c r="D22" s="389"/>
      <c r="E22" s="390"/>
      <c r="F22" s="390"/>
      <c r="G22" s="390"/>
      <c r="H22" s="391" t="s">
        <v>19</v>
      </c>
      <c r="I22" s="392"/>
      <c r="J22" s="393"/>
      <c r="K22" s="394"/>
      <c r="L22" s="395"/>
    </row>
    <row r="23" spans="1:16" ht="21" customHeight="1" x14ac:dyDescent="0.25">
      <c r="A23" s="346"/>
      <c r="B23" s="346"/>
      <c r="C23" s="354" t="s">
        <v>21</v>
      </c>
      <c r="D23" s="347" t="s">
        <v>3</v>
      </c>
      <c r="E23" s="354"/>
      <c r="F23" s="346" t="s">
        <v>23</v>
      </c>
      <c r="G23" s="346" t="s">
        <v>24</v>
      </c>
      <c r="H23" s="355" t="s">
        <v>25</v>
      </c>
      <c r="I23" s="356" t="s">
        <v>26</v>
      </c>
      <c r="J23" s="356" t="s">
        <v>27</v>
      </c>
      <c r="K23" s="357" t="s">
        <v>28</v>
      </c>
      <c r="L23" s="346" t="s">
        <v>29</v>
      </c>
      <c r="M23" s="397"/>
    </row>
    <row r="24" spans="1:16" ht="21" customHeight="1" x14ac:dyDescent="0.25">
      <c r="A24" s="398"/>
      <c r="B24" s="399"/>
      <c r="C24" s="400"/>
      <c r="D24" s="401" t="s">
        <v>249</v>
      </c>
      <c r="E24" s="402"/>
      <c r="F24" s="403"/>
      <c r="G24" s="403"/>
      <c r="H24" s="379"/>
      <c r="I24" s="376"/>
      <c r="J24" s="376"/>
      <c r="K24" s="380"/>
      <c r="L24" s="302"/>
      <c r="M24" s="404">
        <v>2</v>
      </c>
    </row>
    <row r="25" spans="1:16" ht="21" customHeight="1" x14ac:dyDescent="0.25">
      <c r="A25" s="405" t="str">
        <f>IFERROR(IF(HLOOKUP($L$7,RangeTeachingAreas,M25,FALSE)=0,"",HLOOKUP($L$7,RangeTeachingAreas,M25,FALSE)),"")</f>
        <v/>
      </c>
      <c r="B25" s="406" t="str">
        <f>IFERROR(IF(VLOOKUP($A25,TableHandbook[],2,FALSE)=0,"",VLOOKUP($A25,TableHandbook[],2,FALSE)),"")</f>
        <v/>
      </c>
      <c r="C25" s="407" t="str">
        <f>IFERROR(IF(VLOOKUP($A25,TableHandbook[],3,FALSE)=0,"",VLOOKUP($A25,TableHandbook[],3,FALSE)),"")</f>
        <v/>
      </c>
      <c r="D25" s="408" t="str">
        <f>IFERROR(IF(VLOOKUP($A25,TableHandbook[],4,FALSE)=0,"",VLOOKUP($A25,TableHandbook[],4,FALSE)),"")</f>
        <v/>
      </c>
      <c r="E25" s="409"/>
      <c r="F25" s="410" t="str">
        <f>IFERROR(IF(VLOOKUP($A25,TableHandbook[],6,FALSE)=0,"",VLOOKUP($A25,TableHandbook[],6,FALSE)),"")</f>
        <v/>
      </c>
      <c r="G25" s="410" t="str">
        <f>IFERROR(IF(VLOOKUP($A25,TableHandbook[],5,FALSE)=0,"",VLOOKUP($A25,TableHandbook[],5,FALSE)),"")</f>
        <v/>
      </c>
      <c r="H25" s="411" t="str">
        <f>IFERROR(VLOOKUP($A25,TableHandbook[],H$2,FALSE),"")</f>
        <v/>
      </c>
      <c r="I25" s="412" t="str">
        <f>IFERROR(VLOOKUP($A25,TableHandbook[],I$2,FALSE),"")</f>
        <v/>
      </c>
      <c r="J25" s="412" t="str">
        <f>IFERROR(VLOOKUP($A25,TableHandbook[],J$2,FALSE),"")</f>
        <v/>
      </c>
      <c r="K25" s="413" t="str">
        <f>IFERROR(VLOOKUP($A25,TableHandbook[],K$2,FALSE),"")</f>
        <v/>
      </c>
      <c r="L25" s="67"/>
      <c r="M25" s="397">
        <v>3</v>
      </c>
    </row>
    <row r="26" spans="1:16" ht="21" customHeight="1" x14ac:dyDescent="0.25">
      <c r="A26" s="405" t="str">
        <f>IFERROR(IF(HLOOKUP($L$7,RangeTeachingAreas,M26,FALSE)=0,"",HLOOKUP($L$7,RangeTeachingAreas,M26,FALSE)),"")</f>
        <v/>
      </c>
      <c r="B26" s="406" t="str">
        <f>IFERROR(IF(VLOOKUP($A26,TableHandbook[],2,FALSE)=0,"",VLOOKUP($A26,TableHandbook[],2,FALSE)),"")</f>
        <v/>
      </c>
      <c r="C26" s="407" t="str">
        <f>IFERROR(IF(VLOOKUP($A26,TableHandbook[],3,FALSE)=0,"",VLOOKUP($A26,TableHandbook[],3,FALSE)),"")</f>
        <v/>
      </c>
      <c r="D26" s="408" t="str">
        <f>IFERROR(IF(VLOOKUP($A26,TableHandbook[],4,FALSE)=0,"",VLOOKUP($A26,TableHandbook[],4,FALSE)),"")</f>
        <v/>
      </c>
      <c r="E26" s="409"/>
      <c r="F26" s="410" t="str">
        <f>IFERROR(IF(VLOOKUP($A26,TableHandbook[],6,FALSE)=0,"",VLOOKUP($A26,TableHandbook[],6,FALSE)),"")</f>
        <v/>
      </c>
      <c r="G26" s="410" t="str">
        <f>IFERROR(IF(VLOOKUP($A26,TableHandbook[],5,FALSE)=0,"",VLOOKUP($A26,TableHandbook[],5,FALSE)),"")</f>
        <v/>
      </c>
      <c r="H26" s="411" t="str">
        <f>IFERROR(VLOOKUP($A26,TableHandbook[],H$2,FALSE),"")</f>
        <v/>
      </c>
      <c r="I26" s="412" t="str">
        <f>IFERROR(VLOOKUP($A26,TableHandbook[],I$2,FALSE),"")</f>
        <v/>
      </c>
      <c r="J26" s="412" t="str">
        <f>IFERROR(VLOOKUP($A26,TableHandbook[],J$2,FALSE),"")</f>
        <v/>
      </c>
      <c r="K26" s="413" t="str">
        <f>IFERROR(VLOOKUP($A26,TableHandbook[],K$2,FALSE),"")</f>
        <v/>
      </c>
      <c r="L26" s="67"/>
      <c r="M26" s="397">
        <v>4</v>
      </c>
    </row>
    <row r="27" spans="1:16" ht="13.5" customHeight="1" x14ac:dyDescent="0.25">
      <c r="A27" s="414"/>
      <c r="B27" s="415"/>
      <c r="C27" s="416"/>
      <c r="D27" s="416"/>
      <c r="E27" s="417"/>
      <c r="F27" s="418"/>
      <c r="G27" s="418"/>
      <c r="H27" s="419"/>
      <c r="I27" s="419"/>
      <c r="J27" s="419"/>
      <c r="K27" s="419"/>
      <c r="L27" s="420"/>
      <c r="M27" s="397"/>
    </row>
    <row r="28" spans="1:16" ht="18" x14ac:dyDescent="0.25">
      <c r="A28" s="421" t="s">
        <v>32</v>
      </c>
      <c r="B28" s="421"/>
      <c r="C28" s="421"/>
      <c r="D28" s="421"/>
      <c r="E28" s="421"/>
      <c r="F28" s="421"/>
      <c r="G28" s="421"/>
      <c r="H28" s="421"/>
      <c r="I28" s="421"/>
      <c r="J28" s="421"/>
      <c r="K28" s="421"/>
      <c r="L28" s="421"/>
    </row>
    <row r="29" spans="1:16" s="423" customFormat="1" ht="17.25" x14ac:dyDescent="0.2">
      <c r="A29" s="39" t="s">
        <v>33</v>
      </c>
      <c r="B29" s="39"/>
      <c r="C29" s="39"/>
      <c r="D29" s="40"/>
      <c r="E29" s="40"/>
      <c r="F29" s="40"/>
      <c r="G29" s="40"/>
      <c r="H29" s="40"/>
      <c r="I29" s="40"/>
      <c r="J29" s="40"/>
      <c r="K29" s="40"/>
      <c r="L29" s="40"/>
      <c r="M29" s="422"/>
      <c r="N29" s="422"/>
      <c r="O29" s="422"/>
    </row>
    <row r="30" spans="1:16" x14ac:dyDescent="0.25">
      <c r="A30" s="424" t="s">
        <v>34</v>
      </c>
      <c r="B30" s="424"/>
      <c r="C30" s="424"/>
      <c r="D30" s="424"/>
      <c r="E30" s="425"/>
      <c r="F30" s="386"/>
      <c r="G30" s="426"/>
      <c r="H30" s="426"/>
      <c r="I30" s="426"/>
      <c r="J30" s="426"/>
      <c r="K30" s="426"/>
      <c r="L30" s="426" t="s">
        <v>35</v>
      </c>
    </row>
  </sheetData>
  <sheetProtection formatCells="0"/>
  <mergeCells count="1">
    <mergeCell ref="A3:D3"/>
  </mergeCells>
  <conditionalFormatting sqref="A11:M20">
    <cfRule type="expression" dxfId="286" priority="2">
      <formula>LEFT($A11,3)="STA"</formula>
    </cfRule>
    <cfRule type="expression" dxfId="285" priority="3">
      <formula>LEFT($A11,3)="FTA"</formula>
    </cfRule>
  </conditionalFormatting>
  <conditionalFormatting sqref="D6:D8">
    <cfRule type="containsText" dxfId="284" priority="4" operator="containsText" text="Choose">
      <formula>NOT(ISERROR(SEARCH("Choose",D6)))</formula>
    </cfRule>
  </conditionalFormatting>
  <conditionalFormatting sqref="D5">
    <cfRule type="containsText" dxfId="283" priority="1" operator="containsText" text="Choose">
      <formula>NOT(ISERROR(SEARCH("Choose",D5)))</formula>
    </cfRule>
  </conditionalFormatting>
  <dataValidations count="1">
    <dataValidation type="list" allowBlank="1" showInputMessage="1" showErrorMessage="1" sqref="L14 L18"/>
  </dataValidations>
  <hyperlinks>
    <hyperlink ref="A29:L29"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14:formula1>
            <xm:f>'Unitsets OM-Teach Sec'!$A$30:$A$36</xm:f>
          </x14:formula1>
          <xm:sqref>D7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59999389629810485"/>
  </sheetPr>
  <dimension ref="A1:X53"/>
  <sheetViews>
    <sheetView topLeftCell="E10" zoomScale="85" zoomScaleNormal="85" workbookViewId="0">
      <selection activeCell="D7" sqref="D7"/>
    </sheetView>
  </sheetViews>
  <sheetFormatPr defaultRowHeight="15.75" x14ac:dyDescent="0.25"/>
  <cols>
    <col min="1" max="1" width="43.125" customWidth="1"/>
    <col min="2" max="2" width="10" bestFit="1" customWidth="1"/>
    <col min="4" max="4" width="14.375" bestFit="1" customWidth="1"/>
    <col min="5" max="5" width="39.125" customWidth="1"/>
    <col min="7" max="7" width="19.125" bestFit="1" customWidth="1"/>
    <col min="8" max="8" width="2.5" bestFit="1" customWidth="1"/>
    <col min="9" max="9" width="7.75" bestFit="1" customWidth="1"/>
    <col min="10" max="10" width="15.125" bestFit="1" customWidth="1"/>
    <col min="11" max="11" width="10" bestFit="1" customWidth="1"/>
    <col min="12" max="12" width="15.375" bestFit="1" customWidth="1"/>
    <col min="13" max="13" width="9.25" bestFit="1" customWidth="1"/>
    <col min="14" max="14" width="15.375" bestFit="1" customWidth="1"/>
    <col min="15" max="15" width="10.375" bestFit="1" customWidth="1"/>
    <col min="16" max="16" width="15.375" bestFit="1" customWidth="1"/>
  </cols>
  <sheetData>
    <row r="1" spans="1:16" x14ac:dyDescent="0.25">
      <c r="A1" s="77" t="s">
        <v>250</v>
      </c>
    </row>
    <row r="3" spans="1:16" x14ac:dyDescent="0.25">
      <c r="G3" s="241" t="s">
        <v>251</v>
      </c>
      <c r="H3" s="87">
        <v>1</v>
      </c>
      <c r="I3" s="89"/>
      <c r="J3" s="88" t="s">
        <v>252</v>
      </c>
      <c r="K3" s="89"/>
      <c r="L3" s="88" t="s">
        <v>253</v>
      </c>
      <c r="M3" s="89"/>
      <c r="N3" s="88" t="s">
        <v>254</v>
      </c>
      <c r="O3" s="89"/>
      <c r="P3" s="88" t="s">
        <v>255</v>
      </c>
    </row>
    <row r="4" spans="1:16" x14ac:dyDescent="0.25">
      <c r="D4" s="200" t="s">
        <v>256</v>
      </c>
      <c r="E4" s="200"/>
      <c r="G4" s="78"/>
      <c r="H4" s="91">
        <v>2</v>
      </c>
      <c r="I4" s="122" t="s">
        <v>64</v>
      </c>
      <c r="J4" s="128" t="s">
        <v>257</v>
      </c>
      <c r="K4" s="122" t="s">
        <v>66</v>
      </c>
      <c r="L4" s="128" t="s">
        <v>258</v>
      </c>
      <c r="M4" s="122" t="s">
        <v>68</v>
      </c>
      <c r="N4" s="128" t="s">
        <v>65</v>
      </c>
      <c r="O4" s="122" t="s">
        <v>69</v>
      </c>
      <c r="P4" s="128" t="s">
        <v>258</v>
      </c>
    </row>
    <row r="5" spans="1:16" x14ac:dyDescent="0.25">
      <c r="A5" s="80" t="s">
        <v>259</v>
      </c>
      <c r="D5" s="201" t="s">
        <v>260</v>
      </c>
      <c r="E5" s="229" t="s">
        <v>243</v>
      </c>
      <c r="G5" s="78"/>
      <c r="H5" s="91">
        <v>3</v>
      </c>
      <c r="I5" s="123" t="s">
        <v>64</v>
      </c>
      <c r="J5" s="129" t="s">
        <v>65</v>
      </c>
      <c r="K5" s="123" t="s">
        <v>66</v>
      </c>
      <c r="L5" s="129" t="s">
        <v>257</v>
      </c>
      <c r="M5" s="123" t="s">
        <v>68</v>
      </c>
      <c r="N5" s="129" t="s">
        <v>261</v>
      </c>
      <c r="O5" s="123" t="s">
        <v>69</v>
      </c>
      <c r="P5" s="192" t="s">
        <v>262</v>
      </c>
    </row>
    <row r="6" spans="1:16" x14ac:dyDescent="0.25">
      <c r="A6" t="s">
        <v>260</v>
      </c>
      <c r="B6" t="s">
        <v>263</v>
      </c>
      <c r="D6" s="202"/>
      <c r="E6" s="230" t="s">
        <v>264</v>
      </c>
      <c r="G6" s="78"/>
      <c r="H6" s="91">
        <v>4</v>
      </c>
      <c r="I6" s="123" t="s">
        <v>66</v>
      </c>
      <c r="J6" s="129" t="s">
        <v>258</v>
      </c>
      <c r="K6" s="123" t="s">
        <v>68</v>
      </c>
      <c r="L6" s="129" t="s">
        <v>65</v>
      </c>
      <c r="M6" s="123" t="s">
        <v>69</v>
      </c>
      <c r="N6" s="129" t="s">
        <v>258</v>
      </c>
      <c r="O6" s="123" t="s">
        <v>64</v>
      </c>
      <c r="P6" s="129" t="s">
        <v>257</v>
      </c>
    </row>
    <row r="7" spans="1:16" x14ac:dyDescent="0.25">
      <c r="A7" t="s">
        <v>264</v>
      </c>
      <c r="B7" t="s">
        <v>265</v>
      </c>
      <c r="D7" s="202"/>
      <c r="E7" s="230" t="s">
        <v>266</v>
      </c>
      <c r="G7" s="78"/>
      <c r="H7" s="91">
        <v>5</v>
      </c>
      <c r="I7" s="123" t="s">
        <v>66</v>
      </c>
      <c r="J7" s="129" t="s">
        <v>267</v>
      </c>
      <c r="K7" s="123" t="s">
        <v>68</v>
      </c>
      <c r="L7" s="129" t="s">
        <v>261</v>
      </c>
      <c r="M7" s="123" t="s">
        <v>69</v>
      </c>
      <c r="N7" s="192" t="s">
        <v>262</v>
      </c>
      <c r="O7" s="123" t="s">
        <v>64</v>
      </c>
      <c r="P7" s="129" t="s">
        <v>65</v>
      </c>
    </row>
    <row r="8" spans="1:16" x14ac:dyDescent="0.25">
      <c r="A8" t="s">
        <v>266</v>
      </c>
      <c r="B8" t="s">
        <v>268</v>
      </c>
      <c r="D8" s="202"/>
      <c r="E8" s="230" t="s">
        <v>269</v>
      </c>
      <c r="G8" s="78"/>
      <c r="H8" s="91">
        <v>6</v>
      </c>
      <c r="I8" s="123" t="s">
        <v>68</v>
      </c>
      <c r="J8" s="129" t="s">
        <v>261</v>
      </c>
      <c r="K8" s="123" t="s">
        <v>69</v>
      </c>
      <c r="L8" s="192" t="s">
        <v>262</v>
      </c>
      <c r="M8" s="123" t="s">
        <v>64</v>
      </c>
      <c r="N8" s="129" t="s">
        <v>257</v>
      </c>
      <c r="O8" s="123" t="s">
        <v>66</v>
      </c>
      <c r="P8" s="193" t="s">
        <v>270</v>
      </c>
    </row>
    <row r="9" spans="1:16" x14ac:dyDescent="0.25">
      <c r="A9" t="s">
        <v>269</v>
      </c>
      <c r="B9" t="s">
        <v>271</v>
      </c>
      <c r="D9" s="202"/>
      <c r="E9" s="230" t="s">
        <v>272</v>
      </c>
      <c r="G9" s="78"/>
      <c r="H9" s="91">
        <v>7</v>
      </c>
      <c r="I9" s="123" t="s">
        <v>68</v>
      </c>
      <c r="J9" s="129" t="s">
        <v>273</v>
      </c>
      <c r="K9" s="123" t="s">
        <v>69</v>
      </c>
      <c r="L9" s="193" t="s">
        <v>270</v>
      </c>
      <c r="M9" s="123" t="s">
        <v>64</v>
      </c>
      <c r="N9" s="129" t="s">
        <v>267</v>
      </c>
      <c r="O9" s="123" t="s">
        <v>66</v>
      </c>
      <c r="P9" s="129" t="s">
        <v>267</v>
      </c>
    </row>
    <row r="10" spans="1:16" x14ac:dyDescent="0.25">
      <c r="A10" t="s">
        <v>272</v>
      </c>
      <c r="B10" t="s">
        <v>274</v>
      </c>
      <c r="D10" s="202"/>
      <c r="E10" s="230" t="s">
        <v>275</v>
      </c>
      <c r="G10" s="78"/>
      <c r="H10" s="91">
        <v>8</v>
      </c>
      <c r="I10" s="123" t="s">
        <v>69</v>
      </c>
      <c r="J10" s="192" t="s">
        <v>262</v>
      </c>
      <c r="K10" s="123" t="s">
        <v>64</v>
      </c>
      <c r="L10" s="129" t="s">
        <v>94</v>
      </c>
      <c r="M10" s="123" t="s">
        <v>66</v>
      </c>
      <c r="N10" s="193" t="s">
        <v>270</v>
      </c>
      <c r="O10" s="123" t="s">
        <v>68</v>
      </c>
      <c r="P10" s="129" t="s">
        <v>261</v>
      </c>
    </row>
    <row r="11" spans="1:16" x14ac:dyDescent="0.25">
      <c r="A11" t="s">
        <v>275</v>
      </c>
      <c r="B11" t="s">
        <v>276</v>
      </c>
      <c r="D11" s="203"/>
      <c r="E11" s="231" t="s">
        <v>277</v>
      </c>
      <c r="G11" s="78"/>
      <c r="H11" s="91">
        <v>9</v>
      </c>
      <c r="I11" s="123" t="s">
        <v>69</v>
      </c>
      <c r="J11" s="193" t="s">
        <v>270</v>
      </c>
      <c r="K11" s="125" t="s">
        <v>64</v>
      </c>
      <c r="L11" s="129" t="s">
        <v>267</v>
      </c>
      <c r="M11" s="123" t="s">
        <v>66</v>
      </c>
      <c r="N11" s="129" t="s">
        <v>273</v>
      </c>
      <c r="O11" s="125" t="s">
        <v>68</v>
      </c>
      <c r="P11" s="129" t="s">
        <v>273</v>
      </c>
    </row>
    <row r="12" spans="1:16" x14ac:dyDescent="0.25">
      <c r="A12" t="s">
        <v>277</v>
      </c>
      <c r="B12" t="s">
        <v>278</v>
      </c>
      <c r="D12" s="201" t="s">
        <v>265</v>
      </c>
      <c r="E12" s="229" t="s">
        <v>245</v>
      </c>
      <c r="G12" s="78"/>
      <c r="H12" s="91">
        <v>10</v>
      </c>
      <c r="I12" s="122" t="s">
        <v>106</v>
      </c>
      <c r="J12" s="128" t="s">
        <v>279</v>
      </c>
      <c r="K12" s="122" t="s">
        <v>107</v>
      </c>
      <c r="L12" s="194" t="s">
        <v>280</v>
      </c>
      <c r="M12" s="122" t="s">
        <v>108</v>
      </c>
      <c r="N12" s="128" t="s">
        <v>94</v>
      </c>
      <c r="O12" s="122" t="s">
        <v>109</v>
      </c>
      <c r="P12" s="194" t="s">
        <v>280</v>
      </c>
    </row>
    <row r="13" spans="1:16" x14ac:dyDescent="0.25">
      <c r="D13" s="202"/>
      <c r="E13" s="230" t="s">
        <v>281</v>
      </c>
      <c r="G13" s="78"/>
      <c r="H13" s="91">
        <v>11</v>
      </c>
      <c r="I13" s="123" t="s">
        <v>106</v>
      </c>
      <c r="J13" s="129" t="s">
        <v>119</v>
      </c>
      <c r="K13" s="123" t="s">
        <v>107</v>
      </c>
      <c r="L13" s="129" t="s">
        <v>273</v>
      </c>
      <c r="M13" s="123" t="s">
        <v>108</v>
      </c>
      <c r="N13" s="129" t="s">
        <v>93</v>
      </c>
      <c r="O13" s="123" t="s">
        <v>109</v>
      </c>
      <c r="P13" s="129" t="s">
        <v>121</v>
      </c>
    </row>
    <row r="14" spans="1:16" x14ac:dyDescent="0.25">
      <c r="A14" s="80" t="s">
        <v>282</v>
      </c>
      <c r="D14" s="202"/>
      <c r="E14" s="230" t="s">
        <v>266</v>
      </c>
      <c r="G14" s="78"/>
      <c r="H14" s="91">
        <v>12</v>
      </c>
      <c r="I14" s="123" t="s">
        <v>107</v>
      </c>
      <c r="J14" s="192" t="s">
        <v>280</v>
      </c>
      <c r="K14" s="123" t="s">
        <v>108</v>
      </c>
      <c r="L14" s="129" t="s">
        <v>93</v>
      </c>
      <c r="M14" s="123" t="s">
        <v>109</v>
      </c>
      <c r="N14" s="192" t="s">
        <v>280</v>
      </c>
      <c r="O14" s="123" t="s">
        <v>106</v>
      </c>
      <c r="P14" s="129" t="s">
        <v>279</v>
      </c>
    </row>
    <row r="15" spans="1:16" x14ac:dyDescent="0.25">
      <c r="A15" t="s">
        <v>283</v>
      </c>
      <c r="B15" t="s">
        <v>263</v>
      </c>
      <c r="D15" s="202"/>
      <c r="E15" s="230" t="s">
        <v>269</v>
      </c>
      <c r="G15" s="78"/>
      <c r="H15" s="91">
        <v>13</v>
      </c>
      <c r="I15" s="123" t="s">
        <v>107</v>
      </c>
      <c r="J15" s="193" t="s">
        <v>284</v>
      </c>
      <c r="K15" s="123" t="s">
        <v>108</v>
      </c>
      <c r="L15" s="129" t="s">
        <v>119</v>
      </c>
      <c r="M15" s="123" t="s">
        <v>109</v>
      </c>
      <c r="N15" s="129" t="s">
        <v>121</v>
      </c>
      <c r="O15" s="123" t="s">
        <v>106</v>
      </c>
      <c r="P15" s="129" t="s">
        <v>119</v>
      </c>
    </row>
    <row r="16" spans="1:16" x14ac:dyDescent="0.25">
      <c r="A16" t="s">
        <v>264</v>
      </c>
      <c r="B16" t="s">
        <v>265</v>
      </c>
      <c r="D16" s="202"/>
      <c r="E16" s="230" t="s">
        <v>272</v>
      </c>
      <c r="G16" s="78"/>
      <c r="H16" s="91">
        <v>14</v>
      </c>
      <c r="I16" s="123" t="s">
        <v>108</v>
      </c>
      <c r="J16" s="129" t="s">
        <v>94</v>
      </c>
      <c r="K16" s="123" t="s">
        <v>109</v>
      </c>
      <c r="L16" s="193" t="s">
        <v>284</v>
      </c>
      <c r="M16" s="123" t="s">
        <v>106</v>
      </c>
      <c r="N16" s="129" t="s">
        <v>279</v>
      </c>
      <c r="O16" s="123" t="s">
        <v>107</v>
      </c>
      <c r="P16" s="193" t="s">
        <v>284</v>
      </c>
    </row>
    <row r="17" spans="1:24" x14ac:dyDescent="0.25">
      <c r="A17" t="s">
        <v>281</v>
      </c>
      <c r="B17" t="s">
        <v>285</v>
      </c>
      <c r="D17" s="202"/>
      <c r="E17" s="230" t="s">
        <v>275</v>
      </c>
      <c r="G17" s="78"/>
      <c r="H17" s="91">
        <v>15</v>
      </c>
      <c r="I17" s="123" t="s">
        <v>108</v>
      </c>
      <c r="J17" s="129" t="s">
        <v>93</v>
      </c>
      <c r="K17" s="123" t="s">
        <v>109</v>
      </c>
      <c r="L17" s="129" t="s">
        <v>121</v>
      </c>
      <c r="M17" s="123" t="s">
        <v>106</v>
      </c>
      <c r="N17" s="129" t="s">
        <v>119</v>
      </c>
      <c r="O17" s="123" t="s">
        <v>107</v>
      </c>
      <c r="P17" s="129" t="s">
        <v>93</v>
      </c>
    </row>
    <row r="18" spans="1:24" x14ac:dyDescent="0.25">
      <c r="A18" t="s">
        <v>266</v>
      </c>
      <c r="B18" t="s">
        <v>268</v>
      </c>
      <c r="D18" s="203"/>
      <c r="E18" s="231" t="s">
        <v>277</v>
      </c>
      <c r="G18" s="78"/>
      <c r="H18" s="91">
        <v>16</v>
      </c>
      <c r="I18" s="123" t="s">
        <v>109</v>
      </c>
      <c r="J18" s="129" t="s">
        <v>121</v>
      </c>
      <c r="K18" s="123" t="s">
        <v>106</v>
      </c>
      <c r="L18" s="129" t="s">
        <v>279</v>
      </c>
      <c r="M18" s="123" t="s">
        <v>107</v>
      </c>
      <c r="N18" s="193" t="s">
        <v>284</v>
      </c>
      <c r="O18" s="123" t="s">
        <v>108</v>
      </c>
      <c r="P18" s="129" t="s">
        <v>94</v>
      </c>
    </row>
    <row r="19" spans="1:24" x14ac:dyDescent="0.25">
      <c r="A19" t="s">
        <v>286</v>
      </c>
      <c r="B19" t="s">
        <v>285</v>
      </c>
      <c r="D19" s="201" t="s">
        <v>268</v>
      </c>
      <c r="E19" s="229" t="s">
        <v>245</v>
      </c>
      <c r="G19" s="78"/>
      <c r="H19" s="91">
        <v>17</v>
      </c>
      <c r="I19" s="125" t="s">
        <v>109</v>
      </c>
      <c r="J19" s="124" t="s">
        <v>129</v>
      </c>
      <c r="K19" s="125" t="s">
        <v>106</v>
      </c>
      <c r="L19" s="124" t="s">
        <v>129</v>
      </c>
      <c r="M19" s="125" t="s">
        <v>107</v>
      </c>
      <c r="N19" s="124" t="s">
        <v>129</v>
      </c>
      <c r="O19" s="125" t="s">
        <v>108</v>
      </c>
      <c r="P19" s="124" t="s">
        <v>129</v>
      </c>
    </row>
    <row r="20" spans="1:24" x14ac:dyDescent="0.25">
      <c r="A20" t="s">
        <v>269</v>
      </c>
      <c r="B20" t="s">
        <v>271</v>
      </c>
      <c r="D20" s="202"/>
      <c r="E20" s="230" t="s">
        <v>286</v>
      </c>
      <c r="G20" s="78"/>
    </row>
    <row r="21" spans="1:24" x14ac:dyDescent="0.25">
      <c r="A21" t="s">
        <v>287</v>
      </c>
      <c r="B21" t="s">
        <v>285</v>
      </c>
      <c r="D21" s="202"/>
      <c r="E21" s="230" t="s">
        <v>264</v>
      </c>
      <c r="G21" s="78"/>
    </row>
    <row r="22" spans="1:24" x14ac:dyDescent="0.25">
      <c r="A22" t="s">
        <v>272</v>
      </c>
      <c r="B22" t="s">
        <v>274</v>
      </c>
      <c r="D22" s="202"/>
      <c r="E22" s="230" t="s">
        <v>269</v>
      </c>
      <c r="G22" s="241" t="s">
        <v>288</v>
      </c>
      <c r="H22" s="87">
        <v>1</v>
      </c>
      <c r="I22" s="205"/>
      <c r="J22" s="205" t="s">
        <v>265</v>
      </c>
      <c r="K22" s="205" t="s">
        <v>268</v>
      </c>
      <c r="L22" s="205" t="s">
        <v>271</v>
      </c>
      <c r="M22" s="205" t="s">
        <v>274</v>
      </c>
      <c r="N22" s="205" t="s">
        <v>276</v>
      </c>
      <c r="O22" s="205" t="s">
        <v>278</v>
      </c>
      <c r="P22" s="205" t="s">
        <v>285</v>
      </c>
    </row>
    <row r="23" spans="1:24" x14ac:dyDescent="0.25">
      <c r="A23" t="s">
        <v>289</v>
      </c>
      <c r="B23" t="s">
        <v>285</v>
      </c>
      <c r="D23" s="202"/>
      <c r="E23" s="230" t="s">
        <v>272</v>
      </c>
      <c r="H23" s="91">
        <v>2</v>
      </c>
      <c r="I23" s="195"/>
      <c r="J23" s="195" t="s">
        <v>290</v>
      </c>
      <c r="K23" s="195" t="s">
        <v>290</v>
      </c>
      <c r="L23" s="195" t="s">
        <v>290</v>
      </c>
      <c r="M23" s="195" t="s">
        <v>290</v>
      </c>
      <c r="N23" s="195" t="s">
        <v>290</v>
      </c>
      <c r="O23" s="195" t="s">
        <v>290</v>
      </c>
      <c r="P23" s="195" t="s">
        <v>290</v>
      </c>
    </row>
    <row r="24" spans="1:24" x14ac:dyDescent="0.25">
      <c r="A24" t="s">
        <v>275</v>
      </c>
      <c r="B24" t="s">
        <v>276</v>
      </c>
      <c r="D24" s="202"/>
      <c r="E24" s="230" t="s">
        <v>275</v>
      </c>
      <c r="H24" s="91">
        <v>3</v>
      </c>
      <c r="I24" s="196" t="s">
        <v>291</v>
      </c>
      <c r="J24" s="196" t="s">
        <v>292</v>
      </c>
      <c r="K24" s="196" t="s">
        <v>293</v>
      </c>
      <c r="L24" s="196" t="s">
        <v>294</v>
      </c>
      <c r="M24" s="196" t="s">
        <v>295</v>
      </c>
      <c r="N24" s="196" t="s">
        <v>296</v>
      </c>
      <c r="O24" s="196" t="s">
        <v>297</v>
      </c>
      <c r="P24" s="196" t="s">
        <v>185</v>
      </c>
    </row>
    <row r="25" spans="1:24" x14ac:dyDescent="0.25">
      <c r="A25" t="s">
        <v>298</v>
      </c>
      <c r="B25" t="s">
        <v>285</v>
      </c>
      <c r="D25" s="203"/>
      <c r="E25" s="231" t="s">
        <v>277</v>
      </c>
      <c r="H25" s="91">
        <v>4</v>
      </c>
      <c r="I25" s="197" t="s">
        <v>299</v>
      </c>
      <c r="J25" s="197" t="s">
        <v>300</v>
      </c>
      <c r="K25" s="197" t="s">
        <v>301</v>
      </c>
      <c r="L25" s="197" t="s">
        <v>302</v>
      </c>
      <c r="M25" s="197" t="s">
        <v>303</v>
      </c>
      <c r="N25" s="197" t="s">
        <v>304</v>
      </c>
      <c r="O25" s="197" t="s">
        <v>305</v>
      </c>
      <c r="P25" s="197" t="s">
        <v>185</v>
      </c>
    </row>
    <row r="26" spans="1:24" x14ac:dyDescent="0.25">
      <c r="A26" t="s">
        <v>277</v>
      </c>
      <c r="B26" t="s">
        <v>278</v>
      </c>
      <c r="D26" s="201" t="s">
        <v>271</v>
      </c>
      <c r="E26" s="229" t="s">
        <v>245</v>
      </c>
      <c r="H26" s="91">
        <v>5</v>
      </c>
      <c r="I26" s="196"/>
      <c r="J26" s="196" t="s">
        <v>306</v>
      </c>
      <c r="K26" s="196" t="s">
        <v>306</v>
      </c>
      <c r="L26" s="196" t="s">
        <v>306</v>
      </c>
      <c r="M26" s="196" t="s">
        <v>306</v>
      </c>
      <c r="N26" s="196" t="s">
        <v>306</v>
      </c>
      <c r="O26" s="196" t="s">
        <v>306</v>
      </c>
      <c r="P26" s="196" t="s">
        <v>306</v>
      </c>
    </row>
    <row r="27" spans="1:24" x14ac:dyDescent="0.25">
      <c r="A27" t="s">
        <v>307</v>
      </c>
      <c r="B27" t="s">
        <v>285</v>
      </c>
      <c r="D27" s="202"/>
      <c r="E27" s="230" t="s">
        <v>287</v>
      </c>
      <c r="H27" s="91">
        <v>6</v>
      </c>
      <c r="I27" s="196" t="s">
        <v>308</v>
      </c>
      <c r="J27" s="198" t="str">
        <f t="shared" ref="J27:O28" si="0">J24</f>
        <v>EDSC5041</v>
      </c>
      <c r="K27" s="198" t="str">
        <f t="shared" si="0"/>
        <v>EDSC5042</v>
      </c>
      <c r="L27" s="198" t="str">
        <f t="shared" si="0"/>
        <v>EDSC5056</v>
      </c>
      <c r="M27" s="198" t="str">
        <f t="shared" si="0"/>
        <v>EDSC5043</v>
      </c>
      <c r="N27" s="198" t="str">
        <f t="shared" si="0"/>
        <v>EDSC5044</v>
      </c>
      <c r="O27" s="198" t="str">
        <f t="shared" si="0"/>
        <v>EDSC5045</v>
      </c>
      <c r="P27" s="196" t="s">
        <v>309</v>
      </c>
    </row>
    <row r="28" spans="1:24" x14ac:dyDescent="0.25">
      <c r="D28" s="202"/>
      <c r="E28" s="230" t="s">
        <v>264</v>
      </c>
      <c r="H28" s="91">
        <v>7</v>
      </c>
      <c r="I28" s="197" t="s">
        <v>310</v>
      </c>
      <c r="J28" s="199" t="str">
        <f t="shared" si="0"/>
        <v>EDSC5046</v>
      </c>
      <c r="K28" s="199" t="str">
        <f t="shared" si="0"/>
        <v>EDSC5054</v>
      </c>
      <c r="L28" s="199" t="str">
        <f t="shared" si="0"/>
        <v>EDSC5058</v>
      </c>
      <c r="M28" s="199" t="str">
        <f t="shared" si="0"/>
        <v>EDSC5048</v>
      </c>
      <c r="N28" s="199" t="str">
        <f t="shared" si="0"/>
        <v>EDSC5049</v>
      </c>
      <c r="O28" s="199" t="str">
        <f t="shared" si="0"/>
        <v>EDSC5050</v>
      </c>
      <c r="P28" s="197" t="s">
        <v>311</v>
      </c>
    </row>
    <row r="29" spans="1:24" x14ac:dyDescent="0.25">
      <c r="A29" s="80" t="s">
        <v>312</v>
      </c>
      <c r="D29" s="202"/>
      <c r="E29" s="230" t="s">
        <v>266</v>
      </c>
    </row>
    <row r="30" spans="1:24" x14ac:dyDescent="0.25">
      <c r="A30" t="s">
        <v>248</v>
      </c>
      <c r="B30" t="s">
        <v>263</v>
      </c>
      <c r="D30" s="202"/>
      <c r="E30" s="230" t="s">
        <v>272</v>
      </c>
    </row>
    <row r="31" spans="1:24" x14ac:dyDescent="0.25">
      <c r="A31" t="s">
        <v>264</v>
      </c>
      <c r="B31" t="s">
        <v>265</v>
      </c>
      <c r="D31" s="202"/>
      <c r="E31" s="230" t="s">
        <v>275</v>
      </c>
      <c r="G31" s="241" t="s">
        <v>313</v>
      </c>
      <c r="H31" s="87">
        <v>1</v>
      </c>
      <c r="I31" s="89"/>
      <c r="J31" s="88" t="s">
        <v>314</v>
      </c>
      <c r="K31" s="89"/>
      <c r="L31" s="88" t="s">
        <v>315</v>
      </c>
      <c r="M31" s="89"/>
      <c r="N31" s="88" t="s">
        <v>316</v>
      </c>
      <c r="O31" s="89"/>
      <c r="P31" s="88" t="s">
        <v>317</v>
      </c>
      <c r="Q31" s="89"/>
      <c r="R31" s="88" t="s">
        <v>318</v>
      </c>
      <c r="S31" s="89"/>
      <c r="T31" s="88" t="s">
        <v>319</v>
      </c>
      <c r="U31" s="89"/>
      <c r="V31" s="88" t="s">
        <v>320</v>
      </c>
      <c r="W31" s="89"/>
      <c r="X31" s="88" t="s">
        <v>321</v>
      </c>
    </row>
    <row r="32" spans="1:24" x14ac:dyDescent="0.25">
      <c r="A32" t="s">
        <v>266</v>
      </c>
      <c r="B32" t="s">
        <v>268</v>
      </c>
      <c r="D32" s="203"/>
      <c r="E32" s="231" t="s">
        <v>277</v>
      </c>
      <c r="G32" s="78"/>
      <c r="H32" s="91">
        <v>2</v>
      </c>
      <c r="I32" s="122" t="s">
        <v>64</v>
      </c>
      <c r="J32" s="128" t="s">
        <v>89</v>
      </c>
      <c r="K32" s="122"/>
      <c r="L32" s="252" t="s">
        <v>136</v>
      </c>
      <c r="M32" s="122"/>
      <c r="N32" s="252" t="s">
        <v>136</v>
      </c>
      <c r="O32" s="122"/>
      <c r="P32" s="252" t="s">
        <v>136</v>
      </c>
      <c r="Q32" s="122" t="s">
        <v>64</v>
      </c>
      <c r="R32" s="128" t="s">
        <v>257</v>
      </c>
      <c r="S32" s="122"/>
      <c r="T32" s="252" t="s">
        <v>136</v>
      </c>
      <c r="U32" s="122"/>
      <c r="V32" s="252" t="s">
        <v>136</v>
      </c>
      <c r="W32" s="122"/>
      <c r="X32" s="252" t="s">
        <v>136</v>
      </c>
    </row>
    <row r="33" spans="1:24" x14ac:dyDescent="0.25">
      <c r="A33" t="s">
        <v>269</v>
      </c>
      <c r="B33" t="s">
        <v>271</v>
      </c>
      <c r="D33" s="201" t="s">
        <v>274</v>
      </c>
      <c r="E33" s="229" t="s">
        <v>245</v>
      </c>
      <c r="G33" s="78"/>
      <c r="H33" s="91">
        <v>3</v>
      </c>
      <c r="I33" s="123" t="s">
        <v>64</v>
      </c>
      <c r="J33" s="129" t="s">
        <v>65</v>
      </c>
      <c r="K33" s="123"/>
      <c r="L33" s="144"/>
      <c r="M33" s="123"/>
      <c r="N33" s="129"/>
      <c r="O33" s="123"/>
      <c r="P33" s="129"/>
      <c r="Q33" s="123" t="s">
        <v>64</v>
      </c>
      <c r="R33" s="129" t="s">
        <v>267</v>
      </c>
      <c r="S33" s="123"/>
      <c r="T33" s="129"/>
      <c r="U33" s="123"/>
      <c r="V33" s="129"/>
      <c r="W33" s="123"/>
      <c r="X33" s="129"/>
    </row>
    <row r="34" spans="1:24" x14ac:dyDescent="0.25">
      <c r="A34" t="s">
        <v>272</v>
      </c>
      <c r="B34" t="s">
        <v>274</v>
      </c>
      <c r="D34" s="202"/>
      <c r="E34" s="230" t="s">
        <v>289</v>
      </c>
      <c r="G34" s="78"/>
      <c r="H34" s="91">
        <v>4</v>
      </c>
      <c r="I34" s="123" t="s">
        <v>66</v>
      </c>
      <c r="J34" s="129" t="s">
        <v>76</v>
      </c>
      <c r="K34" s="123"/>
      <c r="L34" s="129"/>
      <c r="M34" s="123"/>
      <c r="N34" s="129"/>
      <c r="O34" s="123"/>
      <c r="P34" s="129"/>
      <c r="Q34" s="123" t="s">
        <v>66</v>
      </c>
      <c r="R34" s="129" t="s">
        <v>273</v>
      </c>
      <c r="S34" s="123"/>
      <c r="T34" s="129"/>
      <c r="U34" s="123"/>
      <c r="V34" s="129"/>
      <c r="W34" s="123"/>
      <c r="X34" s="129"/>
    </row>
    <row r="35" spans="1:24" x14ac:dyDescent="0.25">
      <c r="A35" t="s">
        <v>275</v>
      </c>
      <c r="B35" t="s">
        <v>276</v>
      </c>
      <c r="D35" s="202"/>
      <c r="E35" s="230" t="s">
        <v>264</v>
      </c>
      <c r="G35" s="78"/>
      <c r="H35" s="91">
        <v>5</v>
      </c>
      <c r="I35" s="123" t="s">
        <v>66</v>
      </c>
      <c r="J35" s="129" t="s">
        <v>98</v>
      </c>
      <c r="K35" s="123"/>
      <c r="L35" s="129"/>
      <c r="M35" s="123"/>
      <c r="N35" s="129"/>
      <c r="O35" s="123"/>
      <c r="P35" s="129"/>
      <c r="Q35" s="123" t="s">
        <v>66</v>
      </c>
      <c r="R35" s="129" t="s">
        <v>322</v>
      </c>
      <c r="S35" s="123"/>
      <c r="T35" s="129"/>
      <c r="U35" s="123"/>
      <c r="V35" s="129"/>
      <c r="W35" s="123"/>
      <c r="X35" s="129"/>
    </row>
    <row r="36" spans="1:24" x14ac:dyDescent="0.25">
      <c r="A36" t="s">
        <v>277</v>
      </c>
      <c r="B36" t="s">
        <v>278</v>
      </c>
      <c r="D36" s="202"/>
      <c r="E36" s="230" t="s">
        <v>266</v>
      </c>
      <c r="G36" s="78"/>
      <c r="H36" s="91">
        <v>6</v>
      </c>
      <c r="I36" s="123" t="s">
        <v>68</v>
      </c>
      <c r="J36" s="129" t="s">
        <v>71</v>
      </c>
      <c r="K36" s="123"/>
      <c r="L36" s="129"/>
      <c r="M36" s="123"/>
      <c r="N36" s="129"/>
      <c r="O36" s="123"/>
      <c r="P36" s="129"/>
      <c r="Q36" s="123" t="s">
        <v>68</v>
      </c>
      <c r="R36" s="129" t="s">
        <v>119</v>
      </c>
      <c r="S36" s="123"/>
      <c r="T36" s="129"/>
      <c r="U36" s="123"/>
      <c r="V36" s="129"/>
      <c r="W36" s="123"/>
      <c r="X36" s="129"/>
    </row>
    <row r="37" spans="1:24" x14ac:dyDescent="0.25">
      <c r="D37" s="202"/>
      <c r="E37" s="230" t="s">
        <v>269</v>
      </c>
      <c r="G37" s="78"/>
      <c r="H37" s="91">
        <v>7</v>
      </c>
      <c r="I37" s="123" t="s">
        <v>68</v>
      </c>
      <c r="J37" s="129" t="s">
        <v>119</v>
      </c>
      <c r="K37" s="123"/>
      <c r="L37" s="129"/>
      <c r="M37" s="123"/>
      <c r="N37" s="129"/>
      <c r="O37" s="123"/>
      <c r="P37" s="129"/>
      <c r="Q37" s="123" t="s">
        <v>68</v>
      </c>
      <c r="R37" s="129" t="s">
        <v>94</v>
      </c>
      <c r="S37" s="123"/>
      <c r="T37" s="129"/>
      <c r="U37" s="123"/>
      <c r="V37" s="129"/>
      <c r="W37" s="123"/>
      <c r="X37" s="129"/>
    </row>
    <row r="38" spans="1:24" x14ac:dyDescent="0.25">
      <c r="D38" s="202"/>
      <c r="E38" s="230" t="s">
        <v>275</v>
      </c>
      <c r="G38" s="78"/>
      <c r="H38" s="91">
        <v>8</v>
      </c>
      <c r="I38" s="123" t="s">
        <v>69</v>
      </c>
      <c r="J38" s="129" t="s">
        <v>77</v>
      </c>
      <c r="K38" s="123"/>
      <c r="L38" s="129"/>
      <c r="M38" s="123"/>
      <c r="N38" s="129"/>
      <c r="O38" s="123"/>
      <c r="P38" s="129"/>
      <c r="Q38" s="123" t="s">
        <v>69</v>
      </c>
      <c r="R38" s="129" t="s">
        <v>93</v>
      </c>
      <c r="S38" s="123"/>
      <c r="T38" s="129"/>
      <c r="U38" s="123"/>
      <c r="V38" s="129"/>
      <c r="W38" s="123"/>
      <c r="X38" s="129"/>
    </row>
    <row r="39" spans="1:24" x14ac:dyDescent="0.25">
      <c r="D39" s="203"/>
      <c r="E39" s="231" t="s">
        <v>277</v>
      </c>
      <c r="G39" s="78"/>
      <c r="H39" s="91">
        <v>9</v>
      </c>
      <c r="I39" s="125" t="s">
        <v>69</v>
      </c>
      <c r="J39" s="124" t="s">
        <v>93</v>
      </c>
      <c r="K39" s="125"/>
      <c r="L39" s="124"/>
      <c r="M39" s="125"/>
      <c r="N39" s="124"/>
      <c r="O39" s="125"/>
      <c r="P39" s="124"/>
      <c r="Q39" s="125" t="s">
        <v>69</v>
      </c>
      <c r="R39" s="124" t="s">
        <v>323</v>
      </c>
      <c r="S39" s="125"/>
      <c r="T39" s="124"/>
      <c r="U39" s="125"/>
      <c r="V39" s="124"/>
      <c r="W39" s="125"/>
      <c r="X39" s="124"/>
    </row>
    <row r="40" spans="1:24" x14ac:dyDescent="0.25">
      <c r="D40" s="201" t="s">
        <v>276</v>
      </c>
      <c r="E40" s="229" t="s">
        <v>245</v>
      </c>
    </row>
    <row r="41" spans="1:24" x14ac:dyDescent="0.25">
      <c r="D41" s="202"/>
      <c r="E41" s="230" t="s">
        <v>298</v>
      </c>
    </row>
    <row r="42" spans="1:24" x14ac:dyDescent="0.25">
      <c r="D42" s="202"/>
      <c r="E42" s="230" t="s">
        <v>264</v>
      </c>
      <c r="G42" s="241" t="s">
        <v>605</v>
      </c>
      <c r="H42" s="87">
        <v>1</v>
      </c>
      <c r="I42" s="89"/>
      <c r="J42" s="88" t="s">
        <v>314</v>
      </c>
      <c r="K42" s="89"/>
      <c r="L42" s="88" t="s">
        <v>315</v>
      </c>
      <c r="M42" s="89"/>
      <c r="N42" s="88" t="s">
        <v>316</v>
      </c>
      <c r="O42" s="89"/>
      <c r="P42" s="88" t="s">
        <v>317</v>
      </c>
      <c r="Q42" s="89"/>
      <c r="R42" s="88" t="s">
        <v>318</v>
      </c>
      <c r="S42" s="89"/>
      <c r="T42" s="88" t="s">
        <v>319</v>
      </c>
      <c r="U42" s="89"/>
      <c r="V42" s="88" t="s">
        <v>320</v>
      </c>
      <c r="W42" s="89"/>
      <c r="X42" s="88" t="s">
        <v>321</v>
      </c>
    </row>
    <row r="43" spans="1:24" x14ac:dyDescent="0.25">
      <c r="D43" s="202"/>
      <c r="E43" s="230" t="s">
        <v>266</v>
      </c>
      <c r="G43" s="78"/>
      <c r="H43" s="91">
        <v>2</v>
      </c>
      <c r="I43" s="122" t="s">
        <v>64</v>
      </c>
      <c r="J43" s="128" t="s">
        <v>89</v>
      </c>
      <c r="K43" s="122"/>
      <c r="L43" s="252" t="s">
        <v>136</v>
      </c>
      <c r="M43" s="122"/>
      <c r="N43" s="252" t="s">
        <v>136</v>
      </c>
      <c r="O43" s="122"/>
      <c r="P43" s="252" t="s">
        <v>136</v>
      </c>
      <c r="Q43" s="122" t="s">
        <v>64</v>
      </c>
      <c r="R43" s="128" t="s">
        <v>257</v>
      </c>
      <c r="S43" s="122"/>
      <c r="T43" s="252" t="s">
        <v>136</v>
      </c>
      <c r="U43" s="122"/>
      <c r="V43" s="252" t="s">
        <v>136</v>
      </c>
      <c r="W43" s="122"/>
      <c r="X43" s="252" t="s">
        <v>136</v>
      </c>
    </row>
    <row r="44" spans="1:24" x14ac:dyDescent="0.25">
      <c r="D44" s="202"/>
      <c r="E44" s="230" t="s">
        <v>269</v>
      </c>
      <c r="G44" s="78"/>
      <c r="H44" s="91">
        <v>3</v>
      </c>
      <c r="I44" s="123" t="s">
        <v>64</v>
      </c>
      <c r="J44" s="129" t="s">
        <v>65</v>
      </c>
      <c r="K44" s="123"/>
      <c r="L44" s="144"/>
      <c r="M44" s="123"/>
      <c r="N44" s="129"/>
      <c r="O44" s="123"/>
      <c r="P44" s="129"/>
      <c r="Q44" s="123" t="s">
        <v>64</v>
      </c>
      <c r="R44" s="129" t="s">
        <v>267</v>
      </c>
      <c r="S44" s="123"/>
      <c r="T44" s="129"/>
      <c r="U44" s="123"/>
      <c r="V44" s="129"/>
      <c r="W44" s="123"/>
      <c r="X44" s="129"/>
    </row>
    <row r="45" spans="1:24" x14ac:dyDescent="0.25">
      <c r="D45" s="202"/>
      <c r="E45" s="230" t="s">
        <v>272</v>
      </c>
      <c r="G45" s="78"/>
      <c r="H45" s="91">
        <v>4</v>
      </c>
      <c r="I45" s="123" t="s">
        <v>64</v>
      </c>
      <c r="J45" s="129" t="s">
        <v>71</v>
      </c>
      <c r="K45" s="123"/>
      <c r="L45" s="129"/>
      <c r="M45" s="123"/>
      <c r="N45" s="129"/>
      <c r="O45" s="123"/>
      <c r="P45" s="129"/>
      <c r="Q45" s="123" t="s">
        <v>64</v>
      </c>
      <c r="R45" s="129" t="s">
        <v>94</v>
      </c>
      <c r="S45" s="123"/>
      <c r="T45" s="129"/>
      <c r="U45" s="123"/>
      <c r="V45" s="129"/>
      <c r="W45" s="123"/>
      <c r="X45" s="129"/>
    </row>
    <row r="46" spans="1:24" x14ac:dyDescent="0.25">
      <c r="D46" s="203"/>
      <c r="E46" s="231" t="s">
        <v>277</v>
      </c>
      <c r="G46" s="78"/>
      <c r="H46" s="91">
        <v>5</v>
      </c>
      <c r="I46" s="123" t="s">
        <v>66</v>
      </c>
      <c r="J46" s="129" t="s">
        <v>76</v>
      </c>
      <c r="K46" s="123"/>
      <c r="L46" s="129"/>
      <c r="M46" s="123"/>
      <c r="N46" s="129"/>
      <c r="O46" s="123"/>
      <c r="P46" s="129"/>
      <c r="Q46" s="123" t="s">
        <v>66</v>
      </c>
      <c r="R46" s="129" t="s">
        <v>273</v>
      </c>
      <c r="S46" s="123"/>
      <c r="T46" s="129"/>
      <c r="U46" s="123"/>
      <c r="V46" s="129"/>
      <c r="W46" s="123"/>
      <c r="X46" s="129"/>
    </row>
    <row r="47" spans="1:24" x14ac:dyDescent="0.25">
      <c r="D47" s="201" t="s">
        <v>278</v>
      </c>
      <c r="E47" s="229" t="s">
        <v>245</v>
      </c>
      <c r="G47" s="78"/>
      <c r="H47" s="91">
        <v>6</v>
      </c>
      <c r="I47" s="123" t="s">
        <v>66</v>
      </c>
      <c r="J47" s="129" t="s">
        <v>98</v>
      </c>
      <c r="K47" s="123"/>
      <c r="L47" s="129"/>
      <c r="M47" s="123"/>
      <c r="N47" s="129"/>
      <c r="O47" s="123"/>
      <c r="P47" s="129"/>
      <c r="Q47" s="123" t="s">
        <v>66</v>
      </c>
      <c r="R47" s="129" t="s">
        <v>93</v>
      </c>
      <c r="S47" s="123"/>
      <c r="T47" s="129"/>
      <c r="U47" s="123"/>
      <c r="V47" s="129"/>
      <c r="W47" s="123"/>
      <c r="X47" s="129"/>
    </row>
    <row r="48" spans="1:24" x14ac:dyDescent="0.25">
      <c r="D48" s="202"/>
      <c r="E48" s="230" t="s">
        <v>307</v>
      </c>
      <c r="G48" s="78"/>
      <c r="H48" s="91">
        <v>7</v>
      </c>
      <c r="I48" s="123" t="s">
        <v>66</v>
      </c>
      <c r="J48" s="129" t="s">
        <v>77</v>
      </c>
      <c r="K48" s="123"/>
      <c r="L48" s="129"/>
      <c r="M48" s="123"/>
      <c r="N48" s="129"/>
      <c r="O48" s="123"/>
      <c r="P48" s="129"/>
      <c r="Q48" s="123" t="s">
        <v>66</v>
      </c>
      <c r="R48" s="129" t="s">
        <v>322</v>
      </c>
      <c r="S48" s="123"/>
      <c r="T48" s="129"/>
      <c r="U48" s="123"/>
      <c r="V48" s="129"/>
      <c r="W48" s="123"/>
      <c r="X48" s="129"/>
    </row>
    <row r="49" spans="4:24" x14ac:dyDescent="0.25">
      <c r="D49" s="202"/>
      <c r="E49" s="230" t="s">
        <v>264</v>
      </c>
      <c r="G49" s="78"/>
      <c r="H49" s="91">
        <v>8</v>
      </c>
      <c r="I49" s="123" t="s">
        <v>68</v>
      </c>
      <c r="J49" s="129" t="s">
        <v>119</v>
      </c>
      <c r="K49" s="123"/>
      <c r="L49" s="129"/>
      <c r="M49" s="123"/>
      <c r="N49" s="129"/>
      <c r="O49" s="123"/>
      <c r="P49" s="129"/>
      <c r="Q49" s="123" t="s">
        <v>68</v>
      </c>
      <c r="R49" s="129" t="s">
        <v>119</v>
      </c>
      <c r="S49" s="123"/>
      <c r="T49" s="129"/>
      <c r="U49" s="123"/>
      <c r="V49" s="129"/>
      <c r="W49" s="123"/>
      <c r="X49" s="129"/>
    </row>
    <row r="50" spans="4:24" x14ac:dyDescent="0.25">
      <c r="D50" s="202"/>
      <c r="E50" s="230" t="s">
        <v>266</v>
      </c>
      <c r="G50" s="78"/>
      <c r="H50" s="91">
        <v>9</v>
      </c>
      <c r="I50" s="125" t="s">
        <v>68</v>
      </c>
      <c r="J50" s="124" t="s">
        <v>93</v>
      </c>
      <c r="K50" s="125"/>
      <c r="L50" s="124"/>
      <c r="M50" s="125"/>
      <c r="N50" s="124"/>
      <c r="O50" s="125"/>
      <c r="P50" s="124"/>
      <c r="Q50" s="125" t="s">
        <v>68</v>
      </c>
      <c r="R50" s="124" t="s">
        <v>323</v>
      </c>
      <c r="S50" s="125"/>
      <c r="T50" s="124"/>
      <c r="U50" s="125"/>
      <c r="V50" s="124"/>
      <c r="W50" s="125"/>
      <c r="X50" s="124"/>
    </row>
    <row r="51" spans="4:24" x14ac:dyDescent="0.25">
      <c r="D51" s="202"/>
      <c r="E51" s="230" t="s">
        <v>269</v>
      </c>
    </row>
    <row r="52" spans="4:24" x14ac:dyDescent="0.25">
      <c r="D52" s="202"/>
      <c r="E52" s="230" t="s">
        <v>272</v>
      </c>
    </row>
    <row r="53" spans="4:24" x14ac:dyDescent="0.25">
      <c r="D53" s="203"/>
      <c r="E53" s="231" t="s">
        <v>275</v>
      </c>
    </row>
  </sheetData>
  <pageMargins left="0.7" right="0.7" top="0.75" bottom="0.75" header="0.3" footer="0.3"/>
  <tableParts count="3">
    <tablePart r:id="rId1"/>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C100"/>
  <sheetViews>
    <sheetView zoomScale="85" zoomScaleNormal="85" workbookViewId="0">
      <pane xSplit="5" ySplit="3" topLeftCell="I4" activePane="bottomRight" state="frozen"/>
      <selection activeCell="D7" sqref="D7"/>
      <selection pane="topRight" activeCell="D7" sqref="D7"/>
      <selection pane="bottomLeft" activeCell="D7" sqref="D7"/>
      <selection pane="bottomRight" activeCell="D7" sqref="D7"/>
    </sheetView>
  </sheetViews>
  <sheetFormatPr defaultRowHeight="15.75" x14ac:dyDescent="0.25"/>
  <cols>
    <col min="1" max="1" width="25.875" bestFit="1" customWidth="1"/>
    <col min="2" max="2" width="8.125" style="1" bestFit="1" customWidth="1"/>
    <col min="3" max="3" width="11.375" bestFit="1" customWidth="1"/>
    <col min="4" max="4" width="73.125" bestFit="1" customWidth="1"/>
    <col min="5" max="5" width="8.625" style="1" bestFit="1" customWidth="1"/>
    <col min="6" max="6" width="28.125" bestFit="1" customWidth="1"/>
    <col min="7" max="10" width="6.375" bestFit="1" customWidth="1"/>
    <col min="11" max="11" width="34.125" style="1" customWidth="1"/>
    <col min="12" max="12" width="6.5" style="1" bestFit="1" customWidth="1"/>
    <col min="13" max="14" width="5.375" style="1" bestFit="1" customWidth="1"/>
    <col min="15" max="15" width="6" bestFit="1" customWidth="1"/>
    <col min="16" max="17" width="6.5" bestFit="1" customWidth="1"/>
    <col min="18" max="22" width="5.375" bestFit="1" customWidth="1"/>
    <col min="23" max="25" width="5.375" customWidth="1"/>
    <col min="26" max="26" width="6" bestFit="1" customWidth="1"/>
    <col min="27" max="29" width="5.375" bestFit="1" customWidth="1"/>
  </cols>
  <sheetData>
    <row r="1" spans="1:29" x14ac:dyDescent="0.25">
      <c r="A1" s="56">
        <v>1</v>
      </c>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row>
    <row r="2" spans="1:29" ht="16.5" thickBot="1" x14ac:dyDescent="0.3">
      <c r="A2" s="5"/>
      <c r="B2" s="6"/>
      <c r="C2" s="6"/>
      <c r="D2" s="5"/>
      <c r="E2" s="6"/>
      <c r="F2" s="5"/>
      <c r="G2" s="8"/>
      <c r="H2" s="7"/>
      <c r="I2" s="7"/>
      <c r="J2" s="7"/>
      <c r="K2" s="2"/>
      <c r="L2" s="5"/>
      <c r="M2" s="5"/>
      <c r="N2" s="5"/>
      <c r="O2" s="5"/>
      <c r="P2" s="2"/>
    </row>
    <row r="3" spans="1:29" ht="71.25" x14ac:dyDescent="0.25">
      <c r="A3" s="73" t="s">
        <v>0</v>
      </c>
      <c r="B3" s="73" t="s">
        <v>1</v>
      </c>
      <c r="C3" s="73" t="s">
        <v>2</v>
      </c>
      <c r="D3" s="73" t="s">
        <v>324</v>
      </c>
      <c r="E3" s="73" t="s">
        <v>5</v>
      </c>
      <c r="F3" s="73" t="s">
        <v>4</v>
      </c>
      <c r="G3" s="131" t="s">
        <v>25</v>
      </c>
      <c r="H3" s="132" t="s">
        <v>26</v>
      </c>
      <c r="I3" s="132" t="s">
        <v>27</v>
      </c>
      <c r="J3" s="133" t="s">
        <v>28</v>
      </c>
      <c r="K3" s="173" t="s">
        <v>325</v>
      </c>
      <c r="L3" s="266" t="s">
        <v>126</v>
      </c>
      <c r="M3" s="267" t="s">
        <v>177</v>
      </c>
      <c r="N3" s="267" t="s">
        <v>178</v>
      </c>
      <c r="O3" s="268" t="s">
        <v>183</v>
      </c>
      <c r="P3" s="266" t="s">
        <v>101</v>
      </c>
      <c r="Q3" s="267" t="s">
        <v>104</v>
      </c>
      <c r="R3" s="268" t="s">
        <v>124</v>
      </c>
      <c r="S3" s="266" t="s">
        <v>96</v>
      </c>
      <c r="T3" s="268" t="s">
        <v>99</v>
      </c>
      <c r="U3" s="266" t="s">
        <v>84</v>
      </c>
      <c r="V3" s="267" t="s">
        <v>91</v>
      </c>
      <c r="W3" s="267" t="s">
        <v>114</v>
      </c>
      <c r="X3" s="267" t="s">
        <v>189</v>
      </c>
      <c r="Y3" s="267" t="s">
        <v>192</v>
      </c>
      <c r="Z3" s="267" t="s">
        <v>125</v>
      </c>
      <c r="AA3" s="267" t="s">
        <v>202</v>
      </c>
      <c r="AB3" s="267" t="s">
        <v>205</v>
      </c>
      <c r="AC3" s="268" t="s">
        <v>208</v>
      </c>
    </row>
    <row r="4" spans="1:29" x14ac:dyDescent="0.25">
      <c r="A4" s="3" t="s">
        <v>185</v>
      </c>
      <c r="B4" s="4"/>
      <c r="C4" s="3"/>
      <c r="D4" s="3" t="s">
        <v>326</v>
      </c>
      <c r="E4" s="4"/>
      <c r="F4" s="188"/>
      <c r="G4" s="120" t="str">
        <f>IFERROR(IF(VLOOKUP(TableHandbook[[#This Row],[UDC]],TableAvailabilities[],2,FALSE)&gt;0,"Y",""),"")</f>
        <v/>
      </c>
      <c r="H4" s="121" t="str">
        <f>IFERROR(IF(VLOOKUP(TableHandbook[[#This Row],[UDC]],TableAvailabilities[],3,FALSE)&gt;0,"Y",""),"")</f>
        <v/>
      </c>
      <c r="I4" s="121" t="str">
        <f>IFERROR(IF(VLOOKUP(TableHandbook[[#This Row],[UDC]],TableAvailabilities[],4,FALSE)&gt;0,"Y",""),"")</f>
        <v/>
      </c>
      <c r="J4" s="172" t="str">
        <f>IFERROR(IF(VLOOKUP(TableHandbook[[#This Row],[UDC]],TableAvailabilities[],5,FALSE)&gt;0,"Y",""),"")</f>
        <v/>
      </c>
      <c r="K4" s="249"/>
      <c r="L4" s="269" t="str">
        <f>IFERROR(VLOOKUP(TableHandbook[[#This Row],[UDC]],TableOMTEACH1[],7,FALSE),"")</f>
        <v/>
      </c>
      <c r="M4" s="130" t="str">
        <f>IFERROR(VLOOKUP(TableHandbook[[#This Row],[UDC]],TableOUMPTCHEC[],7,FALSE),"")</f>
        <v/>
      </c>
      <c r="N4" s="130" t="str">
        <f>IFERROR(VLOOKUP(TableHandbook[[#This Row],[UDC]],TableOUMPTCHPE[],7,FALSE),"")</f>
        <v/>
      </c>
      <c r="O4" s="270" t="str">
        <f>IFERROR(VLOOKUP(TableHandbook[[#This Row],[UDC]],TableOUMPTCHSE[],7,FALSE),"")</f>
        <v/>
      </c>
      <c r="P4" s="271" t="str">
        <f>IFERROR(VLOOKUP(TableHandbook[[#This Row],[UDC]],TableOCTESOL1[],7,FALSE),"")</f>
        <v/>
      </c>
      <c r="Q4" s="187" t="str">
        <f>IFERROR(VLOOKUP(TableHandbook[[#This Row],[UDC]],TableOCTESOL[],7,FALSE),"")</f>
        <v/>
      </c>
      <c r="R4" s="272" t="str">
        <f>IFERROR(VLOOKUP(TableHandbook[[#This Row],[UDC]],TableOMAPLING[],7,FALSE),"")</f>
        <v/>
      </c>
      <c r="S4" s="271" t="str">
        <f>IFERROR(VLOOKUP(TableHandbook[[#This Row],[UDC]],TableOCEDHE1[],7,FALSE),"")</f>
        <v/>
      </c>
      <c r="T4" s="272" t="str">
        <f>IFERROR(VLOOKUP(TableHandbook[[#This Row],[UDC]],TableOCEDHE[],7,FALSE),"")</f>
        <v/>
      </c>
      <c r="U4" s="271" t="str">
        <f>IFERROR(VLOOKUP(TableHandbook[[#This Row],[UDC]],TableOCEDUCS1[],7,FALSE),"")</f>
        <v/>
      </c>
      <c r="V4" s="187" t="str">
        <f>IFERROR(VLOOKUP(TableHandbook[[#This Row],[UDC]],TableOCEDUC[],7,FALSE),"")</f>
        <v/>
      </c>
      <c r="W4" s="187" t="str">
        <f>IFERROR(VLOOKUP(TableHandbook[[#This Row],[UDC]],TableOGEDUC[],7,FALSE),"")</f>
        <v/>
      </c>
      <c r="X4" s="187" t="str">
        <f>IFERROR(VLOOKUP(TableHandbook[[#This Row],[UDC]],TableOUMPEDUPR[],7,FALSE),"")</f>
        <v/>
      </c>
      <c r="Y4" s="187" t="str">
        <f>IFERROR(VLOOKUP(TableHandbook[[#This Row],[UDC]],TableOUMPEDUSC[],7,FALSE),"")</f>
        <v/>
      </c>
      <c r="Z4" s="187" t="str">
        <f>IFERROR(VLOOKUP(TableHandbook[[#This Row],[UDC]],TableOMEDUC[],7,FALSE),"")</f>
        <v/>
      </c>
      <c r="AA4" s="187" t="str">
        <f>IFERROR(VLOOKUP(TableHandbook[[#This Row],[UDC]],TableOSEPCULIN[],7,FALSE),"")</f>
        <v/>
      </c>
      <c r="AB4" s="187" t="str">
        <f>IFERROR(VLOOKUP(TableHandbook[[#This Row],[UDC]],TableOSEPLNTCH[],7,FALSE),"")</f>
        <v/>
      </c>
      <c r="AC4" s="272" t="str">
        <f>IFERROR(VLOOKUP(TableHandbook[[#This Row],[UDC]],TableOSEPSTEME[],7,FALSE),"")</f>
        <v/>
      </c>
    </row>
    <row r="5" spans="1:29" x14ac:dyDescent="0.25">
      <c r="A5" s="169" t="s">
        <v>136</v>
      </c>
      <c r="B5" s="4"/>
      <c r="C5" s="3"/>
      <c r="D5" s="3" t="s">
        <v>327</v>
      </c>
      <c r="E5" s="4"/>
      <c r="F5" s="188"/>
      <c r="G5" s="120" t="str">
        <f>IFERROR(IF(VLOOKUP(TableHandbook[[#This Row],[UDC]],TableAvailabilities[],2,FALSE)&gt;0,"Y",""),"")</f>
        <v/>
      </c>
      <c r="H5" s="121" t="str">
        <f>IFERROR(IF(VLOOKUP(TableHandbook[[#This Row],[UDC]],TableAvailabilities[],3,FALSE)&gt;0,"Y",""),"")</f>
        <v/>
      </c>
      <c r="I5" s="121" t="str">
        <f>IFERROR(IF(VLOOKUP(TableHandbook[[#This Row],[UDC]],TableAvailabilities[],4,FALSE)&gt;0,"Y",""),"")</f>
        <v/>
      </c>
      <c r="J5" s="172" t="str">
        <f>IFERROR(IF(VLOOKUP(TableHandbook[[#This Row],[UDC]],TableAvailabilities[],5,FALSE)&gt;0,"Y",""),"")</f>
        <v/>
      </c>
      <c r="K5" s="249"/>
      <c r="L5" s="269" t="str">
        <f>IFERROR(VLOOKUP(TableHandbook[[#This Row],[UDC]],TableOMTEACH1[],7,FALSE),"")</f>
        <v/>
      </c>
      <c r="M5" s="130" t="str">
        <f>IFERROR(VLOOKUP(TableHandbook[[#This Row],[UDC]],TableOUMPTCHEC[],7,FALSE),"")</f>
        <v/>
      </c>
      <c r="N5" s="130" t="str">
        <f>IFERROR(VLOOKUP(TableHandbook[[#This Row],[UDC]],TableOUMPTCHPE[],7,FALSE),"")</f>
        <v/>
      </c>
      <c r="O5" s="270" t="str">
        <f>IFERROR(VLOOKUP(TableHandbook[[#This Row],[UDC]],TableOUMPTCHSE[],7,FALSE),"")</f>
        <v/>
      </c>
      <c r="P5" s="271" t="str">
        <f>IFERROR(VLOOKUP(TableHandbook[[#This Row],[UDC]],TableOCTESOL1[],7,FALSE),"")</f>
        <v/>
      </c>
      <c r="Q5" s="187" t="str">
        <f>IFERROR(VLOOKUP(TableHandbook[[#This Row],[UDC]],TableOCTESOL[],7,FALSE),"")</f>
        <v/>
      </c>
      <c r="R5" s="272" t="str">
        <f>IFERROR(VLOOKUP(TableHandbook[[#This Row],[UDC]],TableOMAPLING[],7,FALSE),"")</f>
        <v/>
      </c>
      <c r="S5" s="271" t="str">
        <f>IFERROR(VLOOKUP(TableHandbook[[#This Row],[UDC]],TableOCEDHE1[],7,FALSE),"")</f>
        <v/>
      </c>
      <c r="T5" s="272" t="str">
        <f>IFERROR(VLOOKUP(TableHandbook[[#This Row],[UDC]],TableOCEDHE[],7,FALSE),"")</f>
        <v/>
      </c>
      <c r="U5" s="271" t="str">
        <f>IFERROR(VLOOKUP(TableHandbook[[#This Row],[UDC]],TableOCEDUCS1[],7,FALSE),"")</f>
        <v/>
      </c>
      <c r="V5" s="187" t="str">
        <f>IFERROR(VLOOKUP(TableHandbook[[#This Row],[UDC]],TableOCEDUC[],7,FALSE),"")</f>
        <v/>
      </c>
      <c r="W5" s="187" t="str">
        <f>IFERROR(VLOOKUP(TableHandbook[[#This Row],[UDC]],TableOGEDUC[],7,FALSE),"")</f>
        <v/>
      </c>
      <c r="X5" s="187" t="str">
        <f>IFERROR(VLOOKUP(TableHandbook[[#This Row],[UDC]],TableOUMPEDUPR[],7,FALSE),"")</f>
        <v/>
      </c>
      <c r="Y5" s="187" t="str">
        <f>IFERROR(VLOOKUP(TableHandbook[[#This Row],[UDC]],TableOUMPEDUSC[],7,FALSE),"")</f>
        <v/>
      </c>
      <c r="Z5" s="187" t="str">
        <f>IFERROR(VLOOKUP(TableHandbook[[#This Row],[UDC]],TableOMEDUC[],7,FALSE),"")</f>
        <v/>
      </c>
      <c r="AA5" s="187" t="str">
        <f>IFERROR(VLOOKUP(TableHandbook[[#This Row],[UDC]],TableOSEPCULIN[],7,FALSE),"")</f>
        <v/>
      </c>
      <c r="AB5" s="187" t="str">
        <f>IFERROR(VLOOKUP(TableHandbook[[#This Row],[UDC]],TableOSEPLNTCH[],7,FALSE),"")</f>
        <v/>
      </c>
      <c r="AC5" s="272" t="str">
        <f>IFERROR(VLOOKUP(TableHandbook[[#This Row],[UDC]],TableOSEPSTEME[],7,FALSE),"")</f>
        <v/>
      </c>
    </row>
    <row r="6" spans="1:29" x14ac:dyDescent="0.25">
      <c r="A6" s="169" t="s">
        <v>130</v>
      </c>
      <c r="B6" s="4"/>
      <c r="C6" s="3"/>
      <c r="D6" s="3" t="s">
        <v>328</v>
      </c>
      <c r="E6" s="4"/>
      <c r="F6" s="188"/>
      <c r="G6" s="120" t="str">
        <f>IFERROR(IF(VLOOKUP(TableHandbook[[#This Row],[UDC]],TableAvailabilities[],2,FALSE)&gt;0,"Y",""),"")</f>
        <v/>
      </c>
      <c r="H6" s="121" t="str">
        <f>IFERROR(IF(VLOOKUP(TableHandbook[[#This Row],[UDC]],TableAvailabilities[],3,FALSE)&gt;0,"Y",""),"")</f>
        <v/>
      </c>
      <c r="I6" s="121" t="str">
        <f>IFERROR(IF(VLOOKUP(TableHandbook[[#This Row],[UDC]],TableAvailabilities[],4,FALSE)&gt;0,"Y",""),"")</f>
        <v/>
      </c>
      <c r="J6" s="172" t="str">
        <f>IFERROR(IF(VLOOKUP(TableHandbook[[#This Row],[UDC]],TableAvailabilities[],5,FALSE)&gt;0,"Y",""),"")</f>
        <v/>
      </c>
      <c r="K6" s="249"/>
      <c r="L6" s="269" t="str">
        <f>IFERROR(VLOOKUP(TableHandbook[[#This Row],[UDC]],TableOMTEACH1[],7,FALSE),"")</f>
        <v/>
      </c>
      <c r="M6" s="130" t="str">
        <f>IFERROR(VLOOKUP(TableHandbook[[#This Row],[UDC]],TableOUMPTCHEC[],7,FALSE),"")</f>
        <v/>
      </c>
      <c r="N6" s="130" t="str">
        <f>IFERROR(VLOOKUP(TableHandbook[[#This Row],[UDC]],TableOUMPTCHPE[],7,FALSE),"")</f>
        <v/>
      </c>
      <c r="O6" s="270" t="str">
        <f>IFERROR(VLOOKUP(TableHandbook[[#This Row],[UDC]],TableOUMPTCHSE[],7,FALSE),"")</f>
        <v/>
      </c>
      <c r="P6" s="271" t="str">
        <f>IFERROR(VLOOKUP(TableHandbook[[#This Row],[UDC]],TableOCTESOL1[],7,FALSE),"")</f>
        <v/>
      </c>
      <c r="Q6" s="187" t="str">
        <f>IFERROR(VLOOKUP(TableHandbook[[#This Row],[UDC]],TableOCTESOL[],7,FALSE),"")</f>
        <v/>
      </c>
      <c r="R6" s="272" t="str">
        <f>IFERROR(VLOOKUP(TableHandbook[[#This Row],[UDC]],TableOMAPLING[],7,FALSE),"")</f>
        <v/>
      </c>
      <c r="S6" s="271" t="str">
        <f>IFERROR(VLOOKUP(TableHandbook[[#This Row],[UDC]],TableOCEDHE1[],7,FALSE),"")</f>
        <v/>
      </c>
      <c r="T6" s="272" t="str">
        <f>IFERROR(VLOOKUP(TableHandbook[[#This Row],[UDC]],TableOCEDHE[],7,FALSE),"")</f>
        <v/>
      </c>
      <c r="U6" s="271" t="str">
        <f>IFERROR(VLOOKUP(TableHandbook[[#This Row],[UDC]],TableOCEDUCS1[],7,FALSE),"")</f>
        <v/>
      </c>
      <c r="V6" s="187" t="str">
        <f>IFERROR(VLOOKUP(TableHandbook[[#This Row],[UDC]],TableOCEDUC[],7,FALSE),"")</f>
        <v/>
      </c>
      <c r="W6" s="187" t="str">
        <f>IFERROR(VLOOKUP(TableHandbook[[#This Row],[UDC]],TableOGEDUC[],7,FALSE),"")</f>
        <v/>
      </c>
      <c r="X6" s="187" t="str">
        <f>IFERROR(VLOOKUP(TableHandbook[[#This Row],[UDC]],TableOUMPEDUPR[],7,FALSE),"")</f>
        <v/>
      </c>
      <c r="Y6" s="187" t="str">
        <f>IFERROR(VLOOKUP(TableHandbook[[#This Row],[UDC]],TableOUMPEDUSC[],7,FALSE),"")</f>
        <v/>
      </c>
      <c r="Z6" s="187" t="str">
        <f>IFERROR(VLOOKUP(TableHandbook[[#This Row],[UDC]],TableOMEDUC[],7,FALSE),"")</f>
        <v/>
      </c>
      <c r="AA6" s="187" t="str">
        <f>IFERROR(VLOOKUP(TableHandbook[[#This Row],[UDC]],TableOSEPCULIN[],7,FALSE),"")</f>
        <v/>
      </c>
      <c r="AB6" s="187" t="str">
        <f>IFERROR(VLOOKUP(TableHandbook[[#This Row],[UDC]],TableOSEPLNTCH[],7,FALSE),"")</f>
        <v/>
      </c>
      <c r="AC6" s="272" t="str">
        <f>IFERROR(VLOOKUP(TableHandbook[[#This Row],[UDC]],TableOSEPSTEME[],7,FALSE),"")</f>
        <v/>
      </c>
    </row>
    <row r="7" spans="1:29" x14ac:dyDescent="0.25">
      <c r="A7" s="3" t="s">
        <v>224</v>
      </c>
      <c r="B7" s="4"/>
      <c r="C7" s="3"/>
      <c r="D7" s="3" t="s">
        <v>329</v>
      </c>
      <c r="E7" s="4">
        <v>25</v>
      </c>
      <c r="F7" s="188" t="s">
        <v>330</v>
      </c>
      <c r="G7" s="120" t="str">
        <f>IFERROR(IF(VLOOKUP(TableHandbook[[#This Row],[UDC]],TableAvailabilities[],2,FALSE)&gt;0,"Y",""),"")</f>
        <v/>
      </c>
      <c r="H7" s="121" t="str">
        <f>IFERROR(IF(VLOOKUP(TableHandbook[[#This Row],[UDC]],TableAvailabilities[],3,FALSE)&gt;0,"Y",""),"")</f>
        <v/>
      </c>
      <c r="I7" s="121" t="str">
        <f>IFERROR(IF(VLOOKUP(TableHandbook[[#This Row],[UDC]],TableAvailabilities[],4,FALSE)&gt;0,"Y",""),"")</f>
        <v/>
      </c>
      <c r="J7" s="172" t="str">
        <f>IFERROR(IF(VLOOKUP(TableHandbook[[#This Row],[UDC]],TableAvailabilities[],5,FALSE)&gt;0,"Y",""),"")</f>
        <v/>
      </c>
      <c r="K7" s="249"/>
      <c r="L7" s="269" t="str">
        <f>IFERROR(VLOOKUP(TableHandbook[[#This Row],[UDC]],TableOMTEACH1[],7,FALSE),"")</f>
        <v/>
      </c>
      <c r="M7" s="130" t="str">
        <f>IFERROR(VLOOKUP(TableHandbook[[#This Row],[UDC]],TableOUMPTCHEC[],7,FALSE),"")</f>
        <v/>
      </c>
      <c r="N7" s="130" t="str">
        <f>IFERROR(VLOOKUP(TableHandbook[[#This Row],[UDC]],TableOUMPTCHPE[],7,FALSE),"")</f>
        <v/>
      </c>
      <c r="O7" s="270" t="str">
        <f>IFERROR(VLOOKUP(TableHandbook[[#This Row],[UDC]],TableOUMPTCHSE[],7,FALSE),"")</f>
        <v/>
      </c>
      <c r="P7" s="271" t="str">
        <f>IFERROR(VLOOKUP(TableHandbook[[#This Row],[UDC]],TableOCTESOL1[],7,FALSE),"")</f>
        <v>AltCore</v>
      </c>
      <c r="Q7" s="187" t="str">
        <f>IFERROR(VLOOKUP(TableHandbook[[#This Row],[UDC]],TableOCTESOL[],7,FALSE),"")</f>
        <v>AltCore</v>
      </c>
      <c r="R7" s="272" t="str">
        <f>IFERROR(VLOOKUP(TableHandbook[[#This Row],[UDC]],TableOMAPLING[],7,FALSE),"")</f>
        <v/>
      </c>
      <c r="S7" s="271" t="str">
        <f>IFERROR(VLOOKUP(TableHandbook[[#This Row],[UDC]],TableOCEDHE1[],7,FALSE),"")</f>
        <v/>
      </c>
      <c r="T7" s="272" t="str">
        <f>IFERROR(VLOOKUP(TableHandbook[[#This Row],[UDC]],TableOCEDHE[],7,FALSE),"")</f>
        <v/>
      </c>
      <c r="U7" s="271" t="str">
        <f>IFERROR(VLOOKUP(TableHandbook[[#This Row],[UDC]],TableOCEDUCS1[],7,FALSE),"")</f>
        <v/>
      </c>
      <c r="V7" s="187" t="str">
        <f>IFERROR(VLOOKUP(TableHandbook[[#This Row],[UDC]],TableOCEDUC[],7,FALSE),"")</f>
        <v/>
      </c>
      <c r="W7" s="187" t="str">
        <f>IFERROR(VLOOKUP(TableHandbook[[#This Row],[UDC]],TableOGEDUC[],7,FALSE),"")</f>
        <v/>
      </c>
      <c r="X7" s="187" t="str">
        <f>IFERROR(VLOOKUP(TableHandbook[[#This Row],[UDC]],TableOUMPEDUPR[],7,FALSE),"")</f>
        <v/>
      </c>
      <c r="Y7" s="187" t="str">
        <f>IFERROR(VLOOKUP(TableHandbook[[#This Row],[UDC]],TableOUMPEDUSC[],7,FALSE),"")</f>
        <v/>
      </c>
      <c r="Z7" s="187" t="str">
        <f>IFERROR(VLOOKUP(TableHandbook[[#This Row],[UDC]],TableOMEDUC[],7,FALSE),"")</f>
        <v/>
      </c>
      <c r="AA7" s="187" t="str">
        <f>IFERROR(VLOOKUP(TableHandbook[[#This Row],[UDC]],TableOSEPCULIN[],7,FALSE),"")</f>
        <v/>
      </c>
      <c r="AB7" s="187" t="str">
        <f>IFERROR(VLOOKUP(TableHandbook[[#This Row],[UDC]],TableOSEPLNTCH[],7,FALSE),"")</f>
        <v/>
      </c>
      <c r="AC7" s="272" t="str">
        <f>IFERROR(VLOOKUP(TableHandbook[[#This Row],[UDC]],TableOSEPSTEME[],7,FALSE),"")</f>
        <v/>
      </c>
    </row>
    <row r="8" spans="1:29" x14ac:dyDescent="0.25">
      <c r="A8" s="3" t="s">
        <v>117</v>
      </c>
      <c r="B8" s="4">
        <v>1</v>
      </c>
      <c r="C8" s="3" t="s">
        <v>331</v>
      </c>
      <c r="D8" s="3" t="s">
        <v>332</v>
      </c>
      <c r="E8" s="4">
        <v>25</v>
      </c>
      <c r="F8" s="188" t="s">
        <v>333</v>
      </c>
      <c r="G8" s="120" t="str">
        <f>IFERROR(IF(VLOOKUP(TableHandbook[[#This Row],[UDC]],TableAvailabilities[],2,FALSE)&gt;0,"Y",""),"")</f>
        <v/>
      </c>
      <c r="H8" s="121" t="str">
        <f>IFERROR(IF(VLOOKUP(TableHandbook[[#This Row],[UDC]],TableAvailabilities[],3,FALSE)&gt;0,"Y",""),"")</f>
        <v>Y</v>
      </c>
      <c r="I8" s="121" t="str">
        <f>IFERROR(IF(VLOOKUP(TableHandbook[[#This Row],[UDC]],TableAvailabilities[],4,FALSE)&gt;0,"Y",""),"")</f>
        <v/>
      </c>
      <c r="J8" s="172" t="str">
        <f>IFERROR(IF(VLOOKUP(TableHandbook[[#This Row],[UDC]],TableAvailabilities[],5,FALSE)&gt;0,"Y",""),"")</f>
        <v/>
      </c>
      <c r="K8" s="249"/>
      <c r="L8" s="269" t="str">
        <f>IFERROR(VLOOKUP(TableHandbook[[#This Row],[UDC]],TableOMTEACH1[],7,FALSE),"")</f>
        <v/>
      </c>
      <c r="M8" s="130" t="str">
        <f>IFERROR(VLOOKUP(TableHandbook[[#This Row],[UDC]],TableOUMPTCHEC[],7,FALSE),"")</f>
        <v>Core</v>
      </c>
      <c r="N8" s="130" t="str">
        <f>IFERROR(VLOOKUP(TableHandbook[[#This Row],[UDC]],TableOUMPTCHPE[],7,FALSE),"")</f>
        <v/>
      </c>
      <c r="O8" s="270" t="str">
        <f>IFERROR(VLOOKUP(TableHandbook[[#This Row],[UDC]],TableOUMPTCHSE[],7,FALSE),"")</f>
        <v/>
      </c>
      <c r="P8" s="271" t="str">
        <f>IFERROR(VLOOKUP(TableHandbook[[#This Row],[UDC]],TableOCTESOL1[],7,FALSE),"")</f>
        <v/>
      </c>
      <c r="Q8" s="187" t="str">
        <f>IFERROR(VLOOKUP(TableHandbook[[#This Row],[UDC]],TableOCTESOL[],7,FALSE),"")</f>
        <v/>
      </c>
      <c r="R8" s="272" t="str">
        <f>IFERROR(VLOOKUP(TableHandbook[[#This Row],[UDC]],TableOMAPLING[],7,FALSE),"")</f>
        <v/>
      </c>
      <c r="S8" s="271" t="str">
        <f>IFERROR(VLOOKUP(TableHandbook[[#This Row],[UDC]],TableOCEDHE1[],7,FALSE),"")</f>
        <v/>
      </c>
      <c r="T8" s="272" t="str">
        <f>IFERROR(VLOOKUP(TableHandbook[[#This Row],[UDC]],TableOCEDHE[],7,FALSE),"")</f>
        <v/>
      </c>
      <c r="U8" s="271" t="str">
        <f>IFERROR(VLOOKUP(TableHandbook[[#This Row],[UDC]],TableOCEDUCS1[],7,FALSE),"")</f>
        <v/>
      </c>
      <c r="V8" s="187" t="str">
        <f>IFERROR(VLOOKUP(TableHandbook[[#This Row],[UDC]],TableOCEDUC[],7,FALSE),"")</f>
        <v/>
      </c>
      <c r="W8" s="187" t="str">
        <f>IFERROR(VLOOKUP(TableHandbook[[#This Row],[UDC]],TableOGEDUC[],7,FALSE),"")</f>
        <v/>
      </c>
      <c r="X8" s="187" t="str">
        <f>IFERROR(VLOOKUP(TableHandbook[[#This Row],[UDC]],TableOUMPEDUPR[],7,FALSE),"")</f>
        <v/>
      </c>
      <c r="Y8" s="187" t="str">
        <f>IFERROR(VLOOKUP(TableHandbook[[#This Row],[UDC]],TableOUMPEDUSC[],7,FALSE),"")</f>
        <v/>
      </c>
      <c r="Z8" s="187" t="str">
        <f>IFERROR(VLOOKUP(TableHandbook[[#This Row],[UDC]],TableOMEDUC[],7,FALSE),"")</f>
        <v/>
      </c>
      <c r="AA8" s="187" t="str">
        <f>IFERROR(VLOOKUP(TableHandbook[[#This Row],[UDC]],TableOSEPCULIN[],7,FALSE),"")</f>
        <v/>
      </c>
      <c r="AB8" s="187" t="str">
        <f>IFERROR(VLOOKUP(TableHandbook[[#This Row],[UDC]],TableOSEPLNTCH[],7,FALSE),"")</f>
        <v/>
      </c>
      <c r="AC8" s="272" t="str">
        <f>IFERROR(VLOOKUP(TableHandbook[[#This Row],[UDC]],TableOSEPSTEME[],7,FALSE),"")</f>
        <v/>
      </c>
    </row>
    <row r="9" spans="1:29" x14ac:dyDescent="0.25">
      <c r="A9" s="3" t="s">
        <v>88</v>
      </c>
      <c r="B9" s="4">
        <v>1</v>
      </c>
      <c r="C9" s="3" t="s">
        <v>334</v>
      </c>
      <c r="D9" s="3" t="s">
        <v>335</v>
      </c>
      <c r="E9" s="4">
        <v>25</v>
      </c>
      <c r="F9" s="188" t="s">
        <v>336</v>
      </c>
      <c r="G9" s="120" t="str">
        <f>IFERROR(IF(VLOOKUP(TableHandbook[[#This Row],[UDC]],TableAvailabilities[],2,FALSE)&gt;0,"Y",""),"")</f>
        <v/>
      </c>
      <c r="H9" s="121" t="str">
        <f>IFERROR(IF(VLOOKUP(TableHandbook[[#This Row],[UDC]],TableAvailabilities[],3,FALSE)&gt;0,"Y",""),"")</f>
        <v>Y</v>
      </c>
      <c r="I9" s="121" t="str">
        <f>IFERROR(IF(VLOOKUP(TableHandbook[[#This Row],[UDC]],TableAvailabilities[],4,FALSE)&gt;0,"Y",""),"")</f>
        <v/>
      </c>
      <c r="J9" s="172" t="str">
        <f>IFERROR(IF(VLOOKUP(TableHandbook[[#This Row],[UDC]],TableAvailabilities[],5,FALSE)&gt;0,"Y",""),"")</f>
        <v/>
      </c>
      <c r="K9" s="249"/>
      <c r="L9" s="269" t="str">
        <f>IFERROR(VLOOKUP(TableHandbook[[#This Row],[UDC]],TableOMTEACH1[],7,FALSE),"")</f>
        <v/>
      </c>
      <c r="M9" s="130" t="str">
        <f>IFERROR(VLOOKUP(TableHandbook[[#This Row],[UDC]],TableOUMPTCHEC[],7,FALSE),"")</f>
        <v>Core</v>
      </c>
      <c r="N9" s="130" t="str">
        <f>IFERROR(VLOOKUP(TableHandbook[[#This Row],[UDC]],TableOUMPTCHPE[],7,FALSE),"")</f>
        <v/>
      </c>
      <c r="O9" s="270" t="str">
        <f>IFERROR(VLOOKUP(TableHandbook[[#This Row],[UDC]],TableOUMPTCHSE[],7,FALSE),"")</f>
        <v/>
      </c>
      <c r="P9" s="271" t="str">
        <f>IFERROR(VLOOKUP(TableHandbook[[#This Row],[UDC]],TableOCTESOL1[],7,FALSE),"")</f>
        <v/>
      </c>
      <c r="Q9" s="187" t="str">
        <f>IFERROR(VLOOKUP(TableHandbook[[#This Row],[UDC]],TableOCTESOL[],7,FALSE),"")</f>
        <v/>
      </c>
      <c r="R9" s="272" t="str">
        <f>IFERROR(VLOOKUP(TableHandbook[[#This Row],[UDC]],TableOMAPLING[],7,FALSE),"")</f>
        <v/>
      </c>
      <c r="S9" s="271" t="str">
        <f>IFERROR(VLOOKUP(TableHandbook[[#This Row],[UDC]],TableOCEDHE1[],7,FALSE),"")</f>
        <v/>
      </c>
      <c r="T9" s="272" t="str">
        <f>IFERROR(VLOOKUP(TableHandbook[[#This Row],[UDC]],TableOCEDHE[],7,FALSE),"")</f>
        <v/>
      </c>
      <c r="U9" s="271" t="str">
        <f>IFERROR(VLOOKUP(TableHandbook[[#This Row],[UDC]],TableOCEDUCS1[],7,FALSE),"")</f>
        <v/>
      </c>
      <c r="V9" s="187" t="str">
        <f>IFERROR(VLOOKUP(TableHandbook[[#This Row],[UDC]],TableOCEDUC[],7,FALSE),"")</f>
        <v/>
      </c>
      <c r="W9" s="187" t="str">
        <f>IFERROR(VLOOKUP(TableHandbook[[#This Row],[UDC]],TableOGEDUC[],7,FALSE),"")</f>
        <v/>
      </c>
      <c r="X9" s="187" t="str">
        <f>IFERROR(VLOOKUP(TableHandbook[[#This Row],[UDC]],TableOUMPEDUPR[],7,FALSE),"")</f>
        <v/>
      </c>
      <c r="Y9" s="187" t="str">
        <f>IFERROR(VLOOKUP(TableHandbook[[#This Row],[UDC]],TableOUMPEDUSC[],7,FALSE),"")</f>
        <v/>
      </c>
      <c r="Z9" s="187" t="str">
        <f>IFERROR(VLOOKUP(TableHandbook[[#This Row],[UDC]],TableOMEDUC[],7,FALSE),"")</f>
        <v/>
      </c>
      <c r="AA9" s="187" t="str">
        <f>IFERROR(VLOOKUP(TableHandbook[[#This Row],[UDC]],TableOSEPCULIN[],7,FALSE),"")</f>
        <v/>
      </c>
      <c r="AB9" s="187" t="str">
        <f>IFERROR(VLOOKUP(TableHandbook[[#This Row],[UDC]],TableOSEPLNTCH[],7,FALSE),"")</f>
        <v/>
      </c>
      <c r="AC9" s="272" t="str">
        <f>IFERROR(VLOOKUP(TableHandbook[[#This Row],[UDC]],TableOSEPSTEME[],7,FALSE),"")</f>
        <v/>
      </c>
    </row>
    <row r="10" spans="1:29" ht="26.25" x14ac:dyDescent="0.25">
      <c r="A10" s="3" t="s">
        <v>97</v>
      </c>
      <c r="B10" s="4">
        <v>2</v>
      </c>
      <c r="C10" s="3" t="s">
        <v>337</v>
      </c>
      <c r="D10" s="3" t="s">
        <v>338</v>
      </c>
      <c r="E10" s="4">
        <v>25</v>
      </c>
      <c r="F10" s="189" t="s">
        <v>339</v>
      </c>
      <c r="G10" s="120" t="str">
        <f>IFERROR(IF(VLOOKUP(TableHandbook[[#This Row],[UDC]],TableAvailabilities[],2,FALSE)&gt;0,"Y",""),"")</f>
        <v/>
      </c>
      <c r="H10" s="121" t="str">
        <f>IFERROR(IF(VLOOKUP(TableHandbook[[#This Row],[UDC]],TableAvailabilities[],3,FALSE)&gt;0,"Y",""),"")</f>
        <v/>
      </c>
      <c r="I10" s="121" t="str">
        <f>IFERROR(IF(VLOOKUP(TableHandbook[[#This Row],[UDC]],TableAvailabilities[],4,FALSE)&gt;0,"Y",""),"")</f>
        <v>Y</v>
      </c>
      <c r="J10" s="172" t="str">
        <f>IFERROR(IF(VLOOKUP(TableHandbook[[#This Row],[UDC]],TableAvailabilities[],5,FALSE)&gt;0,"Y",""),"")</f>
        <v/>
      </c>
      <c r="K10" s="293" t="s">
        <v>340</v>
      </c>
      <c r="L10" s="269" t="str">
        <f>IFERROR(VLOOKUP(TableHandbook[[#This Row],[UDC]],TableOMTEACH1[],7,FALSE),"")</f>
        <v/>
      </c>
      <c r="M10" s="130" t="str">
        <f>IFERROR(VLOOKUP(TableHandbook[[#This Row],[UDC]],TableOUMPTCHEC[],7,FALSE),"")</f>
        <v>Core</v>
      </c>
      <c r="N10" s="130" t="str">
        <f>IFERROR(VLOOKUP(TableHandbook[[#This Row],[UDC]],TableOUMPTCHPE[],7,FALSE),"")</f>
        <v/>
      </c>
      <c r="O10" s="270" t="str">
        <f>IFERROR(VLOOKUP(TableHandbook[[#This Row],[UDC]],TableOUMPTCHSE[],7,FALSE),"")</f>
        <v/>
      </c>
      <c r="P10" s="271" t="str">
        <f>IFERROR(VLOOKUP(TableHandbook[[#This Row],[UDC]],TableOCTESOL1[],7,FALSE),"")</f>
        <v/>
      </c>
      <c r="Q10" s="187" t="str">
        <f>IFERROR(VLOOKUP(TableHandbook[[#This Row],[UDC]],TableOCTESOL[],7,FALSE),"")</f>
        <v/>
      </c>
      <c r="R10" s="272" t="str">
        <f>IFERROR(VLOOKUP(TableHandbook[[#This Row],[UDC]],TableOMAPLING[],7,FALSE),"")</f>
        <v/>
      </c>
      <c r="S10" s="271" t="str">
        <f>IFERROR(VLOOKUP(TableHandbook[[#This Row],[UDC]],TableOCEDHE1[],7,FALSE),"")</f>
        <v/>
      </c>
      <c r="T10" s="272" t="str">
        <f>IFERROR(VLOOKUP(TableHandbook[[#This Row],[UDC]],TableOCEDHE[],7,FALSE),"")</f>
        <v/>
      </c>
      <c r="U10" s="271" t="str">
        <f>IFERROR(VLOOKUP(TableHandbook[[#This Row],[UDC]],TableOCEDUCS1[],7,FALSE),"")</f>
        <v/>
      </c>
      <c r="V10" s="187" t="str">
        <f>IFERROR(VLOOKUP(TableHandbook[[#This Row],[UDC]],TableOCEDUC[],7,FALSE),"")</f>
        <v/>
      </c>
      <c r="W10" s="187" t="str">
        <f>IFERROR(VLOOKUP(TableHandbook[[#This Row],[UDC]],TableOGEDUC[],7,FALSE),"")</f>
        <v/>
      </c>
      <c r="X10" s="187" t="str">
        <f>IFERROR(VLOOKUP(TableHandbook[[#This Row],[UDC]],TableOUMPEDUPR[],7,FALSE),"")</f>
        <v/>
      </c>
      <c r="Y10" s="187" t="str">
        <f>IFERROR(VLOOKUP(TableHandbook[[#This Row],[UDC]],TableOUMPEDUSC[],7,FALSE),"")</f>
        <v/>
      </c>
      <c r="Z10" s="187" t="str">
        <f>IFERROR(VLOOKUP(TableHandbook[[#This Row],[UDC]],TableOMEDUC[],7,FALSE),"")</f>
        <v/>
      </c>
      <c r="AA10" s="187" t="str">
        <f>IFERROR(VLOOKUP(TableHandbook[[#This Row],[UDC]],TableOSEPCULIN[],7,FALSE),"")</f>
        <v/>
      </c>
      <c r="AB10" s="187" t="str">
        <f>IFERROR(VLOOKUP(TableHandbook[[#This Row],[UDC]],TableOSEPLNTCH[],7,FALSE),"")</f>
        <v/>
      </c>
      <c r="AC10" s="272" t="str">
        <f>IFERROR(VLOOKUP(TableHandbook[[#This Row],[UDC]],TableOSEPSTEME[],7,FALSE),"")</f>
        <v/>
      </c>
    </row>
    <row r="11" spans="1:29" x14ac:dyDescent="0.25">
      <c r="A11" s="3" t="s">
        <v>74</v>
      </c>
      <c r="B11" s="4">
        <v>1</v>
      </c>
      <c r="C11" s="3" t="s">
        <v>341</v>
      </c>
      <c r="D11" s="3" t="s">
        <v>342</v>
      </c>
      <c r="E11" s="4">
        <v>25</v>
      </c>
      <c r="F11" s="188" t="s">
        <v>333</v>
      </c>
      <c r="G11" s="120" t="str">
        <f>IFERROR(IF(VLOOKUP(TableHandbook[[#This Row],[UDC]],TableAvailabilities[],2,FALSE)&gt;0,"Y",""),"")</f>
        <v/>
      </c>
      <c r="H11" s="121" t="str">
        <f>IFERROR(IF(VLOOKUP(TableHandbook[[#This Row],[UDC]],TableAvailabilities[],3,FALSE)&gt;0,"Y",""),"")</f>
        <v/>
      </c>
      <c r="I11" s="121" t="str">
        <f>IFERROR(IF(VLOOKUP(TableHandbook[[#This Row],[UDC]],TableAvailabilities[],4,FALSE)&gt;0,"Y",""),"")</f>
        <v>Y</v>
      </c>
      <c r="J11" s="172" t="str">
        <f>IFERROR(IF(VLOOKUP(TableHandbook[[#This Row],[UDC]],TableAvailabilities[],5,FALSE)&gt;0,"Y",""),"")</f>
        <v/>
      </c>
      <c r="K11" s="249"/>
      <c r="L11" s="269" t="str">
        <f>IFERROR(VLOOKUP(TableHandbook[[#This Row],[UDC]],TableOMTEACH1[],7,FALSE),"")</f>
        <v/>
      </c>
      <c r="M11" s="130" t="str">
        <f>IFERROR(VLOOKUP(TableHandbook[[#This Row],[UDC]],TableOUMPTCHEC[],7,FALSE),"")</f>
        <v>Core</v>
      </c>
      <c r="N11" s="130" t="str">
        <f>IFERROR(VLOOKUP(TableHandbook[[#This Row],[UDC]],TableOUMPTCHPE[],7,FALSE),"")</f>
        <v/>
      </c>
      <c r="O11" s="270" t="str">
        <f>IFERROR(VLOOKUP(TableHandbook[[#This Row],[UDC]],TableOUMPTCHSE[],7,FALSE),"")</f>
        <v/>
      </c>
      <c r="P11" s="271" t="str">
        <f>IFERROR(VLOOKUP(TableHandbook[[#This Row],[UDC]],TableOCTESOL1[],7,FALSE),"")</f>
        <v/>
      </c>
      <c r="Q11" s="187" t="str">
        <f>IFERROR(VLOOKUP(TableHandbook[[#This Row],[UDC]],TableOCTESOL[],7,FALSE),"")</f>
        <v/>
      </c>
      <c r="R11" s="272" t="str">
        <f>IFERROR(VLOOKUP(TableHandbook[[#This Row],[UDC]],TableOMAPLING[],7,FALSE),"")</f>
        <v/>
      </c>
      <c r="S11" s="271" t="str">
        <f>IFERROR(VLOOKUP(TableHandbook[[#This Row],[UDC]],TableOCEDHE1[],7,FALSE),"")</f>
        <v/>
      </c>
      <c r="T11" s="272" t="str">
        <f>IFERROR(VLOOKUP(TableHandbook[[#This Row],[UDC]],TableOCEDHE[],7,FALSE),"")</f>
        <v/>
      </c>
      <c r="U11" s="271" t="str">
        <f>IFERROR(VLOOKUP(TableHandbook[[#This Row],[UDC]],TableOCEDUCS1[],7,FALSE),"")</f>
        <v>Option</v>
      </c>
      <c r="V11" s="187" t="str">
        <f>IFERROR(VLOOKUP(TableHandbook[[#This Row],[UDC]],TableOCEDUC[],7,FALSE),"")</f>
        <v>Option</v>
      </c>
      <c r="W11" s="187" t="str">
        <f>IFERROR(VLOOKUP(TableHandbook[[#This Row],[UDC]],TableOGEDUC[],7,FALSE),"")</f>
        <v/>
      </c>
      <c r="X11" s="187" t="str">
        <f>IFERROR(VLOOKUP(TableHandbook[[#This Row],[UDC]],TableOUMPEDUPR[],7,FALSE),"")</f>
        <v/>
      </c>
      <c r="Y11" s="187" t="str">
        <f>IFERROR(VLOOKUP(TableHandbook[[#This Row],[UDC]],TableOUMPEDUSC[],7,FALSE),"")</f>
        <v/>
      </c>
      <c r="Z11" s="187" t="str">
        <f>IFERROR(VLOOKUP(TableHandbook[[#This Row],[UDC]],TableOMEDUC[],7,FALSE),"")</f>
        <v/>
      </c>
      <c r="AA11" s="187" t="str">
        <f>IFERROR(VLOOKUP(TableHandbook[[#This Row],[UDC]],TableOSEPCULIN[],7,FALSE),"")</f>
        <v/>
      </c>
      <c r="AB11" s="187" t="str">
        <f>IFERROR(VLOOKUP(TableHandbook[[#This Row],[UDC]],TableOSEPLNTCH[],7,FALSE),"")</f>
        <v/>
      </c>
      <c r="AC11" s="272" t="str">
        <f>IFERROR(VLOOKUP(TableHandbook[[#This Row],[UDC]],TableOSEPSTEME[],7,FALSE),"")</f>
        <v/>
      </c>
    </row>
    <row r="12" spans="1:29" x14ac:dyDescent="0.25">
      <c r="A12" s="3" t="s">
        <v>67</v>
      </c>
      <c r="B12" s="4">
        <v>1</v>
      </c>
      <c r="C12" s="3" t="s">
        <v>343</v>
      </c>
      <c r="D12" s="3" t="s">
        <v>344</v>
      </c>
      <c r="E12" s="4">
        <v>25</v>
      </c>
      <c r="F12" s="188" t="s">
        <v>333</v>
      </c>
      <c r="G12" s="120" t="str">
        <f>IFERROR(IF(VLOOKUP(TableHandbook[[#This Row],[UDC]],TableAvailabilities[],2,FALSE)&gt;0,"Y",""),"")</f>
        <v>Y</v>
      </c>
      <c r="H12" s="121" t="str">
        <f>IFERROR(IF(VLOOKUP(TableHandbook[[#This Row],[UDC]],TableAvailabilities[],3,FALSE)&gt;0,"Y",""),"")</f>
        <v>Y</v>
      </c>
      <c r="I12" s="121" t="str">
        <f>IFERROR(IF(VLOOKUP(TableHandbook[[#This Row],[UDC]],TableAvailabilities[],4,FALSE)&gt;0,"Y",""),"")</f>
        <v/>
      </c>
      <c r="J12" s="172" t="str">
        <f>IFERROR(IF(VLOOKUP(TableHandbook[[#This Row],[UDC]],TableAvailabilities[],5,FALSE)&gt;0,"Y",""),"")</f>
        <v/>
      </c>
      <c r="K12" s="249"/>
      <c r="L12" s="269" t="str">
        <f>IFERROR(VLOOKUP(TableHandbook[[#This Row],[UDC]],TableOMTEACH1[],7,FALSE),"")</f>
        <v/>
      </c>
      <c r="M12" s="130" t="str">
        <f>IFERROR(VLOOKUP(TableHandbook[[#This Row],[UDC]],TableOUMPTCHEC[],7,FALSE),"")</f>
        <v>Core</v>
      </c>
      <c r="N12" s="130" t="str">
        <f>IFERROR(VLOOKUP(TableHandbook[[#This Row],[UDC]],TableOUMPTCHPE[],7,FALSE),"")</f>
        <v/>
      </c>
      <c r="O12" s="270" t="str">
        <f>IFERROR(VLOOKUP(TableHandbook[[#This Row],[UDC]],TableOUMPTCHSE[],7,FALSE),"")</f>
        <v/>
      </c>
      <c r="P12" s="271" t="str">
        <f>IFERROR(VLOOKUP(TableHandbook[[#This Row],[UDC]],TableOCTESOL1[],7,FALSE),"")</f>
        <v/>
      </c>
      <c r="Q12" s="187" t="str">
        <f>IFERROR(VLOOKUP(TableHandbook[[#This Row],[UDC]],TableOCTESOL[],7,FALSE),"")</f>
        <v/>
      </c>
      <c r="R12" s="272" t="str">
        <f>IFERROR(VLOOKUP(TableHandbook[[#This Row],[UDC]],TableOMAPLING[],7,FALSE),"")</f>
        <v/>
      </c>
      <c r="S12" s="271" t="str">
        <f>IFERROR(VLOOKUP(TableHandbook[[#This Row],[UDC]],TableOCEDHE1[],7,FALSE),"")</f>
        <v/>
      </c>
      <c r="T12" s="272" t="str">
        <f>IFERROR(VLOOKUP(TableHandbook[[#This Row],[UDC]],TableOCEDHE[],7,FALSE),"")</f>
        <v/>
      </c>
      <c r="U12" s="271" t="str">
        <f>IFERROR(VLOOKUP(TableHandbook[[#This Row],[UDC]],TableOCEDUCS1[],7,FALSE),"")</f>
        <v/>
      </c>
      <c r="V12" s="187" t="str">
        <f>IFERROR(VLOOKUP(TableHandbook[[#This Row],[UDC]],TableOCEDUC[],7,FALSE),"")</f>
        <v/>
      </c>
      <c r="W12" s="187" t="str">
        <f>IFERROR(VLOOKUP(TableHandbook[[#This Row],[UDC]],TableOGEDUC[],7,FALSE),"")</f>
        <v/>
      </c>
      <c r="X12" s="187" t="str">
        <f>IFERROR(VLOOKUP(TableHandbook[[#This Row],[UDC]],TableOUMPEDUPR[],7,FALSE),"")</f>
        <v/>
      </c>
      <c r="Y12" s="187" t="str">
        <f>IFERROR(VLOOKUP(TableHandbook[[#This Row],[UDC]],TableOUMPEDUSC[],7,FALSE),"")</f>
        <v/>
      </c>
      <c r="Z12" s="187" t="str">
        <f>IFERROR(VLOOKUP(TableHandbook[[#This Row],[UDC]],TableOMEDUC[],7,FALSE),"")</f>
        <v/>
      </c>
      <c r="AA12" s="187" t="str">
        <f>IFERROR(VLOOKUP(TableHandbook[[#This Row],[UDC]],TableOSEPCULIN[],7,FALSE),"")</f>
        <v/>
      </c>
      <c r="AB12" s="187" t="str">
        <f>IFERROR(VLOOKUP(TableHandbook[[#This Row],[UDC]],TableOSEPLNTCH[],7,FALSE),"")</f>
        <v/>
      </c>
      <c r="AC12" s="272" t="str">
        <f>IFERROR(VLOOKUP(TableHandbook[[#This Row],[UDC]],TableOSEPSTEME[],7,FALSE),"")</f>
        <v/>
      </c>
    </row>
    <row r="13" spans="1:29" x14ac:dyDescent="0.25">
      <c r="A13" s="3" t="s">
        <v>102</v>
      </c>
      <c r="B13" s="4">
        <v>1</v>
      </c>
      <c r="C13" s="3" t="s">
        <v>345</v>
      </c>
      <c r="D13" s="3" t="s">
        <v>346</v>
      </c>
      <c r="E13" s="4">
        <v>25</v>
      </c>
      <c r="F13" s="188" t="s">
        <v>333</v>
      </c>
      <c r="G13" s="120" t="str">
        <f>IFERROR(IF(VLOOKUP(TableHandbook[[#This Row],[UDC]],TableAvailabilities[],2,FALSE)&gt;0,"Y",""),"")</f>
        <v>Y</v>
      </c>
      <c r="H13" s="121" t="str">
        <f>IFERROR(IF(VLOOKUP(TableHandbook[[#This Row],[UDC]],TableAvailabilities[],3,FALSE)&gt;0,"Y",""),"")</f>
        <v/>
      </c>
      <c r="I13" s="121" t="str">
        <f>IFERROR(IF(VLOOKUP(TableHandbook[[#This Row],[UDC]],TableAvailabilities[],4,FALSE)&gt;0,"Y",""),"")</f>
        <v/>
      </c>
      <c r="J13" s="172" t="str">
        <f>IFERROR(IF(VLOOKUP(TableHandbook[[#This Row],[UDC]],TableAvailabilities[],5,FALSE)&gt;0,"Y",""),"")</f>
        <v/>
      </c>
      <c r="K13" s="249"/>
      <c r="L13" s="269" t="str">
        <f>IFERROR(VLOOKUP(TableHandbook[[#This Row],[UDC]],TableOMTEACH1[],7,FALSE),"")</f>
        <v/>
      </c>
      <c r="M13" s="130" t="str">
        <f>IFERROR(VLOOKUP(TableHandbook[[#This Row],[UDC]],TableOUMPTCHEC[],7,FALSE),"")</f>
        <v>Core</v>
      </c>
      <c r="N13" s="130" t="str">
        <f>IFERROR(VLOOKUP(TableHandbook[[#This Row],[UDC]],TableOUMPTCHPE[],7,FALSE),"")</f>
        <v/>
      </c>
      <c r="O13" s="270" t="str">
        <f>IFERROR(VLOOKUP(TableHandbook[[#This Row],[UDC]],TableOUMPTCHSE[],7,FALSE),"")</f>
        <v/>
      </c>
      <c r="P13" s="271" t="str">
        <f>IFERROR(VLOOKUP(TableHandbook[[#This Row],[UDC]],TableOCTESOL1[],7,FALSE),"")</f>
        <v/>
      </c>
      <c r="Q13" s="187" t="str">
        <f>IFERROR(VLOOKUP(TableHandbook[[#This Row],[UDC]],TableOCTESOL[],7,FALSE),"")</f>
        <v/>
      </c>
      <c r="R13" s="272" t="str">
        <f>IFERROR(VLOOKUP(TableHandbook[[#This Row],[UDC]],TableOMAPLING[],7,FALSE),"")</f>
        <v/>
      </c>
      <c r="S13" s="271" t="str">
        <f>IFERROR(VLOOKUP(TableHandbook[[#This Row],[UDC]],TableOCEDHE1[],7,FALSE),"")</f>
        <v/>
      </c>
      <c r="T13" s="272" t="str">
        <f>IFERROR(VLOOKUP(TableHandbook[[#This Row],[UDC]],TableOCEDHE[],7,FALSE),"")</f>
        <v/>
      </c>
      <c r="U13" s="271" t="str">
        <f>IFERROR(VLOOKUP(TableHandbook[[#This Row],[UDC]],TableOCEDUCS1[],7,FALSE),"")</f>
        <v>Option</v>
      </c>
      <c r="V13" s="187" t="str">
        <f>IFERROR(VLOOKUP(TableHandbook[[#This Row],[UDC]],TableOCEDUC[],7,FALSE),"")</f>
        <v>Option</v>
      </c>
      <c r="W13" s="187" t="str">
        <f>IFERROR(VLOOKUP(TableHandbook[[#This Row],[UDC]],TableOGEDUC[],7,FALSE),"")</f>
        <v/>
      </c>
      <c r="X13" s="187" t="str">
        <f>IFERROR(VLOOKUP(TableHandbook[[#This Row],[UDC]],TableOUMPEDUPR[],7,FALSE),"")</f>
        <v/>
      </c>
      <c r="Y13" s="187" t="str">
        <f>IFERROR(VLOOKUP(TableHandbook[[#This Row],[UDC]],TableOUMPEDUSC[],7,FALSE),"")</f>
        <v/>
      </c>
      <c r="Z13" s="187" t="str">
        <f>IFERROR(VLOOKUP(TableHandbook[[#This Row],[UDC]],TableOMEDUC[],7,FALSE),"")</f>
        <v/>
      </c>
      <c r="AA13" s="187" t="str">
        <f>IFERROR(VLOOKUP(TableHandbook[[#This Row],[UDC]],TableOSEPCULIN[],7,FALSE),"")</f>
        <v/>
      </c>
      <c r="AB13" s="187" t="str">
        <f>IFERROR(VLOOKUP(TableHandbook[[#This Row],[UDC]],TableOSEPLNTCH[],7,FALSE),"")</f>
        <v/>
      </c>
      <c r="AC13" s="272" t="str">
        <f>IFERROR(VLOOKUP(TableHandbook[[#This Row],[UDC]],TableOSEPSTEME[],7,FALSE),"")</f>
        <v/>
      </c>
    </row>
    <row r="14" spans="1:29" x14ac:dyDescent="0.25">
      <c r="A14" s="3" t="s">
        <v>73</v>
      </c>
      <c r="B14" s="4">
        <v>1</v>
      </c>
      <c r="C14" s="3" t="s">
        <v>347</v>
      </c>
      <c r="D14" s="3" t="s">
        <v>348</v>
      </c>
      <c r="E14" s="4">
        <v>25</v>
      </c>
      <c r="F14" s="188" t="s">
        <v>333</v>
      </c>
      <c r="G14" s="120" t="str">
        <f>IFERROR(IF(VLOOKUP(TableHandbook[[#This Row],[UDC]],TableAvailabilities[],2,FALSE)&gt;0,"Y",""),"")</f>
        <v/>
      </c>
      <c r="H14" s="121" t="str">
        <f>IFERROR(IF(VLOOKUP(TableHandbook[[#This Row],[UDC]],TableAvailabilities[],3,FALSE)&gt;0,"Y",""),"")</f>
        <v>Y</v>
      </c>
      <c r="I14" s="121" t="str">
        <f>IFERROR(IF(VLOOKUP(TableHandbook[[#This Row],[UDC]],TableAvailabilities[],4,FALSE)&gt;0,"Y",""),"")</f>
        <v/>
      </c>
      <c r="J14" s="172" t="str">
        <f>IFERROR(IF(VLOOKUP(TableHandbook[[#This Row],[UDC]],TableAvailabilities[],5,FALSE)&gt;0,"Y",""),"")</f>
        <v/>
      </c>
      <c r="K14" s="249"/>
      <c r="L14" s="269" t="str">
        <f>IFERROR(VLOOKUP(TableHandbook[[#This Row],[UDC]],TableOMTEACH1[],7,FALSE),"")</f>
        <v/>
      </c>
      <c r="M14" s="130" t="str">
        <f>IFERROR(VLOOKUP(TableHandbook[[#This Row],[UDC]],TableOUMPTCHEC[],7,FALSE),"")</f>
        <v>Core</v>
      </c>
      <c r="N14" s="130" t="str">
        <f>IFERROR(VLOOKUP(TableHandbook[[#This Row],[UDC]],TableOUMPTCHPE[],7,FALSE),"")</f>
        <v/>
      </c>
      <c r="O14" s="270" t="str">
        <f>IFERROR(VLOOKUP(TableHandbook[[#This Row],[UDC]],TableOUMPTCHSE[],7,FALSE),"")</f>
        <v/>
      </c>
      <c r="P14" s="271" t="str">
        <f>IFERROR(VLOOKUP(TableHandbook[[#This Row],[UDC]],TableOCTESOL1[],7,FALSE),"")</f>
        <v/>
      </c>
      <c r="Q14" s="187" t="str">
        <f>IFERROR(VLOOKUP(TableHandbook[[#This Row],[UDC]],TableOCTESOL[],7,FALSE),"")</f>
        <v/>
      </c>
      <c r="R14" s="272" t="str">
        <f>IFERROR(VLOOKUP(TableHandbook[[#This Row],[UDC]],TableOMAPLING[],7,FALSE),"")</f>
        <v/>
      </c>
      <c r="S14" s="271" t="str">
        <f>IFERROR(VLOOKUP(TableHandbook[[#This Row],[UDC]],TableOCEDHE1[],7,FALSE),"")</f>
        <v/>
      </c>
      <c r="T14" s="272" t="str">
        <f>IFERROR(VLOOKUP(TableHandbook[[#This Row],[UDC]],TableOCEDHE[],7,FALSE),"")</f>
        <v/>
      </c>
      <c r="U14" s="271" t="str">
        <f>IFERROR(VLOOKUP(TableHandbook[[#This Row],[UDC]],TableOCEDUCS1[],7,FALSE),"")</f>
        <v>Option</v>
      </c>
      <c r="V14" s="187" t="str">
        <f>IFERROR(VLOOKUP(TableHandbook[[#This Row],[UDC]],TableOCEDUC[],7,FALSE),"")</f>
        <v>Option</v>
      </c>
      <c r="W14" s="187" t="str">
        <f>IFERROR(VLOOKUP(TableHandbook[[#This Row],[UDC]],TableOGEDUC[],7,FALSE),"")</f>
        <v/>
      </c>
      <c r="X14" s="187" t="str">
        <f>IFERROR(VLOOKUP(TableHandbook[[#This Row],[UDC]],TableOUMPEDUPR[],7,FALSE),"")</f>
        <v/>
      </c>
      <c r="Y14" s="187" t="str">
        <f>IFERROR(VLOOKUP(TableHandbook[[#This Row],[UDC]],TableOUMPEDUSC[],7,FALSE),"")</f>
        <v/>
      </c>
      <c r="Z14" s="187" t="str">
        <f>IFERROR(VLOOKUP(TableHandbook[[#This Row],[UDC]],TableOMEDUC[],7,FALSE),"")</f>
        <v/>
      </c>
      <c r="AA14" s="187" t="str">
        <f>IFERROR(VLOOKUP(TableHandbook[[#This Row],[UDC]],TableOSEPCULIN[],7,FALSE),"")</f>
        <v/>
      </c>
      <c r="AB14" s="187" t="str">
        <f>IFERROR(VLOOKUP(TableHandbook[[#This Row],[UDC]],TableOSEPLNTCH[],7,FALSE),"")</f>
        <v/>
      </c>
      <c r="AC14" s="272" t="str">
        <f>IFERROR(VLOOKUP(TableHandbook[[#This Row],[UDC]],TableOSEPSTEME[],7,FALSE),"")</f>
        <v/>
      </c>
    </row>
    <row r="15" spans="1:29" x14ac:dyDescent="0.25">
      <c r="A15" s="3" t="s">
        <v>75</v>
      </c>
      <c r="B15" s="4">
        <v>1</v>
      </c>
      <c r="C15" s="3" t="s">
        <v>349</v>
      </c>
      <c r="D15" s="3" t="s">
        <v>350</v>
      </c>
      <c r="E15" s="4">
        <v>25</v>
      </c>
      <c r="F15" s="188" t="s">
        <v>333</v>
      </c>
      <c r="G15" s="120" t="str">
        <f>IFERROR(IF(VLOOKUP(TableHandbook[[#This Row],[UDC]],TableAvailabilities[],2,FALSE)&gt;0,"Y",""),"")</f>
        <v/>
      </c>
      <c r="H15" s="121" t="str">
        <f>IFERROR(IF(VLOOKUP(TableHandbook[[#This Row],[UDC]],TableAvailabilities[],3,FALSE)&gt;0,"Y",""),"")</f>
        <v/>
      </c>
      <c r="I15" s="121" t="str">
        <f>IFERROR(IF(VLOOKUP(TableHandbook[[#This Row],[UDC]],TableAvailabilities[],4,FALSE)&gt;0,"Y",""),"")</f>
        <v/>
      </c>
      <c r="J15" s="172" t="str">
        <f>IFERROR(IF(VLOOKUP(TableHandbook[[#This Row],[UDC]],TableAvailabilities[],5,FALSE)&gt;0,"Y",""),"")</f>
        <v>Y</v>
      </c>
      <c r="K15" s="249"/>
      <c r="L15" s="269" t="str">
        <f>IFERROR(VLOOKUP(TableHandbook[[#This Row],[UDC]],TableOMTEACH1[],7,FALSE),"")</f>
        <v/>
      </c>
      <c r="M15" s="130" t="str">
        <f>IFERROR(VLOOKUP(TableHandbook[[#This Row],[UDC]],TableOUMPTCHEC[],7,FALSE),"")</f>
        <v>Core</v>
      </c>
      <c r="N15" s="130" t="str">
        <f>IFERROR(VLOOKUP(TableHandbook[[#This Row],[UDC]],TableOUMPTCHPE[],7,FALSE),"")</f>
        <v/>
      </c>
      <c r="O15" s="270" t="str">
        <f>IFERROR(VLOOKUP(TableHandbook[[#This Row],[UDC]],TableOUMPTCHSE[],7,FALSE),"")</f>
        <v/>
      </c>
      <c r="P15" s="271" t="str">
        <f>IFERROR(VLOOKUP(TableHandbook[[#This Row],[UDC]],TableOCTESOL1[],7,FALSE),"")</f>
        <v/>
      </c>
      <c r="Q15" s="187" t="str">
        <f>IFERROR(VLOOKUP(TableHandbook[[#This Row],[UDC]],TableOCTESOL[],7,FALSE),"")</f>
        <v/>
      </c>
      <c r="R15" s="272" t="str">
        <f>IFERROR(VLOOKUP(TableHandbook[[#This Row],[UDC]],TableOMAPLING[],7,FALSE),"")</f>
        <v/>
      </c>
      <c r="S15" s="271" t="str">
        <f>IFERROR(VLOOKUP(TableHandbook[[#This Row],[UDC]],TableOCEDHE1[],7,FALSE),"")</f>
        <v/>
      </c>
      <c r="T15" s="272" t="str">
        <f>IFERROR(VLOOKUP(TableHandbook[[#This Row],[UDC]],TableOCEDHE[],7,FALSE),"")</f>
        <v/>
      </c>
      <c r="U15" s="271" t="str">
        <f>IFERROR(VLOOKUP(TableHandbook[[#This Row],[UDC]],TableOCEDUCS1[],7,FALSE),"")</f>
        <v/>
      </c>
      <c r="V15" s="187" t="str">
        <f>IFERROR(VLOOKUP(TableHandbook[[#This Row],[UDC]],TableOCEDUC[],7,FALSE),"")</f>
        <v/>
      </c>
      <c r="W15" s="187" t="str">
        <f>IFERROR(VLOOKUP(TableHandbook[[#This Row],[UDC]],TableOGEDUC[],7,FALSE),"")</f>
        <v/>
      </c>
      <c r="X15" s="187" t="str">
        <f>IFERROR(VLOOKUP(TableHandbook[[#This Row],[UDC]],TableOUMPEDUPR[],7,FALSE),"")</f>
        <v/>
      </c>
      <c r="Y15" s="187" t="str">
        <f>IFERROR(VLOOKUP(TableHandbook[[#This Row],[UDC]],TableOUMPEDUSC[],7,FALSE),"")</f>
        <v/>
      </c>
      <c r="Z15" s="187" t="str">
        <f>IFERROR(VLOOKUP(TableHandbook[[#This Row],[UDC]],TableOMEDUC[],7,FALSE),"")</f>
        <v/>
      </c>
      <c r="AA15" s="187" t="str">
        <f>IFERROR(VLOOKUP(TableHandbook[[#This Row],[UDC]],TableOSEPCULIN[],7,FALSE),"")</f>
        <v/>
      </c>
      <c r="AB15" s="187" t="str">
        <f>IFERROR(VLOOKUP(TableHandbook[[#This Row],[UDC]],TableOSEPLNTCH[],7,FALSE),"")</f>
        <v/>
      </c>
      <c r="AC15" s="272" t="str">
        <f>IFERROR(VLOOKUP(TableHandbook[[#This Row],[UDC]],TableOSEPSTEME[],7,FALSE),"")</f>
        <v/>
      </c>
    </row>
    <row r="16" spans="1:29" x14ac:dyDescent="0.25">
      <c r="A16" s="3" t="s">
        <v>110</v>
      </c>
      <c r="B16" s="4">
        <v>1</v>
      </c>
      <c r="C16" s="3" t="s">
        <v>351</v>
      </c>
      <c r="D16" s="3" t="s">
        <v>352</v>
      </c>
      <c r="E16" s="4">
        <v>25</v>
      </c>
      <c r="F16" s="188" t="s">
        <v>333</v>
      </c>
      <c r="G16" s="120" t="str">
        <f>IFERROR(IF(VLOOKUP(TableHandbook[[#This Row],[UDC]],TableAvailabilities[],2,FALSE)&gt;0,"Y",""),"")</f>
        <v/>
      </c>
      <c r="H16" s="121" t="str">
        <f>IFERROR(IF(VLOOKUP(TableHandbook[[#This Row],[UDC]],TableAvailabilities[],3,FALSE)&gt;0,"Y",""),"")</f>
        <v/>
      </c>
      <c r="I16" s="121" t="str">
        <f>IFERROR(IF(VLOOKUP(TableHandbook[[#This Row],[UDC]],TableAvailabilities[],4,FALSE)&gt;0,"Y",""),"")</f>
        <v/>
      </c>
      <c r="J16" s="172" t="str">
        <f>IFERROR(IF(VLOOKUP(TableHandbook[[#This Row],[UDC]],TableAvailabilities[],5,FALSE)&gt;0,"Y",""),"")</f>
        <v>Y</v>
      </c>
      <c r="K16" s="249"/>
      <c r="L16" s="269" t="str">
        <f>IFERROR(VLOOKUP(TableHandbook[[#This Row],[UDC]],TableOMTEACH1[],7,FALSE),"")</f>
        <v/>
      </c>
      <c r="M16" s="130" t="str">
        <f>IFERROR(VLOOKUP(TableHandbook[[#This Row],[UDC]],TableOUMPTCHEC[],7,FALSE),"")</f>
        <v>Core</v>
      </c>
      <c r="N16" s="130" t="str">
        <f>IFERROR(VLOOKUP(TableHandbook[[#This Row],[UDC]],TableOUMPTCHPE[],7,FALSE),"")</f>
        <v/>
      </c>
      <c r="O16" s="270" t="str">
        <f>IFERROR(VLOOKUP(TableHandbook[[#This Row],[UDC]],TableOUMPTCHSE[],7,FALSE),"")</f>
        <v/>
      </c>
      <c r="P16" s="271" t="str">
        <f>IFERROR(VLOOKUP(TableHandbook[[#This Row],[UDC]],TableOCTESOL1[],7,FALSE),"")</f>
        <v/>
      </c>
      <c r="Q16" s="187" t="str">
        <f>IFERROR(VLOOKUP(TableHandbook[[#This Row],[UDC]],TableOCTESOL[],7,FALSE),"")</f>
        <v/>
      </c>
      <c r="R16" s="272" t="str">
        <f>IFERROR(VLOOKUP(TableHandbook[[#This Row],[UDC]],TableOMAPLING[],7,FALSE),"")</f>
        <v/>
      </c>
      <c r="S16" s="271" t="str">
        <f>IFERROR(VLOOKUP(TableHandbook[[#This Row],[UDC]],TableOCEDHE1[],7,FALSE),"")</f>
        <v/>
      </c>
      <c r="T16" s="272" t="str">
        <f>IFERROR(VLOOKUP(TableHandbook[[#This Row],[UDC]],TableOCEDHE[],7,FALSE),"")</f>
        <v/>
      </c>
      <c r="U16" s="271" t="str">
        <f>IFERROR(VLOOKUP(TableHandbook[[#This Row],[UDC]],TableOCEDUCS1[],7,FALSE),"")</f>
        <v/>
      </c>
      <c r="V16" s="187" t="str">
        <f>IFERROR(VLOOKUP(TableHandbook[[#This Row],[UDC]],TableOCEDUC[],7,FALSE),"")</f>
        <v/>
      </c>
      <c r="W16" s="187" t="str">
        <f>IFERROR(VLOOKUP(TableHandbook[[#This Row],[UDC]],TableOGEDUC[],7,FALSE),"")</f>
        <v/>
      </c>
      <c r="X16" s="187" t="str">
        <f>IFERROR(VLOOKUP(TableHandbook[[#This Row],[UDC]],TableOUMPEDUPR[],7,FALSE),"")</f>
        <v/>
      </c>
      <c r="Y16" s="187" t="str">
        <f>IFERROR(VLOOKUP(TableHandbook[[#This Row],[UDC]],TableOUMPEDUSC[],7,FALSE),"")</f>
        <v/>
      </c>
      <c r="Z16" s="187" t="str">
        <f>IFERROR(VLOOKUP(TableHandbook[[#This Row],[UDC]],TableOMEDUC[],7,FALSE),"")</f>
        <v/>
      </c>
      <c r="AA16" s="187" t="str">
        <f>IFERROR(VLOOKUP(TableHandbook[[#This Row],[UDC]],TableOSEPCULIN[],7,FALSE),"")</f>
        <v/>
      </c>
      <c r="AB16" s="187" t="str">
        <f>IFERROR(VLOOKUP(TableHandbook[[#This Row],[UDC]],TableOSEPLNTCH[],7,FALSE),"")</f>
        <v/>
      </c>
      <c r="AC16" s="272" t="str">
        <f>IFERROR(VLOOKUP(TableHandbook[[#This Row],[UDC]],TableOSEPSTEME[],7,FALSE),"")</f>
        <v/>
      </c>
    </row>
    <row r="17" spans="1:29" x14ac:dyDescent="0.25">
      <c r="A17" s="3" t="s">
        <v>118</v>
      </c>
      <c r="B17" s="4">
        <v>1</v>
      </c>
      <c r="C17" s="3" t="s">
        <v>353</v>
      </c>
      <c r="D17" s="3" t="s">
        <v>354</v>
      </c>
      <c r="E17" s="4">
        <v>25</v>
      </c>
      <c r="F17" s="188" t="s">
        <v>333</v>
      </c>
      <c r="G17" s="120" t="str">
        <f>IFERROR(IF(VLOOKUP(TableHandbook[[#This Row],[UDC]],TableAvailabilities[],2,FALSE)&gt;0,"Y",""),"")</f>
        <v/>
      </c>
      <c r="H17" s="121" t="str">
        <f>IFERROR(IF(VLOOKUP(TableHandbook[[#This Row],[UDC]],TableAvailabilities[],3,FALSE)&gt;0,"Y",""),"")</f>
        <v/>
      </c>
      <c r="I17" s="121" t="str">
        <f>IFERROR(IF(VLOOKUP(TableHandbook[[#This Row],[UDC]],TableAvailabilities[],4,FALSE)&gt;0,"Y",""),"")</f>
        <v>Y</v>
      </c>
      <c r="J17" s="172" t="str">
        <f>IFERROR(IF(VLOOKUP(TableHandbook[[#This Row],[UDC]],TableAvailabilities[],5,FALSE)&gt;0,"Y",""),"")</f>
        <v/>
      </c>
      <c r="K17" s="249"/>
      <c r="L17" s="269" t="str">
        <f>IFERROR(VLOOKUP(TableHandbook[[#This Row],[UDC]],TableOMTEACH1[],7,FALSE),"")</f>
        <v/>
      </c>
      <c r="M17" s="130" t="str">
        <f>IFERROR(VLOOKUP(TableHandbook[[#This Row],[UDC]],TableOUMPTCHEC[],7,FALSE),"")</f>
        <v>Core</v>
      </c>
      <c r="N17" s="130" t="str">
        <f>IFERROR(VLOOKUP(TableHandbook[[#This Row],[UDC]],TableOUMPTCHPE[],7,FALSE),"")</f>
        <v/>
      </c>
      <c r="O17" s="270" t="str">
        <f>IFERROR(VLOOKUP(TableHandbook[[#This Row],[UDC]],TableOUMPTCHSE[],7,FALSE),"")</f>
        <v/>
      </c>
      <c r="P17" s="271" t="str">
        <f>IFERROR(VLOOKUP(TableHandbook[[#This Row],[UDC]],TableOCTESOL1[],7,FALSE),"")</f>
        <v/>
      </c>
      <c r="Q17" s="187" t="str">
        <f>IFERROR(VLOOKUP(TableHandbook[[#This Row],[UDC]],TableOCTESOL[],7,FALSE),"")</f>
        <v/>
      </c>
      <c r="R17" s="272" t="str">
        <f>IFERROR(VLOOKUP(TableHandbook[[#This Row],[UDC]],TableOMAPLING[],7,FALSE),"")</f>
        <v/>
      </c>
      <c r="S17" s="271" t="str">
        <f>IFERROR(VLOOKUP(TableHandbook[[#This Row],[UDC]],TableOCEDHE1[],7,FALSE),"")</f>
        <v/>
      </c>
      <c r="T17" s="272" t="str">
        <f>IFERROR(VLOOKUP(TableHandbook[[#This Row],[UDC]],TableOCEDHE[],7,FALSE),"")</f>
        <v/>
      </c>
      <c r="U17" s="271" t="str">
        <f>IFERROR(VLOOKUP(TableHandbook[[#This Row],[UDC]],TableOCEDUCS1[],7,FALSE),"")</f>
        <v/>
      </c>
      <c r="V17" s="187" t="str">
        <f>IFERROR(VLOOKUP(TableHandbook[[#This Row],[UDC]],TableOCEDUC[],7,FALSE),"")</f>
        <v/>
      </c>
      <c r="W17" s="187" t="str">
        <f>IFERROR(VLOOKUP(TableHandbook[[#This Row],[UDC]],TableOGEDUC[],7,FALSE),"")</f>
        <v/>
      </c>
      <c r="X17" s="187" t="str">
        <f>IFERROR(VLOOKUP(TableHandbook[[#This Row],[UDC]],TableOUMPEDUPR[],7,FALSE),"")</f>
        <v/>
      </c>
      <c r="Y17" s="187" t="str">
        <f>IFERROR(VLOOKUP(TableHandbook[[#This Row],[UDC]],TableOUMPEDUSC[],7,FALSE),"")</f>
        <v/>
      </c>
      <c r="Z17" s="187" t="str">
        <f>IFERROR(VLOOKUP(TableHandbook[[#This Row],[UDC]],TableOMEDUC[],7,FALSE),"")</f>
        <v/>
      </c>
      <c r="AA17" s="187" t="str">
        <f>IFERROR(VLOOKUP(TableHandbook[[#This Row],[UDC]],TableOSEPCULIN[],7,FALSE),"")</f>
        <v/>
      </c>
      <c r="AB17" s="187" t="str">
        <f>IFERROR(VLOOKUP(TableHandbook[[#This Row],[UDC]],TableOSEPLNTCH[],7,FALSE),"")</f>
        <v/>
      </c>
      <c r="AC17" s="272" t="str">
        <f>IFERROR(VLOOKUP(TableHandbook[[#This Row],[UDC]],TableOSEPSTEME[],7,FALSE),"")</f>
        <v/>
      </c>
    </row>
    <row r="18" spans="1:29" x14ac:dyDescent="0.25">
      <c r="A18" s="3" t="s">
        <v>238</v>
      </c>
      <c r="B18" s="4">
        <v>1</v>
      </c>
      <c r="C18" s="3" t="s">
        <v>355</v>
      </c>
      <c r="D18" s="3" t="s">
        <v>356</v>
      </c>
      <c r="E18" s="4">
        <v>25</v>
      </c>
      <c r="F18" s="188" t="s">
        <v>333</v>
      </c>
      <c r="G18" s="120" t="str">
        <f>IFERROR(IF(VLOOKUP(TableHandbook[[#This Row],[UDC]],TableAvailabilities[],2,FALSE)&gt;0,"Y",""),"")</f>
        <v>Y</v>
      </c>
      <c r="H18" s="121" t="str">
        <f>IFERROR(IF(VLOOKUP(TableHandbook[[#This Row],[UDC]],TableAvailabilities[],3,FALSE)&gt;0,"Y",""),"")</f>
        <v/>
      </c>
      <c r="I18" s="121" t="str">
        <f>IFERROR(IF(VLOOKUP(TableHandbook[[#This Row],[UDC]],TableAvailabilities[],4,FALSE)&gt;0,"Y",""),"")</f>
        <v>Y</v>
      </c>
      <c r="J18" s="172" t="str">
        <f>IFERROR(IF(VLOOKUP(TableHandbook[[#This Row],[UDC]],TableAvailabilities[],5,FALSE)&gt;0,"Y",""),"")</f>
        <v/>
      </c>
      <c r="K18" s="249"/>
      <c r="L18" s="269" t="str">
        <f>IFERROR(VLOOKUP(TableHandbook[[#This Row],[UDC]],TableOMTEACH1[],7,FALSE),"")</f>
        <v/>
      </c>
      <c r="M18" s="130" t="str">
        <f>IFERROR(VLOOKUP(TableHandbook[[#This Row],[UDC]],TableOUMPTCHEC[],7,FALSE),"")</f>
        <v/>
      </c>
      <c r="N18" s="130" t="str">
        <f>IFERROR(VLOOKUP(TableHandbook[[#This Row],[UDC]],TableOUMPTCHPE[],7,FALSE),"")</f>
        <v/>
      </c>
      <c r="O18" s="270" t="str">
        <f>IFERROR(VLOOKUP(TableHandbook[[#This Row],[UDC]],TableOUMPTCHSE[],7,FALSE),"")</f>
        <v/>
      </c>
      <c r="P18" s="271" t="str">
        <f>IFERROR(VLOOKUP(TableHandbook[[#This Row],[UDC]],TableOCTESOL1[],7,FALSE),"")</f>
        <v/>
      </c>
      <c r="Q18" s="187" t="str">
        <f>IFERROR(VLOOKUP(TableHandbook[[#This Row],[UDC]],TableOCTESOL[],7,FALSE),"")</f>
        <v/>
      </c>
      <c r="R18" s="272" t="str">
        <f>IFERROR(VLOOKUP(TableHandbook[[#This Row],[UDC]],TableOMAPLING[],7,FALSE),"")</f>
        <v/>
      </c>
      <c r="S18" s="271" t="str">
        <f>IFERROR(VLOOKUP(TableHandbook[[#This Row],[UDC]],TableOCEDHE1[],7,FALSE),"")</f>
        <v>Core</v>
      </c>
      <c r="T18" s="272" t="str">
        <f>IFERROR(VLOOKUP(TableHandbook[[#This Row],[UDC]],TableOCEDHE[],7,FALSE),"")</f>
        <v>Core</v>
      </c>
      <c r="U18" s="271" t="str">
        <f>IFERROR(VLOOKUP(TableHandbook[[#This Row],[UDC]],TableOCEDUCS1[],7,FALSE),"")</f>
        <v/>
      </c>
      <c r="V18" s="187" t="str">
        <f>IFERROR(VLOOKUP(TableHandbook[[#This Row],[UDC]],TableOCEDUC[],7,FALSE),"")</f>
        <v/>
      </c>
      <c r="W18" s="187" t="str">
        <f>IFERROR(VLOOKUP(TableHandbook[[#This Row],[UDC]],TableOGEDUC[],7,FALSE),"")</f>
        <v/>
      </c>
      <c r="X18" s="187" t="str">
        <f>IFERROR(VLOOKUP(TableHandbook[[#This Row],[UDC]],TableOUMPEDUPR[],7,FALSE),"")</f>
        <v/>
      </c>
      <c r="Y18" s="187" t="str">
        <f>IFERROR(VLOOKUP(TableHandbook[[#This Row],[UDC]],TableOUMPEDUSC[],7,FALSE),"")</f>
        <v/>
      </c>
      <c r="Z18" s="187" t="str">
        <f>IFERROR(VLOOKUP(TableHandbook[[#This Row],[UDC]],TableOMEDUC[],7,FALSE),"")</f>
        <v/>
      </c>
      <c r="AA18" s="187" t="str">
        <f>IFERROR(VLOOKUP(TableHandbook[[#This Row],[UDC]],TableOSEPCULIN[],7,FALSE),"")</f>
        <v/>
      </c>
      <c r="AB18" s="187" t="str">
        <f>IFERROR(VLOOKUP(TableHandbook[[#This Row],[UDC]],TableOSEPLNTCH[],7,FALSE),"")</f>
        <v/>
      </c>
      <c r="AC18" s="272" t="str">
        <f>IFERROR(VLOOKUP(TableHandbook[[#This Row],[UDC]],TableOSEPSTEME[],7,FALSE),"")</f>
        <v/>
      </c>
    </row>
    <row r="19" spans="1:29" x14ac:dyDescent="0.25">
      <c r="A19" s="3" t="s">
        <v>239</v>
      </c>
      <c r="B19" s="4">
        <v>1</v>
      </c>
      <c r="C19" s="3" t="s">
        <v>357</v>
      </c>
      <c r="D19" s="3" t="s">
        <v>358</v>
      </c>
      <c r="E19" s="4">
        <v>25</v>
      </c>
      <c r="F19" s="188" t="s">
        <v>333</v>
      </c>
      <c r="G19" s="120" t="str">
        <f>IFERROR(IF(VLOOKUP(TableHandbook[[#This Row],[UDC]],TableAvailabilities[],2,FALSE)&gt;0,"Y",""),"")</f>
        <v/>
      </c>
      <c r="H19" s="121" t="str">
        <f>IFERROR(IF(VLOOKUP(TableHandbook[[#This Row],[UDC]],TableAvailabilities[],3,FALSE)&gt;0,"Y",""),"")</f>
        <v>Y</v>
      </c>
      <c r="I19" s="121" t="str">
        <f>IFERROR(IF(VLOOKUP(TableHandbook[[#This Row],[UDC]],TableAvailabilities[],4,FALSE)&gt;0,"Y",""),"")</f>
        <v/>
      </c>
      <c r="J19" s="172" t="str">
        <f>IFERROR(IF(VLOOKUP(TableHandbook[[#This Row],[UDC]],TableAvailabilities[],5,FALSE)&gt;0,"Y",""),"")</f>
        <v>Y</v>
      </c>
      <c r="K19" s="249"/>
      <c r="L19" s="269" t="str">
        <f>IFERROR(VLOOKUP(TableHandbook[[#This Row],[UDC]],TableOMTEACH1[],7,FALSE),"")</f>
        <v/>
      </c>
      <c r="M19" s="130" t="str">
        <f>IFERROR(VLOOKUP(TableHandbook[[#This Row],[UDC]],TableOUMPTCHEC[],7,FALSE),"")</f>
        <v/>
      </c>
      <c r="N19" s="130" t="str">
        <f>IFERROR(VLOOKUP(TableHandbook[[#This Row],[UDC]],TableOUMPTCHPE[],7,FALSE),"")</f>
        <v/>
      </c>
      <c r="O19" s="270" t="str">
        <f>IFERROR(VLOOKUP(TableHandbook[[#This Row],[UDC]],TableOUMPTCHSE[],7,FALSE),"")</f>
        <v/>
      </c>
      <c r="P19" s="271" t="str">
        <f>IFERROR(VLOOKUP(TableHandbook[[#This Row],[UDC]],TableOCTESOL1[],7,FALSE),"")</f>
        <v/>
      </c>
      <c r="Q19" s="187" t="str">
        <f>IFERROR(VLOOKUP(TableHandbook[[#This Row],[UDC]],TableOCTESOL[],7,FALSE),"")</f>
        <v/>
      </c>
      <c r="R19" s="272" t="str">
        <f>IFERROR(VLOOKUP(TableHandbook[[#This Row],[UDC]],TableOMAPLING[],7,FALSE),"")</f>
        <v/>
      </c>
      <c r="S19" s="271" t="str">
        <f>IFERROR(VLOOKUP(TableHandbook[[#This Row],[UDC]],TableOCEDHE1[],7,FALSE),"")</f>
        <v>Core</v>
      </c>
      <c r="T19" s="272" t="str">
        <f>IFERROR(VLOOKUP(TableHandbook[[#This Row],[UDC]],TableOCEDHE[],7,FALSE),"")</f>
        <v>Core</v>
      </c>
      <c r="U19" s="271" t="str">
        <f>IFERROR(VLOOKUP(TableHandbook[[#This Row],[UDC]],TableOCEDUCS1[],7,FALSE),"")</f>
        <v/>
      </c>
      <c r="V19" s="187" t="str">
        <f>IFERROR(VLOOKUP(TableHandbook[[#This Row],[UDC]],TableOCEDUC[],7,FALSE),"")</f>
        <v/>
      </c>
      <c r="W19" s="187" t="str">
        <f>IFERROR(VLOOKUP(TableHandbook[[#This Row],[UDC]],TableOGEDUC[],7,FALSE),"")</f>
        <v/>
      </c>
      <c r="X19" s="187" t="str">
        <f>IFERROR(VLOOKUP(TableHandbook[[#This Row],[UDC]],TableOUMPEDUPR[],7,FALSE),"")</f>
        <v/>
      </c>
      <c r="Y19" s="187" t="str">
        <f>IFERROR(VLOOKUP(TableHandbook[[#This Row],[UDC]],TableOUMPEDUSC[],7,FALSE),"")</f>
        <v/>
      </c>
      <c r="Z19" s="187" t="str">
        <f>IFERROR(VLOOKUP(TableHandbook[[#This Row],[UDC]],TableOMEDUC[],7,FALSE),"")</f>
        <v/>
      </c>
      <c r="AA19" s="187" t="str">
        <f>IFERROR(VLOOKUP(TableHandbook[[#This Row],[UDC]],TableOSEPCULIN[],7,FALSE),"")</f>
        <v/>
      </c>
      <c r="AB19" s="187" t="str">
        <f>IFERROR(VLOOKUP(TableHandbook[[#This Row],[UDC]],TableOSEPLNTCH[],7,FALSE),"")</f>
        <v/>
      </c>
      <c r="AC19" s="272" t="str">
        <f>IFERROR(VLOOKUP(TableHandbook[[#This Row],[UDC]],TableOSEPSTEME[],7,FALSE),"")</f>
        <v/>
      </c>
    </row>
    <row r="20" spans="1:29" x14ac:dyDescent="0.25">
      <c r="A20" s="3" t="s">
        <v>240</v>
      </c>
      <c r="B20" s="4">
        <v>1</v>
      </c>
      <c r="C20" s="3" t="s">
        <v>359</v>
      </c>
      <c r="D20" s="3" t="s">
        <v>360</v>
      </c>
      <c r="E20" s="4">
        <v>25</v>
      </c>
      <c r="F20" s="188" t="s">
        <v>333</v>
      </c>
      <c r="G20" s="120" t="str">
        <f>IFERROR(IF(VLOOKUP(TableHandbook[[#This Row],[UDC]],TableAvailabilities[],2,FALSE)&gt;0,"Y",""),"")</f>
        <v>Y</v>
      </c>
      <c r="H20" s="121" t="str">
        <f>IFERROR(IF(VLOOKUP(TableHandbook[[#This Row],[UDC]],TableAvailabilities[],3,FALSE)&gt;0,"Y",""),"")</f>
        <v/>
      </c>
      <c r="I20" s="121" t="str">
        <f>IFERROR(IF(VLOOKUP(TableHandbook[[#This Row],[UDC]],TableAvailabilities[],4,FALSE)&gt;0,"Y",""),"")</f>
        <v>Y</v>
      </c>
      <c r="J20" s="172" t="str">
        <f>IFERROR(IF(VLOOKUP(TableHandbook[[#This Row],[UDC]],TableAvailabilities[],5,FALSE)&gt;0,"Y",""),"")</f>
        <v/>
      </c>
      <c r="K20" s="249"/>
      <c r="L20" s="269" t="str">
        <f>IFERROR(VLOOKUP(TableHandbook[[#This Row],[UDC]],TableOMTEACH1[],7,FALSE),"")</f>
        <v/>
      </c>
      <c r="M20" s="130" t="str">
        <f>IFERROR(VLOOKUP(TableHandbook[[#This Row],[UDC]],TableOUMPTCHEC[],7,FALSE),"")</f>
        <v/>
      </c>
      <c r="N20" s="130" t="str">
        <f>IFERROR(VLOOKUP(TableHandbook[[#This Row],[UDC]],TableOUMPTCHPE[],7,FALSE),"")</f>
        <v/>
      </c>
      <c r="O20" s="270" t="str">
        <f>IFERROR(VLOOKUP(TableHandbook[[#This Row],[UDC]],TableOUMPTCHSE[],7,FALSE),"")</f>
        <v/>
      </c>
      <c r="P20" s="271" t="str">
        <f>IFERROR(VLOOKUP(TableHandbook[[#This Row],[UDC]],TableOCTESOL1[],7,FALSE),"")</f>
        <v/>
      </c>
      <c r="Q20" s="187" t="str">
        <f>IFERROR(VLOOKUP(TableHandbook[[#This Row],[UDC]],TableOCTESOL[],7,FALSE),"")</f>
        <v/>
      </c>
      <c r="R20" s="272" t="str">
        <f>IFERROR(VLOOKUP(TableHandbook[[#This Row],[UDC]],TableOMAPLING[],7,FALSE),"")</f>
        <v/>
      </c>
      <c r="S20" s="271" t="str">
        <f>IFERROR(VLOOKUP(TableHandbook[[#This Row],[UDC]],TableOCEDHE1[],7,FALSE),"")</f>
        <v>Core</v>
      </c>
      <c r="T20" s="272" t="str">
        <f>IFERROR(VLOOKUP(TableHandbook[[#This Row],[UDC]],TableOCEDHE[],7,FALSE),"")</f>
        <v>Core</v>
      </c>
      <c r="U20" s="271" t="str">
        <f>IFERROR(VLOOKUP(TableHandbook[[#This Row],[UDC]],TableOCEDUCS1[],7,FALSE),"")</f>
        <v/>
      </c>
      <c r="V20" s="187" t="str">
        <f>IFERROR(VLOOKUP(TableHandbook[[#This Row],[UDC]],TableOCEDUC[],7,FALSE),"")</f>
        <v/>
      </c>
      <c r="W20" s="187" t="str">
        <f>IFERROR(VLOOKUP(TableHandbook[[#This Row],[UDC]],TableOGEDUC[],7,FALSE),"")</f>
        <v/>
      </c>
      <c r="X20" s="187" t="str">
        <f>IFERROR(VLOOKUP(TableHandbook[[#This Row],[UDC]],TableOUMPEDUPR[],7,FALSE),"")</f>
        <v/>
      </c>
      <c r="Y20" s="187" t="str">
        <f>IFERROR(VLOOKUP(TableHandbook[[#This Row],[UDC]],TableOUMPEDUSC[],7,FALSE),"")</f>
        <v/>
      </c>
      <c r="Z20" s="187" t="str">
        <f>IFERROR(VLOOKUP(TableHandbook[[#This Row],[UDC]],TableOMEDUC[],7,FALSE),"")</f>
        <v/>
      </c>
      <c r="AA20" s="187" t="str">
        <f>IFERROR(VLOOKUP(TableHandbook[[#This Row],[UDC]],TableOSEPCULIN[],7,FALSE),"")</f>
        <v/>
      </c>
      <c r="AB20" s="187" t="str">
        <f>IFERROR(VLOOKUP(TableHandbook[[#This Row],[UDC]],TableOSEPLNTCH[],7,FALSE),"")</f>
        <v/>
      </c>
      <c r="AC20" s="272" t="str">
        <f>IFERROR(VLOOKUP(TableHandbook[[#This Row],[UDC]],TableOSEPSTEME[],7,FALSE),"")</f>
        <v/>
      </c>
    </row>
    <row r="21" spans="1:29" x14ac:dyDescent="0.25">
      <c r="A21" s="3" t="s">
        <v>241</v>
      </c>
      <c r="B21" s="4">
        <v>1</v>
      </c>
      <c r="C21" s="3" t="s">
        <v>361</v>
      </c>
      <c r="D21" s="3" t="s">
        <v>362</v>
      </c>
      <c r="E21" s="4">
        <v>25</v>
      </c>
      <c r="F21" s="188" t="s">
        <v>333</v>
      </c>
      <c r="G21" s="120" t="str">
        <f>IFERROR(IF(VLOOKUP(TableHandbook[[#This Row],[UDC]],TableAvailabilities[],2,FALSE)&gt;0,"Y",""),"")</f>
        <v/>
      </c>
      <c r="H21" s="121" t="str">
        <f>IFERROR(IF(VLOOKUP(TableHandbook[[#This Row],[UDC]],TableAvailabilities[],3,FALSE)&gt;0,"Y",""),"")</f>
        <v>Y</v>
      </c>
      <c r="I21" s="121" t="str">
        <f>IFERROR(IF(VLOOKUP(TableHandbook[[#This Row],[UDC]],TableAvailabilities[],4,FALSE)&gt;0,"Y",""),"")</f>
        <v/>
      </c>
      <c r="J21" s="172" t="str">
        <f>IFERROR(IF(VLOOKUP(TableHandbook[[#This Row],[UDC]],TableAvailabilities[],5,FALSE)&gt;0,"Y",""),"")</f>
        <v>Y</v>
      </c>
      <c r="K21" s="249"/>
      <c r="L21" s="269" t="str">
        <f>IFERROR(VLOOKUP(TableHandbook[[#This Row],[UDC]],TableOMTEACH1[],7,FALSE),"")</f>
        <v/>
      </c>
      <c r="M21" s="130" t="str">
        <f>IFERROR(VLOOKUP(TableHandbook[[#This Row],[UDC]],TableOUMPTCHEC[],7,FALSE),"")</f>
        <v/>
      </c>
      <c r="N21" s="130" t="str">
        <f>IFERROR(VLOOKUP(TableHandbook[[#This Row],[UDC]],TableOUMPTCHPE[],7,FALSE),"")</f>
        <v/>
      </c>
      <c r="O21" s="270" t="str">
        <f>IFERROR(VLOOKUP(TableHandbook[[#This Row],[UDC]],TableOUMPTCHSE[],7,FALSE),"")</f>
        <v/>
      </c>
      <c r="P21" s="271" t="str">
        <f>IFERROR(VLOOKUP(TableHandbook[[#This Row],[UDC]],TableOCTESOL1[],7,FALSE),"")</f>
        <v/>
      </c>
      <c r="Q21" s="187" t="str">
        <f>IFERROR(VLOOKUP(TableHandbook[[#This Row],[UDC]],TableOCTESOL[],7,FALSE),"")</f>
        <v/>
      </c>
      <c r="R21" s="272" t="str">
        <f>IFERROR(VLOOKUP(TableHandbook[[#This Row],[UDC]],TableOMAPLING[],7,FALSE),"")</f>
        <v/>
      </c>
      <c r="S21" s="271" t="str">
        <f>IFERROR(VLOOKUP(TableHandbook[[#This Row],[UDC]],TableOCEDHE1[],7,FALSE),"")</f>
        <v>Core</v>
      </c>
      <c r="T21" s="272" t="str">
        <f>IFERROR(VLOOKUP(TableHandbook[[#This Row],[UDC]],TableOCEDHE[],7,FALSE),"")</f>
        <v>Core</v>
      </c>
      <c r="U21" s="271" t="str">
        <f>IFERROR(VLOOKUP(TableHandbook[[#This Row],[UDC]],TableOCEDUCS1[],7,FALSE),"")</f>
        <v/>
      </c>
      <c r="V21" s="187" t="str">
        <f>IFERROR(VLOOKUP(TableHandbook[[#This Row],[UDC]],TableOCEDUC[],7,FALSE),"")</f>
        <v/>
      </c>
      <c r="W21" s="187" t="str">
        <f>IFERROR(VLOOKUP(TableHandbook[[#This Row],[UDC]],TableOGEDUC[],7,FALSE),"")</f>
        <v/>
      </c>
      <c r="X21" s="187" t="str">
        <f>IFERROR(VLOOKUP(TableHandbook[[#This Row],[UDC]],TableOUMPEDUPR[],7,FALSE),"")</f>
        <v/>
      </c>
      <c r="Y21" s="187" t="str">
        <f>IFERROR(VLOOKUP(TableHandbook[[#This Row],[UDC]],TableOUMPEDUSC[],7,FALSE),"")</f>
        <v/>
      </c>
      <c r="Z21" s="187" t="str">
        <f>IFERROR(VLOOKUP(TableHandbook[[#This Row],[UDC]],TableOMEDUC[],7,FALSE),"")</f>
        <v/>
      </c>
      <c r="AA21" s="187" t="str">
        <f>IFERROR(VLOOKUP(TableHandbook[[#This Row],[UDC]],TableOSEPCULIN[],7,FALSE),"")</f>
        <v/>
      </c>
      <c r="AB21" s="187" t="str">
        <f>IFERROR(VLOOKUP(TableHandbook[[#This Row],[UDC]],TableOSEPLNTCH[],7,FALSE),"")</f>
        <v/>
      </c>
      <c r="AC21" s="272" t="str">
        <f>IFERROR(VLOOKUP(TableHandbook[[#This Row],[UDC]],TableOSEPSTEME[],7,FALSE),"")</f>
        <v/>
      </c>
    </row>
    <row r="22" spans="1:29" x14ac:dyDescent="0.25">
      <c r="A22" s="3" t="s">
        <v>77</v>
      </c>
      <c r="B22" s="4">
        <v>1</v>
      </c>
      <c r="C22" s="3" t="s">
        <v>363</v>
      </c>
      <c r="D22" s="3" t="s">
        <v>364</v>
      </c>
      <c r="E22" s="4">
        <v>25</v>
      </c>
      <c r="F22" s="188" t="s">
        <v>333</v>
      </c>
      <c r="G22" s="120" t="str">
        <f>IFERROR(IF(VLOOKUP(TableHandbook[[#This Row],[UDC]],TableAvailabilities[],2,FALSE)&gt;0,"Y",""),"")</f>
        <v/>
      </c>
      <c r="H22" s="121" t="str">
        <f>IFERROR(IF(VLOOKUP(TableHandbook[[#This Row],[UDC]],TableAvailabilities[],3,FALSE)&gt;0,"Y",""),"")</f>
        <v>Y</v>
      </c>
      <c r="I22" s="121" t="str">
        <f>IFERROR(IF(VLOOKUP(TableHandbook[[#This Row],[UDC]],TableAvailabilities[],4,FALSE)&gt;0,"Y",""),"")</f>
        <v/>
      </c>
      <c r="J22" s="172" t="str">
        <f>IFERROR(IF(VLOOKUP(TableHandbook[[#This Row],[UDC]],TableAvailabilities[],5,FALSE)&gt;0,"Y",""),"")</f>
        <v>Y</v>
      </c>
      <c r="K22" s="249"/>
      <c r="L22" s="269" t="str">
        <f>IFERROR(VLOOKUP(TableHandbook[[#This Row],[UDC]],TableOMTEACH1[],7,FALSE),"")</f>
        <v/>
      </c>
      <c r="M22" s="130" t="str">
        <f>IFERROR(VLOOKUP(TableHandbook[[#This Row],[UDC]],TableOUMPTCHEC[],7,FALSE),"")</f>
        <v/>
      </c>
      <c r="N22" s="130" t="str">
        <f>IFERROR(VLOOKUP(TableHandbook[[#This Row],[UDC]],TableOUMPTCHPE[],7,FALSE),"")</f>
        <v>Core</v>
      </c>
      <c r="O22" s="270" t="str">
        <f>IFERROR(VLOOKUP(TableHandbook[[#This Row],[UDC]],TableOUMPTCHSE[],7,FALSE),"")</f>
        <v/>
      </c>
      <c r="P22" s="271" t="str">
        <f>IFERROR(VLOOKUP(TableHandbook[[#This Row],[UDC]],TableOCTESOL1[],7,FALSE),"")</f>
        <v/>
      </c>
      <c r="Q22" s="187" t="str">
        <f>IFERROR(VLOOKUP(TableHandbook[[#This Row],[UDC]],TableOCTESOL[],7,FALSE),"")</f>
        <v/>
      </c>
      <c r="R22" s="272" t="str">
        <f>IFERROR(VLOOKUP(TableHandbook[[#This Row],[UDC]],TableOMAPLING[],7,FALSE),"")</f>
        <v/>
      </c>
      <c r="S22" s="271" t="str">
        <f>IFERROR(VLOOKUP(TableHandbook[[#This Row],[UDC]],TableOCEDHE1[],7,FALSE),"")</f>
        <v/>
      </c>
      <c r="T22" s="272" t="str">
        <f>IFERROR(VLOOKUP(TableHandbook[[#This Row],[UDC]],TableOCEDHE[],7,FALSE),"")</f>
        <v/>
      </c>
      <c r="U22" s="271" t="str">
        <f>IFERROR(VLOOKUP(TableHandbook[[#This Row],[UDC]],TableOCEDUCS1[],7,FALSE),"")</f>
        <v>Option</v>
      </c>
      <c r="V22" s="187" t="str">
        <f>IFERROR(VLOOKUP(TableHandbook[[#This Row],[UDC]],TableOCEDUC[],7,FALSE),"")</f>
        <v>Option</v>
      </c>
      <c r="W22" s="187" t="str">
        <f>IFERROR(VLOOKUP(TableHandbook[[#This Row],[UDC]],TableOGEDUC[],7,FALSE),"")</f>
        <v/>
      </c>
      <c r="X22" s="187" t="str">
        <f>IFERROR(VLOOKUP(TableHandbook[[#This Row],[UDC]],TableOUMPEDUPR[],7,FALSE),"")</f>
        <v>Core</v>
      </c>
      <c r="Y22" s="187" t="str">
        <f>IFERROR(VLOOKUP(TableHandbook[[#This Row],[UDC]],TableOUMPEDUSC[],7,FALSE),"")</f>
        <v/>
      </c>
      <c r="Z22" s="187" t="str">
        <f>IFERROR(VLOOKUP(TableHandbook[[#This Row],[UDC]],TableOMEDUC[],7,FALSE),"")</f>
        <v/>
      </c>
      <c r="AA22" s="187" t="str">
        <f>IFERROR(VLOOKUP(TableHandbook[[#This Row],[UDC]],TableOSEPCULIN[],7,FALSE),"")</f>
        <v/>
      </c>
      <c r="AB22" s="187" t="str">
        <f>IFERROR(VLOOKUP(TableHandbook[[#This Row],[UDC]],TableOSEPLNTCH[],7,FALSE),"")</f>
        <v/>
      </c>
      <c r="AC22" s="272" t="str">
        <f>IFERROR(VLOOKUP(TableHandbook[[#This Row],[UDC]],TableOSEPSTEME[],7,FALSE),"")</f>
        <v/>
      </c>
    </row>
    <row r="23" spans="1:29" ht="26.25" x14ac:dyDescent="0.25">
      <c r="A23" s="3" t="s">
        <v>89</v>
      </c>
      <c r="B23" s="4">
        <v>3</v>
      </c>
      <c r="C23" s="3" t="s">
        <v>365</v>
      </c>
      <c r="D23" s="3" t="s">
        <v>366</v>
      </c>
      <c r="E23" s="4">
        <v>25</v>
      </c>
      <c r="F23" s="189" t="s">
        <v>333</v>
      </c>
      <c r="G23" s="120" t="str">
        <f>IFERROR(IF(VLOOKUP(TableHandbook[[#This Row],[UDC]],TableAvailabilities[],2,FALSE)&gt;0,"Y",""),"")</f>
        <v>Y</v>
      </c>
      <c r="H23" s="121" t="str">
        <f>IFERROR(IF(VLOOKUP(TableHandbook[[#This Row],[UDC]],TableAvailabilities[],3,FALSE)&gt;0,"Y",""),"")</f>
        <v>Y</v>
      </c>
      <c r="I23" s="121" t="str">
        <f>IFERROR(IF(VLOOKUP(TableHandbook[[#This Row],[UDC]],TableAvailabilities[],4,FALSE)&gt;0,"Y",""),"")</f>
        <v/>
      </c>
      <c r="J23" s="172" t="str">
        <f>IFERROR(IF(VLOOKUP(TableHandbook[[#This Row],[UDC]],TableAvailabilities[],5,FALSE)&gt;0,"Y",""),"")</f>
        <v/>
      </c>
      <c r="K23" s="293" t="s">
        <v>367</v>
      </c>
      <c r="L23" s="269" t="str">
        <f>IFERROR(VLOOKUP(TableHandbook[[#This Row],[UDC]],TableOMTEACH1[],7,FALSE),"")</f>
        <v/>
      </c>
      <c r="M23" s="130" t="str">
        <f>IFERROR(VLOOKUP(TableHandbook[[#This Row],[UDC]],TableOUMPTCHEC[],7,FALSE),"")</f>
        <v/>
      </c>
      <c r="N23" s="130" t="str">
        <f>IFERROR(VLOOKUP(TableHandbook[[#This Row],[UDC]],TableOUMPTCHPE[],7,FALSE),"")</f>
        <v>Core</v>
      </c>
      <c r="O23" s="270" t="str">
        <f>IFERROR(VLOOKUP(TableHandbook[[#This Row],[UDC]],TableOUMPTCHSE[],7,FALSE),"")</f>
        <v/>
      </c>
      <c r="P23" s="271" t="str">
        <f>IFERROR(VLOOKUP(TableHandbook[[#This Row],[UDC]],TableOCTESOL1[],7,FALSE),"")</f>
        <v/>
      </c>
      <c r="Q23" s="187" t="str">
        <f>IFERROR(VLOOKUP(TableHandbook[[#This Row],[UDC]],TableOCTESOL[],7,FALSE),"")</f>
        <v/>
      </c>
      <c r="R23" s="272" t="str">
        <f>IFERROR(VLOOKUP(TableHandbook[[#This Row],[UDC]],TableOMAPLING[],7,FALSE),"")</f>
        <v/>
      </c>
      <c r="S23" s="271" t="str">
        <f>IFERROR(VLOOKUP(TableHandbook[[#This Row],[UDC]],TableOCEDHE1[],7,FALSE),"")</f>
        <v/>
      </c>
      <c r="T23" s="272" t="str">
        <f>IFERROR(VLOOKUP(TableHandbook[[#This Row],[UDC]],TableOCEDHE[],7,FALSE),"")</f>
        <v/>
      </c>
      <c r="U23" s="271" t="str">
        <f>IFERROR(VLOOKUP(TableHandbook[[#This Row],[UDC]],TableOCEDUCS1[],7,FALSE),"")</f>
        <v/>
      </c>
      <c r="V23" s="187" t="str">
        <f>IFERROR(VLOOKUP(TableHandbook[[#This Row],[UDC]],TableOCEDUC[],7,FALSE),"")</f>
        <v/>
      </c>
      <c r="W23" s="187" t="str">
        <f>IFERROR(VLOOKUP(TableHandbook[[#This Row],[UDC]],TableOGEDUC[],7,FALSE),"")</f>
        <v/>
      </c>
      <c r="X23" s="187" t="str">
        <f>IFERROR(VLOOKUP(TableHandbook[[#This Row],[UDC]],TableOUMPEDUPR[],7,FALSE),"")</f>
        <v>Core</v>
      </c>
      <c r="Y23" s="187" t="str">
        <f>IFERROR(VLOOKUP(TableHandbook[[#This Row],[UDC]],TableOUMPEDUSC[],7,FALSE),"")</f>
        <v/>
      </c>
      <c r="Z23" s="187" t="str">
        <f>IFERROR(VLOOKUP(TableHandbook[[#This Row],[UDC]],TableOMEDUC[],7,FALSE),"")</f>
        <v/>
      </c>
      <c r="AA23" s="187" t="str">
        <f>IFERROR(VLOOKUP(TableHandbook[[#This Row],[UDC]],TableOSEPCULIN[],7,FALSE),"")</f>
        <v/>
      </c>
      <c r="AB23" s="187" t="str">
        <f>IFERROR(VLOOKUP(TableHandbook[[#This Row],[UDC]],TableOSEPLNTCH[],7,FALSE),"")</f>
        <v/>
      </c>
      <c r="AC23" s="272" t="str">
        <f>IFERROR(VLOOKUP(TableHandbook[[#This Row],[UDC]],TableOSEPSTEME[],7,FALSE),"")</f>
        <v/>
      </c>
    </row>
    <row r="24" spans="1:29" x14ac:dyDescent="0.25">
      <c r="A24" s="3" t="s">
        <v>76</v>
      </c>
      <c r="B24" s="4">
        <v>1</v>
      </c>
      <c r="C24" s="3" t="s">
        <v>368</v>
      </c>
      <c r="D24" s="3" t="s">
        <v>369</v>
      </c>
      <c r="E24" s="4">
        <v>25</v>
      </c>
      <c r="F24" s="188" t="s">
        <v>333</v>
      </c>
      <c r="G24" s="120" t="str">
        <f>IFERROR(IF(VLOOKUP(TableHandbook[[#This Row],[UDC]],TableAvailabilities[],2,FALSE)&gt;0,"Y",""),"")</f>
        <v>Y</v>
      </c>
      <c r="H24" s="121" t="str">
        <f>IFERROR(IF(VLOOKUP(TableHandbook[[#This Row],[UDC]],TableAvailabilities[],3,FALSE)&gt;0,"Y",""),"")</f>
        <v>Y</v>
      </c>
      <c r="I24" s="121" t="str">
        <f>IFERROR(IF(VLOOKUP(TableHandbook[[#This Row],[UDC]],TableAvailabilities[],4,FALSE)&gt;0,"Y",""),"")</f>
        <v/>
      </c>
      <c r="J24" s="172" t="str">
        <f>IFERROR(IF(VLOOKUP(TableHandbook[[#This Row],[UDC]],TableAvailabilities[],5,FALSE)&gt;0,"Y",""),"")</f>
        <v/>
      </c>
      <c r="K24" s="249"/>
      <c r="L24" s="269" t="str">
        <f>IFERROR(VLOOKUP(TableHandbook[[#This Row],[UDC]],TableOMTEACH1[],7,FALSE),"")</f>
        <v/>
      </c>
      <c r="M24" s="130" t="str">
        <f>IFERROR(VLOOKUP(TableHandbook[[#This Row],[UDC]],TableOUMPTCHEC[],7,FALSE),"")</f>
        <v/>
      </c>
      <c r="N24" s="130" t="str">
        <f>IFERROR(VLOOKUP(TableHandbook[[#This Row],[UDC]],TableOUMPTCHPE[],7,FALSE),"")</f>
        <v>Core</v>
      </c>
      <c r="O24" s="270" t="str">
        <f>IFERROR(VLOOKUP(TableHandbook[[#This Row],[UDC]],TableOUMPTCHSE[],7,FALSE),"")</f>
        <v/>
      </c>
      <c r="P24" s="271" t="str">
        <f>IFERROR(VLOOKUP(TableHandbook[[#This Row],[UDC]],TableOCTESOL1[],7,FALSE),"")</f>
        <v/>
      </c>
      <c r="Q24" s="187" t="str">
        <f>IFERROR(VLOOKUP(TableHandbook[[#This Row],[UDC]],TableOCTESOL[],7,FALSE),"")</f>
        <v/>
      </c>
      <c r="R24" s="272" t="str">
        <f>IFERROR(VLOOKUP(TableHandbook[[#This Row],[UDC]],TableOMAPLING[],7,FALSE),"")</f>
        <v/>
      </c>
      <c r="S24" s="271" t="str">
        <f>IFERROR(VLOOKUP(TableHandbook[[#This Row],[UDC]],TableOCEDHE1[],7,FALSE),"")</f>
        <v/>
      </c>
      <c r="T24" s="272" t="str">
        <f>IFERROR(VLOOKUP(TableHandbook[[#This Row],[UDC]],TableOCEDHE[],7,FALSE),"")</f>
        <v/>
      </c>
      <c r="U24" s="271" t="str">
        <f>IFERROR(VLOOKUP(TableHandbook[[#This Row],[UDC]],TableOCEDUCS1[],7,FALSE),"")</f>
        <v>Option</v>
      </c>
      <c r="V24" s="187" t="str">
        <f>IFERROR(VLOOKUP(TableHandbook[[#This Row],[UDC]],TableOCEDUC[],7,FALSE),"")</f>
        <v>Option</v>
      </c>
      <c r="W24" s="187" t="str">
        <f>IFERROR(VLOOKUP(TableHandbook[[#This Row],[UDC]],TableOGEDUC[],7,FALSE),"")</f>
        <v/>
      </c>
      <c r="X24" s="187" t="str">
        <f>IFERROR(VLOOKUP(TableHandbook[[#This Row],[UDC]],TableOUMPEDUPR[],7,FALSE),"")</f>
        <v>Core</v>
      </c>
      <c r="Y24" s="187" t="str">
        <f>IFERROR(VLOOKUP(TableHandbook[[#This Row],[UDC]],TableOUMPEDUSC[],7,FALSE),"")</f>
        <v/>
      </c>
      <c r="Z24" s="187" t="str">
        <f>IFERROR(VLOOKUP(TableHandbook[[#This Row],[UDC]],TableOMEDUC[],7,FALSE),"")</f>
        <v/>
      </c>
      <c r="AA24" s="187" t="str">
        <f>IFERROR(VLOOKUP(TableHandbook[[#This Row],[UDC]],TableOSEPCULIN[],7,FALSE),"")</f>
        <v/>
      </c>
      <c r="AB24" s="187" t="str">
        <f>IFERROR(VLOOKUP(TableHandbook[[#This Row],[UDC]],TableOSEPLNTCH[],7,FALSE),"")</f>
        <v/>
      </c>
      <c r="AC24" s="272" t="str">
        <f>IFERROR(VLOOKUP(TableHandbook[[#This Row],[UDC]],TableOSEPSTEME[],7,FALSE),"")</f>
        <v/>
      </c>
    </row>
    <row r="25" spans="1:29" x14ac:dyDescent="0.25">
      <c r="A25" s="3" t="s">
        <v>98</v>
      </c>
      <c r="B25" s="4">
        <v>1</v>
      </c>
      <c r="C25" s="3" t="s">
        <v>370</v>
      </c>
      <c r="D25" s="3" t="s">
        <v>371</v>
      </c>
      <c r="E25" s="4">
        <v>25</v>
      </c>
      <c r="F25" s="188" t="s">
        <v>365</v>
      </c>
      <c r="G25" s="120" t="str">
        <f>IFERROR(IF(VLOOKUP(TableHandbook[[#This Row],[UDC]],TableAvailabilities[],2,FALSE)&gt;0,"Y",""),"")</f>
        <v/>
      </c>
      <c r="H25" s="121" t="str">
        <f>IFERROR(IF(VLOOKUP(TableHandbook[[#This Row],[UDC]],TableAvailabilities[],3,FALSE)&gt;0,"Y",""),"")</f>
        <v>Y</v>
      </c>
      <c r="I25" s="121" t="str">
        <f>IFERROR(IF(VLOOKUP(TableHandbook[[#This Row],[UDC]],TableAvailabilities[],4,FALSE)&gt;0,"Y",""),"")</f>
        <v>Y</v>
      </c>
      <c r="J25" s="172" t="str">
        <f>IFERROR(IF(VLOOKUP(TableHandbook[[#This Row],[UDC]],TableAvailabilities[],5,FALSE)&gt;0,"Y",""),"")</f>
        <v/>
      </c>
      <c r="K25" s="249"/>
      <c r="L25" s="269" t="str">
        <f>IFERROR(VLOOKUP(TableHandbook[[#This Row],[UDC]],TableOMTEACH1[],7,FALSE),"")</f>
        <v/>
      </c>
      <c r="M25" s="130" t="str">
        <f>IFERROR(VLOOKUP(TableHandbook[[#This Row],[UDC]],TableOUMPTCHEC[],7,FALSE),"")</f>
        <v/>
      </c>
      <c r="N25" s="130" t="str">
        <f>IFERROR(VLOOKUP(TableHandbook[[#This Row],[UDC]],TableOUMPTCHPE[],7,FALSE),"")</f>
        <v>Core</v>
      </c>
      <c r="O25" s="270" t="str">
        <f>IFERROR(VLOOKUP(TableHandbook[[#This Row],[UDC]],TableOUMPTCHSE[],7,FALSE),"")</f>
        <v/>
      </c>
      <c r="P25" s="271" t="str">
        <f>IFERROR(VLOOKUP(TableHandbook[[#This Row],[UDC]],TableOCTESOL1[],7,FALSE),"")</f>
        <v/>
      </c>
      <c r="Q25" s="187" t="str">
        <f>IFERROR(VLOOKUP(TableHandbook[[#This Row],[UDC]],TableOCTESOL[],7,FALSE),"")</f>
        <v/>
      </c>
      <c r="R25" s="272" t="str">
        <f>IFERROR(VLOOKUP(TableHandbook[[#This Row],[UDC]],TableOMAPLING[],7,FALSE),"")</f>
        <v/>
      </c>
      <c r="S25" s="271" t="str">
        <f>IFERROR(VLOOKUP(TableHandbook[[#This Row],[UDC]],TableOCEDHE1[],7,FALSE),"")</f>
        <v/>
      </c>
      <c r="T25" s="272" t="str">
        <f>IFERROR(VLOOKUP(TableHandbook[[#This Row],[UDC]],TableOCEDHE[],7,FALSE),"")</f>
        <v/>
      </c>
      <c r="U25" s="271" t="str">
        <f>IFERROR(VLOOKUP(TableHandbook[[#This Row],[UDC]],TableOCEDUCS1[],7,FALSE),"")</f>
        <v/>
      </c>
      <c r="V25" s="187" t="str">
        <f>IFERROR(VLOOKUP(TableHandbook[[#This Row],[UDC]],TableOCEDUC[],7,FALSE),"")</f>
        <v/>
      </c>
      <c r="W25" s="187" t="str">
        <f>IFERROR(VLOOKUP(TableHandbook[[#This Row],[UDC]],TableOGEDUC[],7,FALSE),"")</f>
        <v/>
      </c>
      <c r="X25" s="187" t="str">
        <f>IFERROR(VLOOKUP(TableHandbook[[#This Row],[UDC]],TableOUMPEDUPR[],7,FALSE),"")</f>
        <v>Core</v>
      </c>
      <c r="Y25" s="187" t="str">
        <f>IFERROR(VLOOKUP(TableHandbook[[#This Row],[UDC]],TableOUMPEDUSC[],7,FALSE),"")</f>
        <v/>
      </c>
      <c r="Z25" s="187" t="str">
        <f>IFERROR(VLOOKUP(TableHandbook[[#This Row],[UDC]],TableOMEDUC[],7,FALSE),"")</f>
        <v/>
      </c>
      <c r="AA25" s="187" t="str">
        <f>IFERROR(VLOOKUP(TableHandbook[[#This Row],[UDC]],TableOSEPCULIN[],7,FALSE),"")</f>
        <v/>
      </c>
      <c r="AB25" s="187" t="str">
        <f>IFERROR(VLOOKUP(TableHandbook[[#This Row],[UDC]],TableOSEPLNTCH[],7,FALSE),"")</f>
        <v/>
      </c>
      <c r="AC25" s="272" t="str">
        <f>IFERROR(VLOOKUP(TableHandbook[[#This Row],[UDC]],TableOSEPSTEME[],7,FALSE),"")</f>
        <v/>
      </c>
    </row>
    <row r="26" spans="1:29" x14ac:dyDescent="0.25">
      <c r="A26" s="3" t="s">
        <v>112</v>
      </c>
      <c r="B26" s="4">
        <v>2</v>
      </c>
      <c r="C26" s="3" t="s">
        <v>372</v>
      </c>
      <c r="D26" s="3" t="s">
        <v>373</v>
      </c>
      <c r="E26" s="4">
        <v>25</v>
      </c>
      <c r="F26" s="188" t="s">
        <v>333</v>
      </c>
      <c r="G26" s="120" t="str">
        <f>IFERROR(IF(VLOOKUP(TableHandbook[[#This Row],[UDC]],TableAvailabilities[],2,FALSE)&gt;0,"Y",""),"")</f>
        <v/>
      </c>
      <c r="H26" s="121" t="str">
        <f>IFERROR(IF(VLOOKUP(TableHandbook[[#This Row],[UDC]],TableAvailabilities[],3,FALSE)&gt;0,"Y",""),"")</f>
        <v>Y</v>
      </c>
      <c r="I26" s="121" t="str">
        <f>IFERROR(IF(VLOOKUP(TableHandbook[[#This Row],[UDC]],TableAvailabilities[],4,FALSE)&gt;0,"Y",""),"")</f>
        <v/>
      </c>
      <c r="J26" s="172" t="str">
        <f>IFERROR(IF(VLOOKUP(TableHandbook[[#This Row],[UDC]],TableAvailabilities[],5,FALSE)&gt;0,"Y",""),"")</f>
        <v/>
      </c>
      <c r="K26" s="249" t="s">
        <v>374</v>
      </c>
      <c r="L26" s="269" t="str">
        <f>IFERROR(VLOOKUP(TableHandbook[[#This Row],[UDC]],TableOMTEACH1[],7,FALSE),"")</f>
        <v/>
      </c>
      <c r="M26" s="130" t="str">
        <f>IFERROR(VLOOKUP(TableHandbook[[#This Row],[UDC]],TableOUMPTCHEC[],7,FALSE),"")</f>
        <v/>
      </c>
      <c r="N26" s="130" t="str">
        <f>IFERROR(VLOOKUP(TableHandbook[[#This Row],[UDC]],TableOUMPTCHPE[],7,FALSE),"")</f>
        <v>Core</v>
      </c>
      <c r="O26" s="270" t="str">
        <f>IFERROR(VLOOKUP(TableHandbook[[#This Row],[UDC]],TableOUMPTCHSE[],7,FALSE),"")</f>
        <v/>
      </c>
      <c r="P26" s="271" t="str">
        <f>IFERROR(VLOOKUP(TableHandbook[[#This Row],[UDC]],TableOCTESOL1[],7,FALSE),"")</f>
        <v/>
      </c>
      <c r="Q26" s="187" t="str">
        <f>IFERROR(VLOOKUP(TableHandbook[[#This Row],[UDC]],TableOCTESOL[],7,FALSE),"")</f>
        <v/>
      </c>
      <c r="R26" s="272" t="str">
        <f>IFERROR(VLOOKUP(TableHandbook[[#This Row],[UDC]],TableOMAPLING[],7,FALSE),"")</f>
        <v/>
      </c>
      <c r="S26" s="271" t="str">
        <f>IFERROR(VLOOKUP(TableHandbook[[#This Row],[UDC]],TableOCEDHE1[],7,FALSE),"")</f>
        <v/>
      </c>
      <c r="T26" s="272" t="str">
        <f>IFERROR(VLOOKUP(TableHandbook[[#This Row],[UDC]],TableOCEDHE[],7,FALSE),"")</f>
        <v/>
      </c>
      <c r="U26" s="271" t="str">
        <f>IFERROR(VLOOKUP(TableHandbook[[#This Row],[UDC]],TableOCEDUCS1[],7,FALSE),"")</f>
        <v/>
      </c>
      <c r="V26" s="187" t="str">
        <f>IFERROR(VLOOKUP(TableHandbook[[#This Row],[UDC]],TableOCEDUC[],7,FALSE),"")</f>
        <v/>
      </c>
      <c r="W26" s="187" t="str">
        <f>IFERROR(VLOOKUP(TableHandbook[[#This Row],[UDC]],TableOGEDUC[],7,FALSE),"")</f>
        <v/>
      </c>
      <c r="X26" s="187" t="str">
        <f>IFERROR(VLOOKUP(TableHandbook[[#This Row],[UDC]],TableOUMPEDUPR[],7,FALSE),"")</f>
        <v/>
      </c>
      <c r="Y26" s="187" t="str">
        <f>IFERROR(VLOOKUP(TableHandbook[[#This Row],[UDC]],TableOUMPEDUSC[],7,FALSE),"")</f>
        <v/>
      </c>
      <c r="Z26" s="187" t="str">
        <f>IFERROR(VLOOKUP(TableHandbook[[#This Row],[UDC]],TableOMEDUC[],7,FALSE),"")</f>
        <v/>
      </c>
      <c r="AA26" s="187" t="str">
        <f>IFERROR(VLOOKUP(TableHandbook[[#This Row],[UDC]],TableOSEPCULIN[],7,FALSE),"")</f>
        <v/>
      </c>
      <c r="AB26" s="187" t="str">
        <f>IFERROR(VLOOKUP(TableHandbook[[#This Row],[UDC]],TableOSEPLNTCH[],7,FALSE),"")</f>
        <v/>
      </c>
      <c r="AC26" s="272" t="str">
        <f>IFERROR(VLOOKUP(TableHandbook[[#This Row],[UDC]],TableOSEPSTEME[],7,FALSE),"")</f>
        <v/>
      </c>
    </row>
    <row r="27" spans="1:29" x14ac:dyDescent="0.25">
      <c r="A27" s="3" t="s">
        <v>375</v>
      </c>
      <c r="B27" s="4">
        <v>1</v>
      </c>
      <c r="C27" s="3" t="s">
        <v>372</v>
      </c>
      <c r="D27" s="3" t="s">
        <v>376</v>
      </c>
      <c r="E27" s="4">
        <v>25</v>
      </c>
      <c r="F27" s="188" t="s">
        <v>333</v>
      </c>
      <c r="G27" s="120" t="str">
        <f>IFERROR(IF(VLOOKUP(TableHandbook[[#This Row],[UDC]],TableAvailabilities[],2,FALSE)&gt;0,"Y",""),"")</f>
        <v/>
      </c>
      <c r="H27" s="121" t="str">
        <f>IFERROR(IF(VLOOKUP(TableHandbook[[#This Row],[UDC]],TableAvailabilities[],3,FALSE)&gt;0,"Y",""),"")</f>
        <v/>
      </c>
      <c r="I27" s="121" t="str">
        <f>IFERROR(IF(VLOOKUP(TableHandbook[[#This Row],[UDC]],TableAvailabilities[],4,FALSE)&gt;0,"Y",""),"")</f>
        <v/>
      </c>
      <c r="J27" s="172" t="str">
        <f>IFERROR(IF(VLOOKUP(TableHandbook[[#This Row],[UDC]],TableAvailabilities[],5,FALSE)&gt;0,"Y",""),"")</f>
        <v/>
      </c>
      <c r="K27" s="249"/>
      <c r="L27" s="269" t="str">
        <f>IFERROR(VLOOKUP(TableHandbook[[#This Row],[UDC]],TableOMTEACH1[],7,FALSE),"")</f>
        <v/>
      </c>
      <c r="M27" s="130" t="str">
        <f>IFERROR(VLOOKUP(TableHandbook[[#This Row],[UDC]],TableOUMPTCHEC[],7,FALSE),"")</f>
        <v/>
      </c>
      <c r="N27" s="130" t="str">
        <f>IFERROR(VLOOKUP(TableHandbook[[#This Row],[UDC]],TableOUMPTCHPE[],7,FALSE),"")</f>
        <v/>
      </c>
      <c r="O27" s="270" t="str">
        <f>IFERROR(VLOOKUP(TableHandbook[[#This Row],[UDC]],TableOUMPTCHSE[],7,FALSE),"")</f>
        <v/>
      </c>
      <c r="P27" s="271" t="str">
        <f>IFERROR(VLOOKUP(TableHandbook[[#This Row],[UDC]],TableOCTESOL1[],7,FALSE),"")</f>
        <v/>
      </c>
      <c r="Q27" s="187" t="str">
        <f>IFERROR(VLOOKUP(TableHandbook[[#This Row],[UDC]],TableOCTESOL[],7,FALSE),"")</f>
        <v/>
      </c>
      <c r="R27" s="272" t="str">
        <f>IFERROR(VLOOKUP(TableHandbook[[#This Row],[UDC]],TableOMAPLING[],7,FALSE),"")</f>
        <v/>
      </c>
      <c r="S27" s="271" t="str">
        <f>IFERROR(VLOOKUP(TableHandbook[[#This Row],[UDC]],TableOCEDHE1[],7,FALSE),"")</f>
        <v/>
      </c>
      <c r="T27" s="272" t="str">
        <f>IFERROR(VLOOKUP(TableHandbook[[#This Row],[UDC]],TableOCEDHE[],7,FALSE),"")</f>
        <v/>
      </c>
      <c r="U27" s="271" t="str">
        <f>IFERROR(VLOOKUP(TableHandbook[[#This Row],[UDC]],TableOCEDUCS1[],7,FALSE),"")</f>
        <v/>
      </c>
      <c r="V27" s="187" t="str">
        <f>IFERROR(VLOOKUP(TableHandbook[[#This Row],[UDC]],TableOCEDUC[],7,FALSE),"")</f>
        <v/>
      </c>
      <c r="W27" s="187" t="str">
        <f>IFERROR(VLOOKUP(TableHandbook[[#This Row],[UDC]],TableOGEDUC[],7,FALSE),"")</f>
        <v/>
      </c>
      <c r="X27" s="187" t="str">
        <f>IFERROR(VLOOKUP(TableHandbook[[#This Row],[UDC]],TableOUMPEDUPR[],7,FALSE),"")</f>
        <v/>
      </c>
      <c r="Y27" s="187" t="str">
        <f>IFERROR(VLOOKUP(TableHandbook[[#This Row],[UDC]],TableOUMPEDUSC[],7,FALSE),"")</f>
        <v/>
      </c>
      <c r="Z27" s="187" t="str">
        <f>IFERROR(VLOOKUP(TableHandbook[[#This Row],[UDC]],TableOMEDUC[],7,FALSE),"")</f>
        <v/>
      </c>
      <c r="AA27" s="187" t="str">
        <f>IFERROR(VLOOKUP(TableHandbook[[#This Row],[UDC]],TableOSEPCULIN[],7,FALSE),"")</f>
        <v/>
      </c>
      <c r="AB27" s="187" t="str">
        <f>IFERROR(VLOOKUP(TableHandbook[[#This Row],[UDC]],TableOSEPLNTCH[],7,FALSE),"")</f>
        <v/>
      </c>
      <c r="AC27" s="272" t="str">
        <f>IFERROR(VLOOKUP(TableHandbook[[#This Row],[UDC]],TableOSEPSTEME[],7,FALSE),"")</f>
        <v/>
      </c>
    </row>
    <row r="28" spans="1:29" x14ac:dyDescent="0.25">
      <c r="A28" s="3" t="s">
        <v>111</v>
      </c>
      <c r="B28" s="4">
        <v>1</v>
      </c>
      <c r="C28" s="3" t="s">
        <v>377</v>
      </c>
      <c r="D28" s="3" t="s">
        <v>378</v>
      </c>
      <c r="E28" s="4">
        <v>25</v>
      </c>
      <c r="F28" s="188" t="s">
        <v>333</v>
      </c>
      <c r="G28" s="120" t="str">
        <f>IFERROR(IF(VLOOKUP(TableHandbook[[#This Row],[UDC]],TableAvailabilities[],2,FALSE)&gt;0,"Y",""),"")</f>
        <v>Y</v>
      </c>
      <c r="H28" s="121" t="str">
        <f>IFERROR(IF(VLOOKUP(TableHandbook[[#This Row],[UDC]],TableAvailabilities[],3,FALSE)&gt;0,"Y",""),"")</f>
        <v/>
      </c>
      <c r="I28" s="121" t="str">
        <f>IFERROR(IF(VLOOKUP(TableHandbook[[#This Row],[UDC]],TableAvailabilities[],4,FALSE)&gt;0,"Y",""),"")</f>
        <v/>
      </c>
      <c r="J28" s="172" t="str">
        <f>IFERROR(IF(VLOOKUP(TableHandbook[[#This Row],[UDC]],TableAvailabilities[],5,FALSE)&gt;0,"Y",""),"")</f>
        <v/>
      </c>
      <c r="K28" s="249"/>
      <c r="L28" s="269" t="str">
        <f>IFERROR(VLOOKUP(TableHandbook[[#This Row],[UDC]],TableOMTEACH1[],7,FALSE),"")</f>
        <v/>
      </c>
      <c r="M28" s="130" t="str">
        <f>IFERROR(VLOOKUP(TableHandbook[[#This Row],[UDC]],TableOUMPTCHEC[],7,FALSE),"")</f>
        <v/>
      </c>
      <c r="N28" s="130" t="str">
        <f>IFERROR(VLOOKUP(TableHandbook[[#This Row],[UDC]],TableOUMPTCHPE[],7,FALSE),"")</f>
        <v>Core</v>
      </c>
      <c r="O28" s="270" t="str">
        <f>IFERROR(VLOOKUP(TableHandbook[[#This Row],[UDC]],TableOUMPTCHSE[],7,FALSE),"")</f>
        <v/>
      </c>
      <c r="P28" s="271" t="str">
        <f>IFERROR(VLOOKUP(TableHandbook[[#This Row],[UDC]],TableOCTESOL1[],7,FALSE),"")</f>
        <v/>
      </c>
      <c r="Q28" s="187" t="str">
        <f>IFERROR(VLOOKUP(TableHandbook[[#This Row],[UDC]],TableOCTESOL[],7,FALSE),"")</f>
        <v/>
      </c>
      <c r="R28" s="272" t="str">
        <f>IFERROR(VLOOKUP(TableHandbook[[#This Row],[UDC]],TableOMAPLING[],7,FALSE),"")</f>
        <v/>
      </c>
      <c r="S28" s="271" t="str">
        <f>IFERROR(VLOOKUP(TableHandbook[[#This Row],[UDC]],TableOCEDHE1[],7,FALSE),"")</f>
        <v/>
      </c>
      <c r="T28" s="272" t="str">
        <f>IFERROR(VLOOKUP(TableHandbook[[#This Row],[UDC]],TableOCEDHE[],7,FALSE),"")</f>
        <v/>
      </c>
      <c r="U28" s="271" t="str">
        <f>IFERROR(VLOOKUP(TableHandbook[[#This Row],[UDC]],TableOCEDUCS1[],7,FALSE),"")</f>
        <v>Option</v>
      </c>
      <c r="V28" s="187" t="str">
        <f>IFERROR(VLOOKUP(TableHandbook[[#This Row],[UDC]],TableOCEDUC[],7,FALSE),"")</f>
        <v>Option</v>
      </c>
      <c r="W28" s="187" t="str">
        <f>IFERROR(VLOOKUP(TableHandbook[[#This Row],[UDC]],TableOGEDUC[],7,FALSE),"")</f>
        <v/>
      </c>
      <c r="X28" s="187" t="str">
        <f>IFERROR(VLOOKUP(TableHandbook[[#This Row],[UDC]],TableOUMPEDUPR[],7,FALSE),"")</f>
        <v/>
      </c>
      <c r="Y28" s="187" t="str">
        <f>IFERROR(VLOOKUP(TableHandbook[[#This Row],[UDC]],TableOUMPEDUSC[],7,FALSE),"")</f>
        <v/>
      </c>
      <c r="Z28" s="187" t="str">
        <f>IFERROR(VLOOKUP(TableHandbook[[#This Row],[UDC]],TableOMEDUC[],7,FALSE),"")</f>
        <v/>
      </c>
      <c r="AA28" s="187" t="str">
        <f>IFERROR(VLOOKUP(TableHandbook[[#This Row],[UDC]],TableOSEPCULIN[],7,FALSE),"")</f>
        <v/>
      </c>
      <c r="AB28" s="187" t="str">
        <f>IFERROR(VLOOKUP(TableHandbook[[#This Row],[UDC]],TableOSEPLNTCH[],7,FALSE),"")</f>
        <v/>
      </c>
      <c r="AC28" s="272" t="str">
        <f>IFERROR(VLOOKUP(TableHandbook[[#This Row],[UDC]],TableOSEPSTEME[],7,FALSE),"")</f>
        <v/>
      </c>
    </row>
    <row r="29" spans="1:29" x14ac:dyDescent="0.25">
      <c r="A29" s="3" t="s">
        <v>103</v>
      </c>
      <c r="B29" s="4">
        <v>1</v>
      </c>
      <c r="C29" s="3" t="s">
        <v>379</v>
      </c>
      <c r="D29" s="3" t="s">
        <v>380</v>
      </c>
      <c r="E29" s="4">
        <v>25</v>
      </c>
      <c r="F29" s="188" t="s">
        <v>333</v>
      </c>
      <c r="G29" s="120" t="str">
        <f>IFERROR(IF(VLOOKUP(TableHandbook[[#This Row],[UDC]],TableAvailabilities[],2,FALSE)&gt;0,"Y",""),"")</f>
        <v/>
      </c>
      <c r="H29" s="121" t="str">
        <f>IFERROR(IF(VLOOKUP(TableHandbook[[#This Row],[UDC]],TableAvailabilities[],3,FALSE)&gt;0,"Y",""),"")</f>
        <v/>
      </c>
      <c r="I29" s="121" t="str">
        <f>IFERROR(IF(VLOOKUP(TableHandbook[[#This Row],[UDC]],TableAvailabilities[],4,FALSE)&gt;0,"Y",""),"")</f>
        <v/>
      </c>
      <c r="J29" s="172" t="str">
        <f>IFERROR(IF(VLOOKUP(TableHandbook[[#This Row],[UDC]],TableAvailabilities[],5,FALSE)&gt;0,"Y",""),"")</f>
        <v>Y</v>
      </c>
      <c r="K29" s="249"/>
      <c r="L29" s="269" t="str">
        <f>IFERROR(VLOOKUP(TableHandbook[[#This Row],[UDC]],TableOMTEACH1[],7,FALSE),"")</f>
        <v/>
      </c>
      <c r="M29" s="130" t="str">
        <f>IFERROR(VLOOKUP(TableHandbook[[#This Row],[UDC]],TableOUMPTCHEC[],7,FALSE),"")</f>
        <v/>
      </c>
      <c r="N29" s="130" t="str">
        <f>IFERROR(VLOOKUP(TableHandbook[[#This Row],[UDC]],TableOUMPTCHPE[],7,FALSE),"")</f>
        <v>Core</v>
      </c>
      <c r="O29" s="270" t="str">
        <f>IFERROR(VLOOKUP(TableHandbook[[#This Row],[UDC]],TableOUMPTCHSE[],7,FALSE),"")</f>
        <v/>
      </c>
      <c r="P29" s="271" t="str">
        <f>IFERROR(VLOOKUP(TableHandbook[[#This Row],[UDC]],TableOCTESOL1[],7,FALSE),"")</f>
        <v/>
      </c>
      <c r="Q29" s="187" t="str">
        <f>IFERROR(VLOOKUP(TableHandbook[[#This Row],[UDC]],TableOCTESOL[],7,FALSE),"")</f>
        <v/>
      </c>
      <c r="R29" s="272" t="str">
        <f>IFERROR(VLOOKUP(TableHandbook[[#This Row],[UDC]],TableOMAPLING[],7,FALSE),"")</f>
        <v/>
      </c>
      <c r="S29" s="271" t="str">
        <f>IFERROR(VLOOKUP(TableHandbook[[#This Row],[UDC]],TableOCEDHE1[],7,FALSE),"")</f>
        <v/>
      </c>
      <c r="T29" s="272" t="str">
        <f>IFERROR(VLOOKUP(TableHandbook[[#This Row],[UDC]],TableOCEDHE[],7,FALSE),"")</f>
        <v/>
      </c>
      <c r="U29" s="271" t="str">
        <f>IFERROR(VLOOKUP(TableHandbook[[#This Row],[UDC]],TableOCEDUCS1[],7,FALSE),"")</f>
        <v>Option</v>
      </c>
      <c r="V29" s="187" t="str">
        <f>IFERROR(VLOOKUP(TableHandbook[[#This Row],[UDC]],TableOCEDUC[],7,FALSE),"")</f>
        <v>Option</v>
      </c>
      <c r="W29" s="187" t="str">
        <f>IFERROR(VLOOKUP(TableHandbook[[#This Row],[UDC]],TableOGEDUC[],7,FALSE),"")</f>
        <v/>
      </c>
      <c r="X29" s="187" t="str">
        <f>IFERROR(VLOOKUP(TableHandbook[[#This Row],[UDC]],TableOUMPEDUPR[],7,FALSE),"")</f>
        <v/>
      </c>
      <c r="Y29" s="187" t="str">
        <f>IFERROR(VLOOKUP(TableHandbook[[#This Row],[UDC]],TableOUMPEDUSC[],7,FALSE),"")</f>
        <v/>
      </c>
      <c r="Z29" s="187" t="str">
        <f>IFERROR(VLOOKUP(TableHandbook[[#This Row],[UDC]],TableOMEDUC[],7,FALSE),"")</f>
        <v/>
      </c>
      <c r="AA29" s="187" t="str">
        <f>IFERROR(VLOOKUP(TableHandbook[[#This Row],[UDC]],TableOSEPCULIN[],7,FALSE),"")</f>
        <v/>
      </c>
      <c r="AB29" s="187" t="str">
        <f>IFERROR(VLOOKUP(TableHandbook[[#This Row],[UDC]],TableOSEPLNTCH[],7,FALSE),"")</f>
        <v/>
      </c>
      <c r="AC29" s="272" t="str">
        <f>IFERROR(VLOOKUP(TableHandbook[[#This Row],[UDC]],TableOSEPSTEME[],7,FALSE),"")</f>
        <v/>
      </c>
    </row>
    <row r="30" spans="1:29" x14ac:dyDescent="0.25">
      <c r="A30" s="3" t="s">
        <v>120</v>
      </c>
      <c r="B30" s="4">
        <v>1</v>
      </c>
      <c r="C30" s="3" t="s">
        <v>381</v>
      </c>
      <c r="D30" s="3" t="s">
        <v>382</v>
      </c>
      <c r="E30" s="4">
        <v>25</v>
      </c>
      <c r="F30" s="188" t="s">
        <v>365</v>
      </c>
      <c r="G30" s="120" t="str">
        <f>IFERROR(IF(VLOOKUP(TableHandbook[[#This Row],[UDC]],TableAvailabilities[],2,FALSE)&gt;0,"Y",""),"")</f>
        <v/>
      </c>
      <c r="H30" s="121" t="str">
        <f>IFERROR(IF(VLOOKUP(TableHandbook[[#This Row],[UDC]],TableAvailabilities[],3,FALSE)&gt;0,"Y",""),"")</f>
        <v/>
      </c>
      <c r="I30" s="121" t="str">
        <f>IFERROR(IF(VLOOKUP(TableHandbook[[#This Row],[UDC]],TableAvailabilities[],4,FALSE)&gt;0,"Y",""),"")</f>
        <v>Y</v>
      </c>
      <c r="J30" s="172" t="str">
        <f>IFERROR(IF(VLOOKUP(TableHandbook[[#This Row],[UDC]],TableAvailabilities[],5,FALSE)&gt;0,"Y",""),"")</f>
        <v/>
      </c>
      <c r="K30" s="249"/>
      <c r="L30" s="269" t="str">
        <f>IFERROR(VLOOKUP(TableHandbook[[#This Row],[UDC]],TableOMTEACH1[],7,FALSE),"")</f>
        <v/>
      </c>
      <c r="M30" s="130" t="str">
        <f>IFERROR(VLOOKUP(TableHandbook[[#This Row],[UDC]],TableOUMPTCHEC[],7,FALSE),"")</f>
        <v/>
      </c>
      <c r="N30" s="130" t="str">
        <f>IFERROR(VLOOKUP(TableHandbook[[#This Row],[UDC]],TableOUMPTCHPE[],7,FALSE),"")</f>
        <v>Core</v>
      </c>
      <c r="O30" s="270" t="str">
        <f>IFERROR(VLOOKUP(TableHandbook[[#This Row],[UDC]],TableOUMPTCHSE[],7,FALSE),"")</f>
        <v/>
      </c>
      <c r="P30" s="271" t="str">
        <f>IFERROR(VLOOKUP(TableHandbook[[#This Row],[UDC]],TableOCTESOL1[],7,FALSE),"")</f>
        <v/>
      </c>
      <c r="Q30" s="187" t="str">
        <f>IFERROR(VLOOKUP(TableHandbook[[#This Row],[UDC]],TableOCTESOL[],7,FALSE),"")</f>
        <v/>
      </c>
      <c r="R30" s="272" t="str">
        <f>IFERROR(VLOOKUP(TableHandbook[[#This Row],[UDC]],TableOMAPLING[],7,FALSE),"")</f>
        <v/>
      </c>
      <c r="S30" s="271" t="str">
        <f>IFERROR(VLOOKUP(TableHandbook[[#This Row],[UDC]],TableOCEDHE1[],7,FALSE),"")</f>
        <v/>
      </c>
      <c r="T30" s="272" t="str">
        <f>IFERROR(VLOOKUP(TableHandbook[[#This Row],[UDC]],TableOCEDHE[],7,FALSE),"")</f>
        <v/>
      </c>
      <c r="U30" s="271" t="str">
        <f>IFERROR(VLOOKUP(TableHandbook[[#This Row],[UDC]],TableOCEDUCS1[],7,FALSE),"")</f>
        <v/>
      </c>
      <c r="V30" s="187" t="str">
        <f>IFERROR(VLOOKUP(TableHandbook[[#This Row],[UDC]],TableOCEDUC[],7,FALSE),"")</f>
        <v/>
      </c>
      <c r="W30" s="187" t="str">
        <f>IFERROR(VLOOKUP(TableHandbook[[#This Row],[UDC]],TableOGEDUC[],7,FALSE),"")</f>
        <v/>
      </c>
      <c r="X30" s="187" t="str">
        <f>IFERROR(VLOOKUP(TableHandbook[[#This Row],[UDC]],TableOUMPEDUPR[],7,FALSE),"")</f>
        <v/>
      </c>
      <c r="Y30" s="187" t="str">
        <f>IFERROR(VLOOKUP(TableHandbook[[#This Row],[UDC]],TableOUMPEDUSC[],7,FALSE),"")</f>
        <v/>
      </c>
      <c r="Z30" s="187" t="str">
        <f>IFERROR(VLOOKUP(TableHandbook[[#This Row],[UDC]],TableOMEDUC[],7,FALSE),"")</f>
        <v/>
      </c>
      <c r="AA30" s="187" t="str">
        <f>IFERROR(VLOOKUP(TableHandbook[[#This Row],[UDC]],TableOSEPCULIN[],7,FALSE),"")</f>
        <v/>
      </c>
      <c r="AB30" s="187" t="str">
        <f>IFERROR(VLOOKUP(TableHandbook[[#This Row],[UDC]],TableOSEPLNTCH[],7,FALSE),"")</f>
        <v/>
      </c>
      <c r="AC30" s="272" t="str">
        <f>IFERROR(VLOOKUP(TableHandbook[[#This Row],[UDC]],TableOSEPSTEME[],7,FALSE),"")</f>
        <v/>
      </c>
    </row>
    <row r="31" spans="1:29" x14ac:dyDescent="0.25">
      <c r="A31" s="3" t="s">
        <v>257</v>
      </c>
      <c r="B31" s="4">
        <v>1</v>
      </c>
      <c r="C31" s="3" t="s">
        <v>383</v>
      </c>
      <c r="D31" s="3" t="s">
        <v>384</v>
      </c>
      <c r="E31" s="4">
        <v>25</v>
      </c>
      <c r="F31" s="188" t="s">
        <v>333</v>
      </c>
      <c r="G31" s="120" t="str">
        <f>IFERROR(IF(VLOOKUP(TableHandbook[[#This Row],[UDC]],TableAvailabilities[],2,FALSE)&gt;0,"Y",""),"")</f>
        <v>Y</v>
      </c>
      <c r="H31" s="121" t="str">
        <f>IFERROR(IF(VLOOKUP(TableHandbook[[#This Row],[UDC]],TableAvailabilities[],3,FALSE)&gt;0,"Y",""),"")</f>
        <v>Y</v>
      </c>
      <c r="I31" s="121" t="str">
        <f>IFERROR(IF(VLOOKUP(TableHandbook[[#This Row],[UDC]],TableAvailabilities[],4,FALSE)&gt;0,"Y",""),"")</f>
        <v/>
      </c>
      <c r="J31" s="172" t="str">
        <f>IFERROR(IF(VLOOKUP(TableHandbook[[#This Row],[UDC]],TableAvailabilities[],5,FALSE)&gt;0,"Y",""),"")</f>
        <v/>
      </c>
      <c r="K31" s="249"/>
      <c r="L31" s="269" t="str">
        <f>IFERROR(VLOOKUP(TableHandbook[[#This Row],[UDC]],TableOMTEACH1[],7,FALSE),"")</f>
        <v/>
      </c>
      <c r="M31" s="130" t="str">
        <f>IFERROR(VLOOKUP(TableHandbook[[#This Row],[UDC]],TableOUMPTCHEC[],7,FALSE),"")</f>
        <v/>
      </c>
      <c r="N31" s="130" t="str">
        <f>IFERROR(VLOOKUP(TableHandbook[[#This Row],[UDC]],TableOUMPTCHPE[],7,FALSE),"")</f>
        <v/>
      </c>
      <c r="O31" s="270" t="str">
        <f>IFERROR(VLOOKUP(TableHandbook[[#This Row],[UDC]],TableOUMPTCHSE[],7,FALSE),"")</f>
        <v>Core</v>
      </c>
      <c r="P31" s="271" t="str">
        <f>IFERROR(VLOOKUP(TableHandbook[[#This Row],[UDC]],TableOCTESOL1[],7,FALSE),"")</f>
        <v/>
      </c>
      <c r="Q31" s="187" t="str">
        <f>IFERROR(VLOOKUP(TableHandbook[[#This Row],[UDC]],TableOCTESOL[],7,FALSE),"")</f>
        <v/>
      </c>
      <c r="R31" s="272" t="str">
        <f>IFERROR(VLOOKUP(TableHandbook[[#This Row],[UDC]],TableOMAPLING[],7,FALSE),"")</f>
        <v/>
      </c>
      <c r="S31" s="271" t="str">
        <f>IFERROR(VLOOKUP(TableHandbook[[#This Row],[UDC]],TableOCEDHE1[],7,FALSE),"")</f>
        <v/>
      </c>
      <c r="T31" s="272" t="str">
        <f>IFERROR(VLOOKUP(TableHandbook[[#This Row],[UDC]],TableOCEDHE[],7,FALSE),"")</f>
        <v/>
      </c>
      <c r="U31" s="271" t="str">
        <f>IFERROR(VLOOKUP(TableHandbook[[#This Row],[UDC]],TableOCEDUCS1[],7,FALSE),"")</f>
        <v/>
      </c>
      <c r="V31" s="187" t="str">
        <f>IFERROR(VLOOKUP(TableHandbook[[#This Row],[UDC]],TableOCEDUC[],7,FALSE),"")</f>
        <v/>
      </c>
      <c r="W31" s="187" t="str">
        <f>IFERROR(VLOOKUP(TableHandbook[[#This Row],[UDC]],TableOGEDUC[],7,FALSE),"")</f>
        <v/>
      </c>
      <c r="X31" s="187" t="str">
        <f>IFERROR(VLOOKUP(TableHandbook[[#This Row],[UDC]],TableOUMPEDUPR[],7,FALSE),"")</f>
        <v/>
      </c>
      <c r="Y31" s="187" t="str">
        <f>IFERROR(VLOOKUP(TableHandbook[[#This Row],[UDC]],TableOUMPEDUSC[],7,FALSE),"")</f>
        <v>Core</v>
      </c>
      <c r="Z31" s="187" t="str">
        <f>IFERROR(VLOOKUP(TableHandbook[[#This Row],[UDC]],TableOMEDUC[],7,FALSE),"")</f>
        <v/>
      </c>
      <c r="AA31" s="187" t="str">
        <f>IFERROR(VLOOKUP(TableHandbook[[#This Row],[UDC]],TableOSEPCULIN[],7,FALSE),"")</f>
        <v/>
      </c>
      <c r="AB31" s="187" t="str">
        <f>IFERROR(VLOOKUP(TableHandbook[[#This Row],[UDC]],TableOSEPLNTCH[],7,FALSE),"")</f>
        <v/>
      </c>
      <c r="AC31" s="272" t="str">
        <f>IFERROR(VLOOKUP(TableHandbook[[#This Row],[UDC]],TableOSEPSTEME[],7,FALSE),"")</f>
        <v/>
      </c>
    </row>
    <row r="32" spans="1:29" x14ac:dyDescent="0.25">
      <c r="A32" s="3" t="s">
        <v>258</v>
      </c>
      <c r="B32" s="4">
        <v>1</v>
      </c>
      <c r="C32" s="3" t="s">
        <v>385</v>
      </c>
      <c r="D32" s="3" t="s">
        <v>386</v>
      </c>
      <c r="E32" s="4">
        <v>25</v>
      </c>
      <c r="F32" s="188" t="s">
        <v>333</v>
      </c>
      <c r="G32" s="120" t="str">
        <f>IFERROR(IF(VLOOKUP(TableHandbook[[#This Row],[UDC]],TableAvailabilities[],2,FALSE)&gt;0,"Y",""),"")</f>
        <v/>
      </c>
      <c r="H32" s="121" t="str">
        <f>IFERROR(IF(VLOOKUP(TableHandbook[[#This Row],[UDC]],TableAvailabilities[],3,FALSE)&gt;0,"Y",""),"")</f>
        <v>Y</v>
      </c>
      <c r="I32" s="121" t="str">
        <f>IFERROR(IF(VLOOKUP(TableHandbook[[#This Row],[UDC]],TableAvailabilities[],4,FALSE)&gt;0,"Y",""),"")</f>
        <v/>
      </c>
      <c r="J32" s="172" t="str">
        <f>IFERROR(IF(VLOOKUP(TableHandbook[[#This Row],[UDC]],TableAvailabilities[],5,FALSE)&gt;0,"Y",""),"")</f>
        <v>Y</v>
      </c>
      <c r="K32" s="249"/>
      <c r="L32" s="269" t="str">
        <f>IFERROR(VLOOKUP(TableHandbook[[#This Row],[UDC]],TableOMTEACH1[],7,FALSE),"")</f>
        <v/>
      </c>
      <c r="M32" s="130" t="str">
        <f>IFERROR(VLOOKUP(TableHandbook[[#This Row],[UDC]],TableOUMPTCHEC[],7,FALSE),"")</f>
        <v/>
      </c>
      <c r="N32" s="130" t="str">
        <f>IFERROR(VLOOKUP(TableHandbook[[#This Row],[UDC]],TableOUMPTCHPE[],7,FALSE),"")</f>
        <v/>
      </c>
      <c r="O32" s="270" t="str">
        <f>IFERROR(VLOOKUP(TableHandbook[[#This Row],[UDC]],TableOUMPTCHSE[],7,FALSE),"")</f>
        <v>Core</v>
      </c>
      <c r="P32" s="271" t="str">
        <f>IFERROR(VLOOKUP(TableHandbook[[#This Row],[UDC]],TableOCTESOL1[],7,FALSE),"")</f>
        <v/>
      </c>
      <c r="Q32" s="187" t="str">
        <f>IFERROR(VLOOKUP(TableHandbook[[#This Row],[UDC]],TableOCTESOL[],7,FALSE),"")</f>
        <v/>
      </c>
      <c r="R32" s="272" t="str">
        <f>IFERROR(VLOOKUP(TableHandbook[[#This Row],[UDC]],TableOMAPLING[],7,FALSE),"")</f>
        <v/>
      </c>
      <c r="S32" s="271" t="str">
        <f>IFERROR(VLOOKUP(TableHandbook[[#This Row],[UDC]],TableOCEDHE1[],7,FALSE),"")</f>
        <v/>
      </c>
      <c r="T32" s="272" t="str">
        <f>IFERROR(VLOOKUP(TableHandbook[[#This Row],[UDC]],TableOCEDHE[],7,FALSE),"")</f>
        <v/>
      </c>
      <c r="U32" s="271" t="str">
        <f>IFERROR(VLOOKUP(TableHandbook[[#This Row],[UDC]],TableOCEDUCS1[],7,FALSE),"")</f>
        <v/>
      </c>
      <c r="V32" s="187" t="str">
        <f>IFERROR(VLOOKUP(TableHandbook[[#This Row],[UDC]],TableOCEDUC[],7,FALSE),"")</f>
        <v/>
      </c>
      <c r="W32" s="187" t="str">
        <f>IFERROR(VLOOKUP(TableHandbook[[#This Row],[UDC]],TableOGEDUC[],7,FALSE),"")</f>
        <v/>
      </c>
      <c r="X32" s="187" t="str">
        <f>IFERROR(VLOOKUP(TableHandbook[[#This Row],[UDC]],TableOUMPEDUPR[],7,FALSE),"")</f>
        <v/>
      </c>
      <c r="Y32" s="187" t="str">
        <f>IFERROR(VLOOKUP(TableHandbook[[#This Row],[UDC]],TableOUMPEDUSC[],7,FALSE),"")</f>
        <v/>
      </c>
      <c r="Z32" s="187" t="str">
        <f>IFERROR(VLOOKUP(TableHandbook[[#This Row],[UDC]],TableOMEDUC[],7,FALSE),"")</f>
        <v/>
      </c>
      <c r="AA32" s="187" t="str">
        <f>IFERROR(VLOOKUP(TableHandbook[[#This Row],[UDC]],TableOSEPCULIN[],7,FALSE),"")</f>
        <v/>
      </c>
      <c r="AB32" s="187" t="str">
        <f>IFERROR(VLOOKUP(TableHandbook[[#This Row],[UDC]],TableOSEPLNTCH[],7,FALSE),"")</f>
        <v/>
      </c>
      <c r="AC32" s="272" t="str">
        <f>IFERROR(VLOOKUP(TableHandbook[[#This Row],[UDC]],TableOSEPSTEME[],7,FALSE),"")</f>
        <v/>
      </c>
    </row>
    <row r="33" spans="1:29" x14ac:dyDescent="0.25">
      <c r="A33" s="3" t="s">
        <v>267</v>
      </c>
      <c r="B33" s="4">
        <v>1</v>
      </c>
      <c r="C33" s="3" t="s">
        <v>387</v>
      </c>
      <c r="D33" s="3" t="s">
        <v>388</v>
      </c>
      <c r="E33" s="4">
        <v>25</v>
      </c>
      <c r="F33" s="189" t="s">
        <v>333</v>
      </c>
      <c r="G33" s="120" t="str">
        <f>IFERROR(IF(VLOOKUP(TableHandbook[[#This Row],[UDC]],TableAvailabilities[],2,FALSE)&gt;0,"Y",""),"")</f>
        <v>Y</v>
      </c>
      <c r="H33" s="121" t="str">
        <f>IFERROR(IF(VLOOKUP(TableHandbook[[#This Row],[UDC]],TableAvailabilities[],3,FALSE)&gt;0,"Y",""),"")</f>
        <v>Y</v>
      </c>
      <c r="I33" s="121" t="str">
        <f>IFERROR(IF(VLOOKUP(TableHandbook[[#This Row],[UDC]],TableAvailabilities[],4,FALSE)&gt;0,"Y",""),"")</f>
        <v/>
      </c>
      <c r="J33" s="172" t="str">
        <f>IFERROR(IF(VLOOKUP(TableHandbook[[#This Row],[UDC]],TableAvailabilities[],5,FALSE)&gt;0,"Y",""),"")</f>
        <v/>
      </c>
      <c r="K33" s="293" t="s">
        <v>389</v>
      </c>
      <c r="L33" s="269" t="str">
        <f>IFERROR(VLOOKUP(TableHandbook[[#This Row],[UDC]],TableOMTEACH1[],7,FALSE),"")</f>
        <v/>
      </c>
      <c r="M33" s="130" t="str">
        <f>IFERROR(VLOOKUP(TableHandbook[[#This Row],[UDC]],TableOUMPTCHEC[],7,FALSE),"")</f>
        <v/>
      </c>
      <c r="N33" s="130" t="str">
        <f>IFERROR(VLOOKUP(TableHandbook[[#This Row],[UDC]],TableOUMPTCHPE[],7,FALSE),"")</f>
        <v/>
      </c>
      <c r="O33" s="270" t="str">
        <f>IFERROR(VLOOKUP(TableHandbook[[#This Row],[UDC]],TableOUMPTCHSE[],7,FALSE),"")</f>
        <v>Core</v>
      </c>
      <c r="P33" s="271" t="str">
        <f>IFERROR(VLOOKUP(TableHandbook[[#This Row],[UDC]],TableOCTESOL1[],7,FALSE),"")</f>
        <v/>
      </c>
      <c r="Q33" s="187" t="str">
        <f>IFERROR(VLOOKUP(TableHandbook[[#This Row],[UDC]],TableOCTESOL[],7,FALSE),"")</f>
        <v/>
      </c>
      <c r="R33" s="272" t="str">
        <f>IFERROR(VLOOKUP(TableHandbook[[#This Row],[UDC]],TableOMAPLING[],7,FALSE),"")</f>
        <v/>
      </c>
      <c r="S33" s="271" t="str">
        <f>IFERROR(VLOOKUP(TableHandbook[[#This Row],[UDC]],TableOCEDHE1[],7,FALSE),"")</f>
        <v/>
      </c>
      <c r="T33" s="272" t="str">
        <f>IFERROR(VLOOKUP(TableHandbook[[#This Row],[UDC]],TableOCEDHE[],7,FALSE),"")</f>
        <v/>
      </c>
      <c r="U33" s="271" t="str">
        <f>IFERROR(VLOOKUP(TableHandbook[[#This Row],[UDC]],TableOCEDUCS1[],7,FALSE),"")</f>
        <v/>
      </c>
      <c r="V33" s="187" t="str">
        <f>IFERROR(VLOOKUP(TableHandbook[[#This Row],[UDC]],TableOCEDUC[],7,FALSE),"")</f>
        <v/>
      </c>
      <c r="W33" s="187" t="str">
        <f>IFERROR(VLOOKUP(TableHandbook[[#This Row],[UDC]],TableOGEDUC[],7,FALSE),"")</f>
        <v/>
      </c>
      <c r="X33" s="187" t="str">
        <f>IFERROR(VLOOKUP(TableHandbook[[#This Row],[UDC]],TableOUMPEDUPR[],7,FALSE),"")</f>
        <v/>
      </c>
      <c r="Y33" s="187" t="str">
        <f>IFERROR(VLOOKUP(TableHandbook[[#This Row],[UDC]],TableOUMPEDUSC[],7,FALSE),"")</f>
        <v>Core</v>
      </c>
      <c r="Z33" s="187" t="str">
        <f>IFERROR(VLOOKUP(TableHandbook[[#This Row],[UDC]],TableOMEDUC[],7,FALSE),"")</f>
        <v/>
      </c>
      <c r="AA33" s="187" t="str">
        <f>IFERROR(VLOOKUP(TableHandbook[[#This Row],[UDC]],TableOSEPCULIN[],7,FALSE),"")</f>
        <v/>
      </c>
      <c r="AB33" s="187" t="str">
        <f>IFERROR(VLOOKUP(TableHandbook[[#This Row],[UDC]],TableOSEPLNTCH[],7,FALSE),"")</f>
        <v/>
      </c>
      <c r="AC33" s="272" t="str">
        <f>IFERROR(VLOOKUP(TableHandbook[[#This Row],[UDC]],TableOSEPSTEME[],7,FALSE),"")</f>
        <v/>
      </c>
    </row>
    <row r="34" spans="1:29" x14ac:dyDescent="0.25">
      <c r="A34" s="3" t="s">
        <v>261</v>
      </c>
      <c r="B34" s="4">
        <v>1</v>
      </c>
      <c r="C34" s="3" t="s">
        <v>390</v>
      </c>
      <c r="D34" s="3" t="s">
        <v>391</v>
      </c>
      <c r="E34" s="4">
        <v>25</v>
      </c>
      <c r="F34" s="188" t="s">
        <v>333</v>
      </c>
      <c r="G34" s="120" t="str">
        <f>IFERROR(IF(VLOOKUP(TableHandbook[[#This Row],[UDC]],TableAvailabilities[],2,FALSE)&gt;0,"Y",""),"")</f>
        <v>Y</v>
      </c>
      <c r="H34" s="121" t="str">
        <f>IFERROR(IF(VLOOKUP(TableHandbook[[#This Row],[UDC]],TableAvailabilities[],3,FALSE)&gt;0,"Y",""),"")</f>
        <v/>
      </c>
      <c r="I34" s="121" t="str">
        <f>IFERROR(IF(VLOOKUP(TableHandbook[[#This Row],[UDC]],TableAvailabilities[],4,FALSE)&gt;0,"Y",""),"")</f>
        <v>Y</v>
      </c>
      <c r="J34" s="172" t="str">
        <f>IFERROR(IF(VLOOKUP(TableHandbook[[#This Row],[UDC]],TableAvailabilities[],5,FALSE)&gt;0,"Y",""),"")</f>
        <v/>
      </c>
      <c r="K34" s="249"/>
      <c r="L34" s="269" t="str">
        <f>IFERROR(VLOOKUP(TableHandbook[[#This Row],[UDC]],TableOMTEACH1[],7,FALSE),"")</f>
        <v/>
      </c>
      <c r="M34" s="130" t="str">
        <f>IFERROR(VLOOKUP(TableHandbook[[#This Row],[UDC]],TableOUMPTCHEC[],7,FALSE),"")</f>
        <v/>
      </c>
      <c r="N34" s="130" t="str">
        <f>IFERROR(VLOOKUP(TableHandbook[[#This Row],[UDC]],TableOUMPTCHPE[],7,FALSE),"")</f>
        <v/>
      </c>
      <c r="O34" s="270" t="str">
        <f>IFERROR(VLOOKUP(TableHandbook[[#This Row],[UDC]],TableOUMPTCHSE[],7,FALSE),"")</f>
        <v>Core</v>
      </c>
      <c r="P34" s="271" t="str">
        <f>IFERROR(VLOOKUP(TableHandbook[[#This Row],[UDC]],TableOCTESOL1[],7,FALSE),"")</f>
        <v/>
      </c>
      <c r="Q34" s="187" t="str">
        <f>IFERROR(VLOOKUP(TableHandbook[[#This Row],[UDC]],TableOCTESOL[],7,FALSE),"")</f>
        <v/>
      </c>
      <c r="R34" s="272" t="str">
        <f>IFERROR(VLOOKUP(TableHandbook[[#This Row],[UDC]],TableOMAPLING[],7,FALSE),"")</f>
        <v/>
      </c>
      <c r="S34" s="271" t="str">
        <f>IFERROR(VLOOKUP(TableHandbook[[#This Row],[UDC]],TableOCEDHE1[],7,FALSE),"")</f>
        <v/>
      </c>
      <c r="T34" s="272" t="str">
        <f>IFERROR(VLOOKUP(TableHandbook[[#This Row],[UDC]],TableOCEDHE[],7,FALSE),"")</f>
        <v/>
      </c>
      <c r="U34" s="271" t="str">
        <f>IFERROR(VLOOKUP(TableHandbook[[#This Row],[UDC]],TableOCEDUCS1[],7,FALSE),"")</f>
        <v>Option</v>
      </c>
      <c r="V34" s="187" t="str">
        <f>IFERROR(VLOOKUP(TableHandbook[[#This Row],[UDC]],TableOCEDUC[],7,FALSE),"")</f>
        <v>Option</v>
      </c>
      <c r="W34" s="187" t="str">
        <f>IFERROR(VLOOKUP(TableHandbook[[#This Row],[UDC]],TableOGEDUC[],7,FALSE),"")</f>
        <v/>
      </c>
      <c r="X34" s="187" t="str">
        <f>IFERROR(VLOOKUP(TableHandbook[[#This Row],[UDC]],TableOUMPEDUPR[],7,FALSE),"")</f>
        <v/>
      </c>
      <c r="Y34" s="187" t="str">
        <f>IFERROR(VLOOKUP(TableHandbook[[#This Row],[UDC]],TableOUMPEDUSC[],7,FALSE),"")</f>
        <v/>
      </c>
      <c r="Z34" s="187" t="str">
        <f>IFERROR(VLOOKUP(TableHandbook[[#This Row],[UDC]],TableOMEDUC[],7,FALSE),"")</f>
        <v/>
      </c>
      <c r="AA34" s="187" t="str">
        <f>IFERROR(VLOOKUP(TableHandbook[[#This Row],[UDC]],TableOSEPCULIN[],7,FALSE),"")</f>
        <v/>
      </c>
      <c r="AB34" s="187" t="str">
        <f>IFERROR(VLOOKUP(TableHandbook[[#This Row],[UDC]],TableOSEPLNTCH[],7,FALSE),"")</f>
        <v/>
      </c>
      <c r="AC34" s="272" t="str">
        <f>IFERROR(VLOOKUP(TableHandbook[[#This Row],[UDC]],TableOSEPSTEME[],7,FALSE),"")</f>
        <v/>
      </c>
    </row>
    <row r="35" spans="1:29" x14ac:dyDescent="0.25">
      <c r="A35" s="3" t="s">
        <v>292</v>
      </c>
      <c r="B35" s="4">
        <v>1</v>
      </c>
      <c r="C35" s="3" t="s">
        <v>392</v>
      </c>
      <c r="D35" s="3" t="s">
        <v>393</v>
      </c>
      <c r="E35" s="4">
        <v>25</v>
      </c>
      <c r="F35" s="188" t="s">
        <v>333</v>
      </c>
      <c r="G35" s="120" t="str">
        <f>IFERROR(IF(VLOOKUP(TableHandbook[[#This Row],[UDC]],TableAvailabilities[],2,FALSE)&gt;0,"Y",""),"")</f>
        <v/>
      </c>
      <c r="H35" s="121" t="str">
        <f>IFERROR(IF(VLOOKUP(TableHandbook[[#This Row],[UDC]],TableAvailabilities[],3,FALSE)&gt;0,"Y",""),"")</f>
        <v>Y</v>
      </c>
      <c r="I35" s="121" t="str">
        <f>IFERROR(IF(VLOOKUP(TableHandbook[[#This Row],[UDC]],TableAvailabilities[],4,FALSE)&gt;0,"Y",""),"")</f>
        <v/>
      </c>
      <c r="J35" s="172" t="str">
        <f>IFERROR(IF(VLOOKUP(TableHandbook[[#This Row],[UDC]],TableAvailabilities[],5,FALSE)&gt;0,"Y",""),"")</f>
        <v>Y</v>
      </c>
      <c r="K35" s="249"/>
      <c r="L35" s="269" t="str">
        <f>IFERROR(VLOOKUP(TableHandbook[[#This Row],[UDC]],TableOMTEACH1[],7,FALSE),"")</f>
        <v/>
      </c>
      <c r="M35" s="130" t="str">
        <f>IFERROR(VLOOKUP(TableHandbook[[#This Row],[UDC]],TableOUMPTCHEC[],7,FALSE),"")</f>
        <v/>
      </c>
      <c r="N35" s="130" t="str">
        <f>IFERROR(VLOOKUP(TableHandbook[[#This Row],[UDC]],TableOUMPTCHPE[],7,FALSE),"")</f>
        <v/>
      </c>
      <c r="O35" s="270" t="str">
        <f>IFERROR(VLOOKUP(TableHandbook[[#This Row],[UDC]],TableOUMPTCHSE[],7,FALSE),"")</f>
        <v>Option</v>
      </c>
      <c r="P35" s="271" t="str">
        <f>IFERROR(VLOOKUP(TableHandbook[[#This Row],[UDC]],TableOCTESOL1[],7,FALSE),"")</f>
        <v/>
      </c>
      <c r="Q35" s="187" t="str">
        <f>IFERROR(VLOOKUP(TableHandbook[[#This Row],[UDC]],TableOCTESOL[],7,FALSE),"")</f>
        <v/>
      </c>
      <c r="R35" s="272" t="str">
        <f>IFERROR(VLOOKUP(TableHandbook[[#This Row],[UDC]],TableOMAPLING[],7,FALSE),"")</f>
        <v/>
      </c>
      <c r="S35" s="271" t="str">
        <f>IFERROR(VLOOKUP(TableHandbook[[#This Row],[UDC]],TableOCEDHE1[],7,FALSE),"")</f>
        <v/>
      </c>
      <c r="T35" s="272" t="str">
        <f>IFERROR(VLOOKUP(TableHandbook[[#This Row],[UDC]],TableOCEDHE[],7,FALSE),"")</f>
        <v/>
      </c>
      <c r="U35" s="271" t="str">
        <f>IFERROR(VLOOKUP(TableHandbook[[#This Row],[UDC]],TableOCEDUCS1[],7,FALSE),"")</f>
        <v/>
      </c>
      <c r="V35" s="187" t="str">
        <f>IFERROR(VLOOKUP(TableHandbook[[#This Row],[UDC]],TableOCEDUC[],7,FALSE),"")</f>
        <v/>
      </c>
      <c r="W35" s="187" t="str">
        <f>IFERROR(VLOOKUP(TableHandbook[[#This Row],[UDC]],TableOGEDUC[],7,FALSE),"")</f>
        <v/>
      </c>
      <c r="X35" s="187" t="str">
        <f>IFERROR(VLOOKUP(TableHandbook[[#This Row],[UDC]],TableOUMPEDUPR[],7,FALSE),"")</f>
        <v/>
      </c>
      <c r="Y35" s="187" t="str">
        <f>IFERROR(VLOOKUP(TableHandbook[[#This Row],[UDC]],TableOUMPEDUSC[],7,FALSE),"")</f>
        <v>Option</v>
      </c>
      <c r="Z35" s="187" t="str">
        <f>IFERROR(VLOOKUP(TableHandbook[[#This Row],[UDC]],TableOMEDUC[],7,FALSE),"")</f>
        <v/>
      </c>
      <c r="AA35" s="187" t="str">
        <f>IFERROR(VLOOKUP(TableHandbook[[#This Row],[UDC]],TableOSEPCULIN[],7,FALSE),"")</f>
        <v/>
      </c>
      <c r="AB35" s="187" t="str">
        <f>IFERROR(VLOOKUP(TableHandbook[[#This Row],[UDC]],TableOSEPLNTCH[],7,FALSE),"")</f>
        <v/>
      </c>
      <c r="AC35" s="272" t="str">
        <f>IFERROR(VLOOKUP(TableHandbook[[#This Row],[UDC]],TableOSEPSTEME[],7,FALSE),"")</f>
        <v/>
      </c>
    </row>
    <row r="36" spans="1:29" x14ac:dyDescent="0.25">
      <c r="A36" s="3" t="s">
        <v>293</v>
      </c>
      <c r="B36" s="4">
        <v>1</v>
      </c>
      <c r="C36" s="3" t="s">
        <v>394</v>
      </c>
      <c r="D36" s="3" t="s">
        <v>395</v>
      </c>
      <c r="E36" s="4">
        <v>25</v>
      </c>
      <c r="F36" s="188" t="s">
        <v>333</v>
      </c>
      <c r="G36" s="120" t="str">
        <f>IFERROR(IF(VLOOKUP(TableHandbook[[#This Row],[UDC]],TableAvailabilities[],2,FALSE)&gt;0,"Y",""),"")</f>
        <v/>
      </c>
      <c r="H36" s="121" t="str">
        <f>IFERROR(IF(VLOOKUP(TableHandbook[[#This Row],[UDC]],TableAvailabilities[],3,FALSE)&gt;0,"Y",""),"")</f>
        <v>Y</v>
      </c>
      <c r="I36" s="121" t="str">
        <f>IFERROR(IF(VLOOKUP(TableHandbook[[#This Row],[UDC]],TableAvailabilities[],4,FALSE)&gt;0,"Y",""),"")</f>
        <v/>
      </c>
      <c r="J36" s="172" t="str">
        <f>IFERROR(IF(VLOOKUP(TableHandbook[[#This Row],[UDC]],TableAvailabilities[],5,FALSE)&gt;0,"Y",""),"")</f>
        <v>Y</v>
      </c>
      <c r="K36" s="249"/>
      <c r="L36" s="269" t="str">
        <f>IFERROR(VLOOKUP(TableHandbook[[#This Row],[UDC]],TableOMTEACH1[],7,FALSE),"")</f>
        <v/>
      </c>
      <c r="M36" s="130" t="str">
        <f>IFERROR(VLOOKUP(TableHandbook[[#This Row],[UDC]],TableOUMPTCHEC[],7,FALSE),"")</f>
        <v/>
      </c>
      <c r="N36" s="130" t="str">
        <f>IFERROR(VLOOKUP(TableHandbook[[#This Row],[UDC]],TableOUMPTCHPE[],7,FALSE),"")</f>
        <v/>
      </c>
      <c r="O36" s="270" t="str">
        <f>IFERROR(VLOOKUP(TableHandbook[[#This Row],[UDC]],TableOUMPTCHSE[],7,FALSE),"")</f>
        <v>Option</v>
      </c>
      <c r="P36" s="271" t="str">
        <f>IFERROR(VLOOKUP(TableHandbook[[#This Row],[UDC]],TableOCTESOL1[],7,FALSE),"")</f>
        <v/>
      </c>
      <c r="Q36" s="187" t="str">
        <f>IFERROR(VLOOKUP(TableHandbook[[#This Row],[UDC]],TableOCTESOL[],7,FALSE),"")</f>
        <v/>
      </c>
      <c r="R36" s="272" t="str">
        <f>IFERROR(VLOOKUP(TableHandbook[[#This Row],[UDC]],TableOMAPLING[],7,FALSE),"")</f>
        <v/>
      </c>
      <c r="S36" s="271" t="str">
        <f>IFERROR(VLOOKUP(TableHandbook[[#This Row],[UDC]],TableOCEDHE1[],7,FALSE),"")</f>
        <v/>
      </c>
      <c r="T36" s="272" t="str">
        <f>IFERROR(VLOOKUP(TableHandbook[[#This Row],[UDC]],TableOCEDHE[],7,FALSE),"")</f>
        <v/>
      </c>
      <c r="U36" s="271" t="str">
        <f>IFERROR(VLOOKUP(TableHandbook[[#This Row],[UDC]],TableOCEDUCS1[],7,FALSE),"")</f>
        <v/>
      </c>
      <c r="V36" s="187" t="str">
        <f>IFERROR(VLOOKUP(TableHandbook[[#This Row],[UDC]],TableOCEDUC[],7,FALSE),"")</f>
        <v/>
      </c>
      <c r="W36" s="187" t="str">
        <f>IFERROR(VLOOKUP(TableHandbook[[#This Row],[UDC]],TableOGEDUC[],7,FALSE),"")</f>
        <v/>
      </c>
      <c r="X36" s="187" t="str">
        <f>IFERROR(VLOOKUP(TableHandbook[[#This Row],[UDC]],TableOUMPEDUPR[],7,FALSE),"")</f>
        <v/>
      </c>
      <c r="Y36" s="187" t="str">
        <f>IFERROR(VLOOKUP(TableHandbook[[#This Row],[UDC]],TableOUMPEDUSC[],7,FALSE),"")</f>
        <v>Option</v>
      </c>
      <c r="Z36" s="187" t="str">
        <f>IFERROR(VLOOKUP(TableHandbook[[#This Row],[UDC]],TableOMEDUC[],7,FALSE),"")</f>
        <v/>
      </c>
      <c r="AA36" s="187" t="str">
        <f>IFERROR(VLOOKUP(TableHandbook[[#This Row],[UDC]],TableOSEPCULIN[],7,FALSE),"")</f>
        <v/>
      </c>
      <c r="AB36" s="187" t="str">
        <f>IFERROR(VLOOKUP(TableHandbook[[#This Row],[UDC]],TableOSEPLNTCH[],7,FALSE),"")</f>
        <v/>
      </c>
      <c r="AC36" s="272" t="str">
        <f>IFERROR(VLOOKUP(TableHandbook[[#This Row],[UDC]],TableOSEPSTEME[],7,FALSE),"")</f>
        <v/>
      </c>
    </row>
    <row r="37" spans="1:29" x14ac:dyDescent="0.25">
      <c r="A37" s="3" t="s">
        <v>295</v>
      </c>
      <c r="B37" s="4">
        <v>1</v>
      </c>
      <c r="C37" s="3" t="s">
        <v>396</v>
      </c>
      <c r="D37" s="3" t="s">
        <v>397</v>
      </c>
      <c r="E37" s="4">
        <v>25</v>
      </c>
      <c r="F37" s="188" t="s">
        <v>333</v>
      </c>
      <c r="G37" s="120" t="str">
        <f>IFERROR(IF(VLOOKUP(TableHandbook[[#This Row],[UDC]],TableAvailabilities[],2,FALSE)&gt;0,"Y",""),"")</f>
        <v/>
      </c>
      <c r="H37" s="121" t="str">
        <f>IFERROR(IF(VLOOKUP(TableHandbook[[#This Row],[UDC]],TableAvailabilities[],3,FALSE)&gt;0,"Y",""),"")</f>
        <v>Y</v>
      </c>
      <c r="I37" s="121" t="str">
        <f>IFERROR(IF(VLOOKUP(TableHandbook[[#This Row],[UDC]],TableAvailabilities[],4,FALSE)&gt;0,"Y",""),"")</f>
        <v/>
      </c>
      <c r="J37" s="172" t="str">
        <f>IFERROR(IF(VLOOKUP(TableHandbook[[#This Row],[UDC]],TableAvailabilities[],5,FALSE)&gt;0,"Y",""),"")</f>
        <v>Y</v>
      </c>
      <c r="K37" s="249"/>
      <c r="L37" s="269" t="str">
        <f>IFERROR(VLOOKUP(TableHandbook[[#This Row],[UDC]],TableOMTEACH1[],7,FALSE),"")</f>
        <v/>
      </c>
      <c r="M37" s="130" t="str">
        <f>IFERROR(VLOOKUP(TableHandbook[[#This Row],[UDC]],TableOUMPTCHEC[],7,FALSE),"")</f>
        <v/>
      </c>
      <c r="N37" s="130" t="str">
        <f>IFERROR(VLOOKUP(TableHandbook[[#This Row],[UDC]],TableOUMPTCHPE[],7,FALSE),"")</f>
        <v/>
      </c>
      <c r="O37" s="270" t="str">
        <f>IFERROR(VLOOKUP(TableHandbook[[#This Row],[UDC]],TableOUMPTCHSE[],7,FALSE),"")</f>
        <v>Option</v>
      </c>
      <c r="P37" s="271" t="str">
        <f>IFERROR(VLOOKUP(TableHandbook[[#This Row],[UDC]],TableOCTESOL1[],7,FALSE),"")</f>
        <v/>
      </c>
      <c r="Q37" s="187" t="str">
        <f>IFERROR(VLOOKUP(TableHandbook[[#This Row],[UDC]],TableOCTESOL[],7,FALSE),"")</f>
        <v/>
      </c>
      <c r="R37" s="272" t="str">
        <f>IFERROR(VLOOKUP(TableHandbook[[#This Row],[UDC]],TableOMAPLING[],7,FALSE),"")</f>
        <v/>
      </c>
      <c r="S37" s="271" t="str">
        <f>IFERROR(VLOOKUP(TableHandbook[[#This Row],[UDC]],TableOCEDHE1[],7,FALSE),"")</f>
        <v/>
      </c>
      <c r="T37" s="272" t="str">
        <f>IFERROR(VLOOKUP(TableHandbook[[#This Row],[UDC]],TableOCEDHE[],7,FALSE),"")</f>
        <v/>
      </c>
      <c r="U37" s="271" t="str">
        <f>IFERROR(VLOOKUP(TableHandbook[[#This Row],[UDC]],TableOCEDUCS1[],7,FALSE),"")</f>
        <v/>
      </c>
      <c r="V37" s="187" t="str">
        <f>IFERROR(VLOOKUP(TableHandbook[[#This Row],[UDC]],TableOCEDUC[],7,FALSE),"")</f>
        <v/>
      </c>
      <c r="W37" s="187" t="str">
        <f>IFERROR(VLOOKUP(TableHandbook[[#This Row],[UDC]],TableOGEDUC[],7,FALSE),"")</f>
        <v/>
      </c>
      <c r="X37" s="187" t="str">
        <f>IFERROR(VLOOKUP(TableHandbook[[#This Row],[UDC]],TableOUMPEDUPR[],7,FALSE),"")</f>
        <v/>
      </c>
      <c r="Y37" s="187" t="str">
        <f>IFERROR(VLOOKUP(TableHandbook[[#This Row],[UDC]],TableOUMPEDUSC[],7,FALSE),"")</f>
        <v>Option</v>
      </c>
      <c r="Z37" s="187" t="str">
        <f>IFERROR(VLOOKUP(TableHandbook[[#This Row],[UDC]],TableOMEDUC[],7,FALSE),"")</f>
        <v/>
      </c>
      <c r="AA37" s="187" t="str">
        <f>IFERROR(VLOOKUP(TableHandbook[[#This Row],[UDC]],TableOSEPCULIN[],7,FALSE),"")</f>
        <v/>
      </c>
      <c r="AB37" s="187" t="str">
        <f>IFERROR(VLOOKUP(TableHandbook[[#This Row],[UDC]],TableOSEPLNTCH[],7,FALSE),"")</f>
        <v/>
      </c>
      <c r="AC37" s="272" t="str">
        <f>IFERROR(VLOOKUP(TableHandbook[[#This Row],[UDC]],TableOSEPSTEME[],7,FALSE),"")</f>
        <v/>
      </c>
    </row>
    <row r="38" spans="1:29" x14ac:dyDescent="0.25">
      <c r="A38" s="3" t="s">
        <v>296</v>
      </c>
      <c r="B38" s="4">
        <v>1</v>
      </c>
      <c r="C38" s="3" t="s">
        <v>398</v>
      </c>
      <c r="D38" s="3" t="s">
        <v>399</v>
      </c>
      <c r="E38" s="4">
        <v>25</v>
      </c>
      <c r="F38" s="188" t="s">
        <v>333</v>
      </c>
      <c r="G38" s="120" t="str">
        <f>IFERROR(IF(VLOOKUP(TableHandbook[[#This Row],[UDC]],TableAvailabilities[],2,FALSE)&gt;0,"Y",""),"")</f>
        <v/>
      </c>
      <c r="H38" s="121" t="str">
        <f>IFERROR(IF(VLOOKUP(TableHandbook[[#This Row],[UDC]],TableAvailabilities[],3,FALSE)&gt;0,"Y",""),"")</f>
        <v>Y</v>
      </c>
      <c r="I38" s="121" t="str">
        <f>IFERROR(IF(VLOOKUP(TableHandbook[[#This Row],[UDC]],TableAvailabilities[],4,FALSE)&gt;0,"Y",""),"")</f>
        <v/>
      </c>
      <c r="J38" s="172" t="str">
        <f>IFERROR(IF(VLOOKUP(TableHandbook[[#This Row],[UDC]],TableAvailabilities[],5,FALSE)&gt;0,"Y",""),"")</f>
        <v>Y</v>
      </c>
      <c r="K38" s="249"/>
      <c r="L38" s="269" t="str">
        <f>IFERROR(VLOOKUP(TableHandbook[[#This Row],[UDC]],TableOMTEACH1[],7,FALSE),"")</f>
        <v/>
      </c>
      <c r="M38" s="130" t="str">
        <f>IFERROR(VLOOKUP(TableHandbook[[#This Row],[UDC]],TableOUMPTCHEC[],7,FALSE),"")</f>
        <v/>
      </c>
      <c r="N38" s="130" t="str">
        <f>IFERROR(VLOOKUP(TableHandbook[[#This Row],[UDC]],TableOUMPTCHPE[],7,FALSE),"")</f>
        <v/>
      </c>
      <c r="O38" s="270" t="str">
        <f>IFERROR(VLOOKUP(TableHandbook[[#This Row],[UDC]],TableOUMPTCHSE[],7,FALSE),"")</f>
        <v>Option</v>
      </c>
      <c r="P38" s="271" t="str">
        <f>IFERROR(VLOOKUP(TableHandbook[[#This Row],[UDC]],TableOCTESOL1[],7,FALSE),"")</f>
        <v/>
      </c>
      <c r="Q38" s="187" t="str">
        <f>IFERROR(VLOOKUP(TableHandbook[[#This Row],[UDC]],TableOCTESOL[],7,FALSE),"")</f>
        <v/>
      </c>
      <c r="R38" s="272" t="str">
        <f>IFERROR(VLOOKUP(TableHandbook[[#This Row],[UDC]],TableOMAPLING[],7,FALSE),"")</f>
        <v/>
      </c>
      <c r="S38" s="271" t="str">
        <f>IFERROR(VLOOKUP(TableHandbook[[#This Row],[UDC]],TableOCEDHE1[],7,FALSE),"")</f>
        <v/>
      </c>
      <c r="T38" s="272" t="str">
        <f>IFERROR(VLOOKUP(TableHandbook[[#This Row],[UDC]],TableOCEDHE[],7,FALSE),"")</f>
        <v/>
      </c>
      <c r="U38" s="271" t="str">
        <f>IFERROR(VLOOKUP(TableHandbook[[#This Row],[UDC]],TableOCEDUCS1[],7,FALSE),"")</f>
        <v/>
      </c>
      <c r="V38" s="187" t="str">
        <f>IFERROR(VLOOKUP(TableHandbook[[#This Row],[UDC]],TableOCEDUC[],7,FALSE),"")</f>
        <v/>
      </c>
      <c r="W38" s="187" t="str">
        <f>IFERROR(VLOOKUP(TableHandbook[[#This Row],[UDC]],TableOGEDUC[],7,FALSE),"")</f>
        <v/>
      </c>
      <c r="X38" s="187" t="str">
        <f>IFERROR(VLOOKUP(TableHandbook[[#This Row],[UDC]],TableOUMPEDUPR[],7,FALSE),"")</f>
        <v/>
      </c>
      <c r="Y38" s="187" t="str">
        <f>IFERROR(VLOOKUP(TableHandbook[[#This Row],[UDC]],TableOUMPEDUSC[],7,FALSE),"")</f>
        <v>Option</v>
      </c>
      <c r="Z38" s="187" t="str">
        <f>IFERROR(VLOOKUP(TableHandbook[[#This Row],[UDC]],TableOMEDUC[],7,FALSE),"")</f>
        <v/>
      </c>
      <c r="AA38" s="187" t="str">
        <f>IFERROR(VLOOKUP(TableHandbook[[#This Row],[UDC]],TableOSEPCULIN[],7,FALSE),"")</f>
        <v/>
      </c>
      <c r="AB38" s="187" t="str">
        <f>IFERROR(VLOOKUP(TableHandbook[[#This Row],[UDC]],TableOSEPLNTCH[],7,FALSE),"")</f>
        <v/>
      </c>
      <c r="AC38" s="272" t="str">
        <f>IFERROR(VLOOKUP(TableHandbook[[#This Row],[UDC]],TableOSEPSTEME[],7,FALSE),"")</f>
        <v/>
      </c>
    </row>
    <row r="39" spans="1:29" x14ac:dyDescent="0.25">
      <c r="A39" s="3" t="s">
        <v>297</v>
      </c>
      <c r="B39" s="4">
        <v>1</v>
      </c>
      <c r="C39" s="3" t="s">
        <v>400</v>
      </c>
      <c r="D39" s="3" t="s">
        <v>401</v>
      </c>
      <c r="E39" s="4">
        <v>25</v>
      </c>
      <c r="F39" s="188" t="s">
        <v>333</v>
      </c>
      <c r="G39" s="120" t="str">
        <f>IFERROR(IF(VLOOKUP(TableHandbook[[#This Row],[UDC]],TableAvailabilities[],2,FALSE)&gt;0,"Y",""),"")</f>
        <v/>
      </c>
      <c r="H39" s="121" t="str">
        <f>IFERROR(IF(VLOOKUP(TableHandbook[[#This Row],[UDC]],TableAvailabilities[],3,FALSE)&gt;0,"Y",""),"")</f>
        <v>Y</v>
      </c>
      <c r="I39" s="121" t="str">
        <f>IFERROR(IF(VLOOKUP(TableHandbook[[#This Row],[UDC]],TableAvailabilities[],4,FALSE)&gt;0,"Y",""),"")</f>
        <v/>
      </c>
      <c r="J39" s="172" t="str">
        <f>IFERROR(IF(VLOOKUP(TableHandbook[[#This Row],[UDC]],TableAvailabilities[],5,FALSE)&gt;0,"Y",""),"")</f>
        <v>Y</v>
      </c>
      <c r="K39" s="249"/>
      <c r="L39" s="269" t="str">
        <f>IFERROR(VLOOKUP(TableHandbook[[#This Row],[UDC]],TableOMTEACH1[],7,FALSE),"")</f>
        <v/>
      </c>
      <c r="M39" s="130" t="str">
        <f>IFERROR(VLOOKUP(TableHandbook[[#This Row],[UDC]],TableOUMPTCHEC[],7,FALSE),"")</f>
        <v/>
      </c>
      <c r="N39" s="130" t="str">
        <f>IFERROR(VLOOKUP(TableHandbook[[#This Row],[UDC]],TableOUMPTCHPE[],7,FALSE),"")</f>
        <v/>
      </c>
      <c r="O39" s="270" t="str">
        <f>IFERROR(VLOOKUP(TableHandbook[[#This Row],[UDC]],TableOUMPTCHSE[],7,FALSE),"")</f>
        <v>Option</v>
      </c>
      <c r="P39" s="271" t="str">
        <f>IFERROR(VLOOKUP(TableHandbook[[#This Row],[UDC]],TableOCTESOL1[],7,FALSE),"")</f>
        <v/>
      </c>
      <c r="Q39" s="187" t="str">
        <f>IFERROR(VLOOKUP(TableHandbook[[#This Row],[UDC]],TableOCTESOL[],7,FALSE),"")</f>
        <v/>
      </c>
      <c r="R39" s="272" t="str">
        <f>IFERROR(VLOOKUP(TableHandbook[[#This Row],[UDC]],TableOMAPLING[],7,FALSE),"")</f>
        <v/>
      </c>
      <c r="S39" s="271" t="str">
        <f>IFERROR(VLOOKUP(TableHandbook[[#This Row],[UDC]],TableOCEDHE1[],7,FALSE),"")</f>
        <v/>
      </c>
      <c r="T39" s="272" t="str">
        <f>IFERROR(VLOOKUP(TableHandbook[[#This Row],[UDC]],TableOCEDHE[],7,FALSE),"")</f>
        <v/>
      </c>
      <c r="U39" s="271" t="str">
        <f>IFERROR(VLOOKUP(TableHandbook[[#This Row],[UDC]],TableOCEDUCS1[],7,FALSE),"")</f>
        <v/>
      </c>
      <c r="V39" s="187" t="str">
        <f>IFERROR(VLOOKUP(TableHandbook[[#This Row],[UDC]],TableOCEDUC[],7,FALSE),"")</f>
        <v/>
      </c>
      <c r="W39" s="187" t="str">
        <f>IFERROR(VLOOKUP(TableHandbook[[#This Row],[UDC]],TableOGEDUC[],7,FALSE),"")</f>
        <v/>
      </c>
      <c r="X39" s="187" t="str">
        <f>IFERROR(VLOOKUP(TableHandbook[[#This Row],[UDC]],TableOUMPEDUPR[],7,FALSE),"")</f>
        <v/>
      </c>
      <c r="Y39" s="187" t="str">
        <f>IFERROR(VLOOKUP(TableHandbook[[#This Row],[UDC]],TableOUMPEDUSC[],7,FALSE),"")</f>
        <v>Option</v>
      </c>
      <c r="Z39" s="187" t="str">
        <f>IFERROR(VLOOKUP(TableHandbook[[#This Row],[UDC]],TableOMEDUC[],7,FALSE),"")</f>
        <v/>
      </c>
      <c r="AA39" s="187" t="str">
        <f>IFERROR(VLOOKUP(TableHandbook[[#This Row],[UDC]],TableOSEPCULIN[],7,FALSE),"")</f>
        <v/>
      </c>
      <c r="AB39" s="187" t="str">
        <f>IFERROR(VLOOKUP(TableHandbook[[#This Row],[UDC]],TableOSEPLNTCH[],7,FALSE),"")</f>
        <v/>
      </c>
      <c r="AC39" s="272" t="str">
        <f>IFERROR(VLOOKUP(TableHandbook[[#This Row],[UDC]],TableOSEPSTEME[],7,FALSE),"")</f>
        <v/>
      </c>
    </row>
    <row r="40" spans="1:29" x14ac:dyDescent="0.25">
      <c r="A40" s="3" t="s">
        <v>300</v>
      </c>
      <c r="B40" s="4">
        <v>2</v>
      </c>
      <c r="C40" s="3" t="s">
        <v>402</v>
      </c>
      <c r="D40" s="3" t="s">
        <v>403</v>
      </c>
      <c r="E40" s="4">
        <v>25</v>
      </c>
      <c r="F40" s="188" t="s">
        <v>333</v>
      </c>
      <c r="G40" s="120" t="str">
        <f>IFERROR(IF(VLOOKUP(TableHandbook[[#This Row],[UDC]],TableAvailabilities[],2,FALSE)&gt;0,"Y",""),"")</f>
        <v>Y</v>
      </c>
      <c r="H40" s="121" t="str">
        <f>IFERROR(IF(VLOOKUP(TableHandbook[[#This Row],[UDC]],TableAvailabilities[],3,FALSE)&gt;0,"Y",""),"")</f>
        <v>Y</v>
      </c>
      <c r="I40" s="121" t="str">
        <f>IFERROR(IF(VLOOKUP(TableHandbook[[#This Row],[UDC]],TableAvailabilities[],4,FALSE)&gt;0,"Y",""),"")</f>
        <v>Y</v>
      </c>
      <c r="J40" s="172" t="str">
        <f>IFERROR(IF(VLOOKUP(TableHandbook[[#This Row],[UDC]],TableAvailabilities[],5,FALSE)&gt;0,"Y",""),"")</f>
        <v>Y</v>
      </c>
      <c r="K40" s="249"/>
      <c r="L40" s="269" t="str">
        <f>IFERROR(VLOOKUP(TableHandbook[[#This Row],[UDC]],TableOMTEACH1[],7,FALSE),"")</f>
        <v/>
      </c>
      <c r="M40" s="130" t="str">
        <f>IFERROR(VLOOKUP(TableHandbook[[#This Row],[UDC]],TableOUMPTCHEC[],7,FALSE),"")</f>
        <v/>
      </c>
      <c r="N40" s="130" t="str">
        <f>IFERROR(VLOOKUP(TableHandbook[[#This Row],[UDC]],TableOUMPTCHPE[],7,FALSE),"")</f>
        <v/>
      </c>
      <c r="O40" s="270" t="str">
        <f>IFERROR(VLOOKUP(TableHandbook[[#This Row],[UDC]],TableOUMPTCHSE[],7,FALSE),"")</f>
        <v>Option</v>
      </c>
      <c r="P40" s="271" t="str">
        <f>IFERROR(VLOOKUP(TableHandbook[[#This Row],[UDC]],TableOCTESOL1[],7,FALSE),"")</f>
        <v/>
      </c>
      <c r="Q40" s="187" t="str">
        <f>IFERROR(VLOOKUP(TableHandbook[[#This Row],[UDC]],TableOCTESOL[],7,FALSE),"")</f>
        <v/>
      </c>
      <c r="R40" s="272" t="str">
        <f>IFERROR(VLOOKUP(TableHandbook[[#This Row],[UDC]],TableOMAPLING[],7,FALSE),"")</f>
        <v/>
      </c>
      <c r="S40" s="271" t="str">
        <f>IFERROR(VLOOKUP(TableHandbook[[#This Row],[UDC]],TableOCEDHE1[],7,FALSE),"")</f>
        <v/>
      </c>
      <c r="T40" s="272" t="str">
        <f>IFERROR(VLOOKUP(TableHandbook[[#This Row],[UDC]],TableOCEDHE[],7,FALSE),"")</f>
        <v/>
      </c>
      <c r="U40" s="271" t="str">
        <f>IFERROR(VLOOKUP(TableHandbook[[#This Row],[UDC]],TableOCEDUCS1[],7,FALSE),"")</f>
        <v/>
      </c>
      <c r="V40" s="187" t="str">
        <f>IFERROR(VLOOKUP(TableHandbook[[#This Row],[UDC]],TableOCEDUC[],7,FALSE),"")</f>
        <v/>
      </c>
      <c r="W40" s="187" t="str">
        <f>IFERROR(VLOOKUP(TableHandbook[[#This Row],[UDC]],TableOGEDUC[],7,FALSE),"")</f>
        <v/>
      </c>
      <c r="X40" s="187" t="str">
        <f>IFERROR(VLOOKUP(TableHandbook[[#This Row],[UDC]],TableOUMPEDUPR[],7,FALSE),"")</f>
        <v/>
      </c>
      <c r="Y40" s="187" t="str">
        <f>IFERROR(VLOOKUP(TableHandbook[[#This Row],[UDC]],TableOUMPEDUSC[],7,FALSE),"")</f>
        <v>Option</v>
      </c>
      <c r="Z40" s="187" t="str">
        <f>IFERROR(VLOOKUP(TableHandbook[[#This Row],[UDC]],TableOMEDUC[],7,FALSE),"")</f>
        <v/>
      </c>
      <c r="AA40" s="187" t="str">
        <f>IFERROR(VLOOKUP(TableHandbook[[#This Row],[UDC]],TableOSEPCULIN[],7,FALSE),"")</f>
        <v/>
      </c>
      <c r="AB40" s="187" t="str">
        <f>IFERROR(VLOOKUP(TableHandbook[[#This Row],[UDC]],TableOSEPLNTCH[],7,FALSE),"")</f>
        <v/>
      </c>
      <c r="AC40" s="272" t="str">
        <f>IFERROR(VLOOKUP(TableHandbook[[#This Row],[UDC]],TableOSEPSTEME[],7,FALSE),"")</f>
        <v/>
      </c>
    </row>
    <row r="41" spans="1:29" x14ac:dyDescent="0.25">
      <c r="A41" s="3" t="s">
        <v>303</v>
      </c>
      <c r="B41" s="4">
        <v>2</v>
      </c>
      <c r="C41" s="3" t="s">
        <v>404</v>
      </c>
      <c r="D41" s="3" t="s">
        <v>405</v>
      </c>
      <c r="E41" s="4">
        <v>25</v>
      </c>
      <c r="F41" s="188" t="s">
        <v>333</v>
      </c>
      <c r="G41" s="120" t="str">
        <f>IFERROR(IF(VLOOKUP(TableHandbook[[#This Row],[UDC]],TableAvailabilities[],2,FALSE)&gt;0,"Y",""),"")</f>
        <v>Y</v>
      </c>
      <c r="H41" s="121" t="str">
        <f>IFERROR(IF(VLOOKUP(TableHandbook[[#This Row],[UDC]],TableAvailabilities[],3,FALSE)&gt;0,"Y",""),"")</f>
        <v>Y</v>
      </c>
      <c r="I41" s="121" t="str">
        <f>IFERROR(IF(VLOOKUP(TableHandbook[[#This Row],[UDC]],TableAvailabilities[],4,FALSE)&gt;0,"Y",""),"")</f>
        <v>Y</v>
      </c>
      <c r="J41" s="172" t="str">
        <f>IFERROR(IF(VLOOKUP(TableHandbook[[#This Row],[UDC]],TableAvailabilities[],5,FALSE)&gt;0,"Y",""),"")</f>
        <v>Y</v>
      </c>
      <c r="K41" s="249"/>
      <c r="L41" s="269" t="str">
        <f>IFERROR(VLOOKUP(TableHandbook[[#This Row],[UDC]],TableOMTEACH1[],7,FALSE),"")</f>
        <v/>
      </c>
      <c r="M41" s="130" t="str">
        <f>IFERROR(VLOOKUP(TableHandbook[[#This Row],[UDC]],TableOUMPTCHEC[],7,FALSE),"")</f>
        <v/>
      </c>
      <c r="N41" s="130" t="str">
        <f>IFERROR(VLOOKUP(TableHandbook[[#This Row],[UDC]],TableOUMPTCHPE[],7,FALSE),"")</f>
        <v/>
      </c>
      <c r="O41" s="270" t="str">
        <f>IFERROR(VLOOKUP(TableHandbook[[#This Row],[UDC]],TableOUMPTCHSE[],7,FALSE),"")</f>
        <v>Option</v>
      </c>
      <c r="P41" s="271" t="str">
        <f>IFERROR(VLOOKUP(TableHandbook[[#This Row],[UDC]],TableOCTESOL1[],7,FALSE),"")</f>
        <v/>
      </c>
      <c r="Q41" s="187" t="str">
        <f>IFERROR(VLOOKUP(TableHandbook[[#This Row],[UDC]],TableOCTESOL[],7,FALSE),"")</f>
        <v/>
      </c>
      <c r="R41" s="272" t="str">
        <f>IFERROR(VLOOKUP(TableHandbook[[#This Row],[UDC]],TableOMAPLING[],7,FALSE),"")</f>
        <v/>
      </c>
      <c r="S41" s="271" t="str">
        <f>IFERROR(VLOOKUP(TableHandbook[[#This Row],[UDC]],TableOCEDHE1[],7,FALSE),"")</f>
        <v/>
      </c>
      <c r="T41" s="272" t="str">
        <f>IFERROR(VLOOKUP(TableHandbook[[#This Row],[UDC]],TableOCEDHE[],7,FALSE),"")</f>
        <v/>
      </c>
      <c r="U41" s="271" t="str">
        <f>IFERROR(VLOOKUP(TableHandbook[[#This Row],[UDC]],TableOCEDUCS1[],7,FALSE),"")</f>
        <v/>
      </c>
      <c r="V41" s="187" t="str">
        <f>IFERROR(VLOOKUP(TableHandbook[[#This Row],[UDC]],TableOCEDUC[],7,FALSE),"")</f>
        <v/>
      </c>
      <c r="W41" s="187" t="str">
        <f>IFERROR(VLOOKUP(TableHandbook[[#This Row],[UDC]],TableOGEDUC[],7,FALSE),"")</f>
        <v/>
      </c>
      <c r="X41" s="187" t="str">
        <f>IFERROR(VLOOKUP(TableHandbook[[#This Row],[UDC]],TableOUMPEDUPR[],7,FALSE),"")</f>
        <v/>
      </c>
      <c r="Y41" s="187" t="str">
        <f>IFERROR(VLOOKUP(TableHandbook[[#This Row],[UDC]],TableOUMPEDUSC[],7,FALSE),"")</f>
        <v>Option</v>
      </c>
      <c r="Z41" s="187" t="str">
        <f>IFERROR(VLOOKUP(TableHandbook[[#This Row],[UDC]],TableOMEDUC[],7,FALSE),"")</f>
        <v/>
      </c>
      <c r="AA41" s="187" t="str">
        <f>IFERROR(VLOOKUP(TableHandbook[[#This Row],[UDC]],TableOSEPCULIN[],7,FALSE),"")</f>
        <v/>
      </c>
      <c r="AB41" s="187" t="str">
        <f>IFERROR(VLOOKUP(TableHandbook[[#This Row],[UDC]],TableOSEPLNTCH[],7,FALSE),"")</f>
        <v/>
      </c>
      <c r="AC41" s="272" t="str">
        <f>IFERROR(VLOOKUP(TableHandbook[[#This Row],[UDC]],TableOSEPSTEME[],7,FALSE),"")</f>
        <v/>
      </c>
    </row>
    <row r="42" spans="1:29" x14ac:dyDescent="0.25">
      <c r="A42" s="3" t="s">
        <v>304</v>
      </c>
      <c r="B42" s="4">
        <v>2</v>
      </c>
      <c r="C42" s="3" t="s">
        <v>406</v>
      </c>
      <c r="D42" s="3" t="s">
        <v>407</v>
      </c>
      <c r="E42" s="4">
        <v>25</v>
      </c>
      <c r="F42" s="188" t="s">
        <v>333</v>
      </c>
      <c r="G42" s="120" t="str">
        <f>IFERROR(IF(VLOOKUP(TableHandbook[[#This Row],[UDC]],TableAvailabilities[],2,FALSE)&gt;0,"Y",""),"")</f>
        <v>Y</v>
      </c>
      <c r="H42" s="121" t="str">
        <f>IFERROR(IF(VLOOKUP(TableHandbook[[#This Row],[UDC]],TableAvailabilities[],3,FALSE)&gt;0,"Y",""),"")</f>
        <v>Y</v>
      </c>
      <c r="I42" s="121" t="str">
        <f>IFERROR(IF(VLOOKUP(TableHandbook[[#This Row],[UDC]],TableAvailabilities[],4,FALSE)&gt;0,"Y",""),"")</f>
        <v>Y</v>
      </c>
      <c r="J42" s="172" t="str">
        <f>IFERROR(IF(VLOOKUP(TableHandbook[[#This Row],[UDC]],TableAvailabilities[],5,FALSE)&gt;0,"Y",""),"")</f>
        <v>Y</v>
      </c>
      <c r="K42" s="249"/>
      <c r="L42" s="269" t="str">
        <f>IFERROR(VLOOKUP(TableHandbook[[#This Row],[UDC]],TableOMTEACH1[],7,FALSE),"")</f>
        <v/>
      </c>
      <c r="M42" s="130" t="str">
        <f>IFERROR(VLOOKUP(TableHandbook[[#This Row],[UDC]],TableOUMPTCHEC[],7,FALSE),"")</f>
        <v/>
      </c>
      <c r="N42" s="130" t="str">
        <f>IFERROR(VLOOKUP(TableHandbook[[#This Row],[UDC]],TableOUMPTCHPE[],7,FALSE),"")</f>
        <v/>
      </c>
      <c r="O42" s="270" t="str">
        <f>IFERROR(VLOOKUP(TableHandbook[[#This Row],[UDC]],TableOUMPTCHSE[],7,FALSE),"")</f>
        <v>Option</v>
      </c>
      <c r="P42" s="271" t="str">
        <f>IFERROR(VLOOKUP(TableHandbook[[#This Row],[UDC]],TableOCTESOL1[],7,FALSE),"")</f>
        <v/>
      </c>
      <c r="Q42" s="187" t="str">
        <f>IFERROR(VLOOKUP(TableHandbook[[#This Row],[UDC]],TableOCTESOL[],7,FALSE),"")</f>
        <v/>
      </c>
      <c r="R42" s="272" t="str">
        <f>IFERROR(VLOOKUP(TableHandbook[[#This Row],[UDC]],TableOMAPLING[],7,FALSE),"")</f>
        <v/>
      </c>
      <c r="S42" s="271" t="str">
        <f>IFERROR(VLOOKUP(TableHandbook[[#This Row],[UDC]],TableOCEDHE1[],7,FALSE),"")</f>
        <v/>
      </c>
      <c r="T42" s="272" t="str">
        <f>IFERROR(VLOOKUP(TableHandbook[[#This Row],[UDC]],TableOCEDHE[],7,FALSE),"")</f>
        <v/>
      </c>
      <c r="U42" s="271" t="str">
        <f>IFERROR(VLOOKUP(TableHandbook[[#This Row],[UDC]],TableOCEDUCS1[],7,FALSE),"")</f>
        <v/>
      </c>
      <c r="V42" s="187" t="str">
        <f>IFERROR(VLOOKUP(TableHandbook[[#This Row],[UDC]],TableOCEDUC[],7,FALSE),"")</f>
        <v/>
      </c>
      <c r="W42" s="187" t="str">
        <f>IFERROR(VLOOKUP(TableHandbook[[#This Row],[UDC]],TableOGEDUC[],7,FALSE),"")</f>
        <v/>
      </c>
      <c r="X42" s="187" t="str">
        <f>IFERROR(VLOOKUP(TableHandbook[[#This Row],[UDC]],TableOUMPEDUPR[],7,FALSE),"")</f>
        <v/>
      </c>
      <c r="Y42" s="187" t="str">
        <f>IFERROR(VLOOKUP(TableHandbook[[#This Row],[UDC]],TableOUMPEDUSC[],7,FALSE),"")</f>
        <v>Option</v>
      </c>
      <c r="Z42" s="187" t="str">
        <f>IFERROR(VLOOKUP(TableHandbook[[#This Row],[UDC]],TableOMEDUC[],7,FALSE),"")</f>
        <v/>
      </c>
      <c r="AA42" s="187" t="str">
        <f>IFERROR(VLOOKUP(TableHandbook[[#This Row],[UDC]],TableOSEPCULIN[],7,FALSE),"")</f>
        <v/>
      </c>
      <c r="AB42" s="187" t="str">
        <f>IFERROR(VLOOKUP(TableHandbook[[#This Row],[UDC]],TableOSEPLNTCH[],7,FALSE),"")</f>
        <v/>
      </c>
      <c r="AC42" s="272" t="str">
        <f>IFERROR(VLOOKUP(TableHandbook[[#This Row],[UDC]],TableOSEPSTEME[],7,FALSE),"")</f>
        <v/>
      </c>
    </row>
    <row r="43" spans="1:29" x14ac:dyDescent="0.25">
      <c r="A43" s="3" t="s">
        <v>305</v>
      </c>
      <c r="B43" s="4">
        <v>2</v>
      </c>
      <c r="C43" s="3" t="s">
        <v>408</v>
      </c>
      <c r="D43" s="3" t="s">
        <v>409</v>
      </c>
      <c r="E43" s="4">
        <v>25</v>
      </c>
      <c r="F43" s="188" t="s">
        <v>333</v>
      </c>
      <c r="G43" s="120" t="str">
        <f>IFERROR(IF(VLOOKUP(TableHandbook[[#This Row],[UDC]],TableAvailabilities[],2,FALSE)&gt;0,"Y",""),"")</f>
        <v>Y</v>
      </c>
      <c r="H43" s="121" t="str">
        <f>IFERROR(IF(VLOOKUP(TableHandbook[[#This Row],[UDC]],TableAvailabilities[],3,FALSE)&gt;0,"Y",""),"")</f>
        <v>Y</v>
      </c>
      <c r="I43" s="121" t="str">
        <f>IFERROR(IF(VLOOKUP(TableHandbook[[#This Row],[UDC]],TableAvailabilities[],4,FALSE)&gt;0,"Y",""),"")</f>
        <v>Y</v>
      </c>
      <c r="J43" s="172" t="str">
        <f>IFERROR(IF(VLOOKUP(TableHandbook[[#This Row],[UDC]],TableAvailabilities[],5,FALSE)&gt;0,"Y",""),"")</f>
        <v>Y</v>
      </c>
      <c r="K43" s="249"/>
      <c r="L43" s="269" t="str">
        <f>IFERROR(VLOOKUP(TableHandbook[[#This Row],[UDC]],TableOMTEACH1[],7,FALSE),"")</f>
        <v/>
      </c>
      <c r="M43" s="130" t="str">
        <f>IFERROR(VLOOKUP(TableHandbook[[#This Row],[UDC]],TableOUMPTCHEC[],7,FALSE),"")</f>
        <v/>
      </c>
      <c r="N43" s="130" t="str">
        <f>IFERROR(VLOOKUP(TableHandbook[[#This Row],[UDC]],TableOUMPTCHPE[],7,FALSE),"")</f>
        <v/>
      </c>
      <c r="O43" s="270" t="str">
        <f>IFERROR(VLOOKUP(TableHandbook[[#This Row],[UDC]],TableOUMPTCHSE[],7,FALSE),"")</f>
        <v>Option</v>
      </c>
      <c r="P43" s="271" t="str">
        <f>IFERROR(VLOOKUP(TableHandbook[[#This Row],[UDC]],TableOCTESOL1[],7,FALSE),"")</f>
        <v/>
      </c>
      <c r="Q43" s="187" t="str">
        <f>IFERROR(VLOOKUP(TableHandbook[[#This Row],[UDC]],TableOCTESOL[],7,FALSE),"")</f>
        <v/>
      </c>
      <c r="R43" s="272" t="str">
        <f>IFERROR(VLOOKUP(TableHandbook[[#This Row],[UDC]],TableOMAPLING[],7,FALSE),"")</f>
        <v/>
      </c>
      <c r="S43" s="271" t="str">
        <f>IFERROR(VLOOKUP(TableHandbook[[#This Row],[UDC]],TableOCEDHE1[],7,FALSE),"")</f>
        <v/>
      </c>
      <c r="T43" s="272" t="str">
        <f>IFERROR(VLOOKUP(TableHandbook[[#This Row],[UDC]],TableOCEDHE[],7,FALSE),"")</f>
        <v/>
      </c>
      <c r="U43" s="271" t="str">
        <f>IFERROR(VLOOKUP(TableHandbook[[#This Row],[UDC]],TableOCEDUCS1[],7,FALSE),"")</f>
        <v/>
      </c>
      <c r="V43" s="187" t="str">
        <f>IFERROR(VLOOKUP(TableHandbook[[#This Row],[UDC]],TableOCEDUC[],7,FALSE),"")</f>
        <v/>
      </c>
      <c r="W43" s="187" t="str">
        <f>IFERROR(VLOOKUP(TableHandbook[[#This Row],[UDC]],TableOGEDUC[],7,FALSE),"")</f>
        <v/>
      </c>
      <c r="X43" s="187" t="str">
        <f>IFERROR(VLOOKUP(TableHandbook[[#This Row],[UDC]],TableOUMPEDUPR[],7,FALSE),"")</f>
        <v/>
      </c>
      <c r="Y43" s="187" t="str">
        <f>IFERROR(VLOOKUP(TableHandbook[[#This Row],[UDC]],TableOUMPEDUSC[],7,FALSE),"")</f>
        <v>Option</v>
      </c>
      <c r="Z43" s="187" t="str">
        <f>IFERROR(VLOOKUP(TableHandbook[[#This Row],[UDC]],TableOMEDUC[],7,FALSE),"")</f>
        <v/>
      </c>
      <c r="AA43" s="187" t="str">
        <f>IFERROR(VLOOKUP(TableHandbook[[#This Row],[UDC]],TableOSEPCULIN[],7,FALSE),"")</f>
        <v/>
      </c>
      <c r="AB43" s="187" t="str">
        <f>IFERROR(VLOOKUP(TableHandbook[[#This Row],[UDC]],TableOSEPLNTCH[],7,FALSE),"")</f>
        <v/>
      </c>
      <c r="AC43" s="272" t="str">
        <f>IFERROR(VLOOKUP(TableHandbook[[#This Row],[UDC]],TableOSEPSTEME[],7,FALSE),"")</f>
        <v/>
      </c>
    </row>
    <row r="44" spans="1:29" x14ac:dyDescent="0.25">
      <c r="A44" s="3" t="s">
        <v>273</v>
      </c>
      <c r="B44" s="4">
        <v>1</v>
      </c>
      <c r="C44" s="3" t="s">
        <v>410</v>
      </c>
      <c r="D44" s="3" t="s">
        <v>411</v>
      </c>
      <c r="E44" s="4">
        <v>25</v>
      </c>
      <c r="F44" s="188" t="s">
        <v>387</v>
      </c>
      <c r="G44" s="120" t="str">
        <f>IFERROR(IF(VLOOKUP(TableHandbook[[#This Row],[UDC]],TableAvailabilities[],2,FALSE)&gt;0,"Y",""),"")</f>
        <v/>
      </c>
      <c r="H44" s="121" t="str">
        <f>IFERROR(IF(VLOOKUP(TableHandbook[[#This Row],[UDC]],TableAvailabilities[],3,FALSE)&gt;0,"Y",""),"")</f>
        <v>Y</v>
      </c>
      <c r="I44" s="121" t="str">
        <f>IFERROR(IF(VLOOKUP(TableHandbook[[#This Row],[UDC]],TableAvailabilities[],4,FALSE)&gt;0,"Y",""),"")</f>
        <v>Y</v>
      </c>
      <c r="J44" s="172" t="str">
        <f>IFERROR(IF(VLOOKUP(TableHandbook[[#This Row],[UDC]],TableAvailabilities[],5,FALSE)&gt;0,"Y",""),"")</f>
        <v/>
      </c>
      <c r="K44" s="249"/>
      <c r="L44" s="269" t="str">
        <f>IFERROR(VLOOKUP(TableHandbook[[#This Row],[UDC]],TableOMTEACH1[],7,FALSE),"")</f>
        <v/>
      </c>
      <c r="M44" s="130" t="str">
        <f>IFERROR(VLOOKUP(TableHandbook[[#This Row],[UDC]],TableOUMPTCHEC[],7,FALSE),"")</f>
        <v/>
      </c>
      <c r="N44" s="130" t="str">
        <f>IFERROR(VLOOKUP(TableHandbook[[#This Row],[UDC]],TableOUMPTCHPE[],7,FALSE),"")</f>
        <v/>
      </c>
      <c r="O44" s="270" t="str">
        <f>IFERROR(VLOOKUP(TableHandbook[[#This Row],[UDC]],TableOUMPTCHSE[],7,FALSE),"")</f>
        <v>Core</v>
      </c>
      <c r="P44" s="271" t="str">
        <f>IFERROR(VLOOKUP(TableHandbook[[#This Row],[UDC]],TableOCTESOL1[],7,FALSE),"")</f>
        <v/>
      </c>
      <c r="Q44" s="187" t="str">
        <f>IFERROR(VLOOKUP(TableHandbook[[#This Row],[UDC]],TableOCTESOL[],7,FALSE),"")</f>
        <v/>
      </c>
      <c r="R44" s="272" t="str">
        <f>IFERROR(VLOOKUP(TableHandbook[[#This Row],[UDC]],TableOMAPLING[],7,FALSE),"")</f>
        <v/>
      </c>
      <c r="S44" s="271" t="str">
        <f>IFERROR(VLOOKUP(TableHandbook[[#This Row],[UDC]],TableOCEDHE1[],7,FALSE),"")</f>
        <v/>
      </c>
      <c r="T44" s="272" t="str">
        <f>IFERROR(VLOOKUP(TableHandbook[[#This Row],[UDC]],TableOCEDHE[],7,FALSE),"")</f>
        <v/>
      </c>
      <c r="U44" s="271" t="str">
        <f>IFERROR(VLOOKUP(TableHandbook[[#This Row],[UDC]],TableOCEDUCS1[],7,FALSE),"")</f>
        <v/>
      </c>
      <c r="V44" s="187" t="str">
        <f>IFERROR(VLOOKUP(TableHandbook[[#This Row],[UDC]],TableOCEDUC[],7,FALSE),"")</f>
        <v/>
      </c>
      <c r="W44" s="187" t="str">
        <f>IFERROR(VLOOKUP(TableHandbook[[#This Row],[UDC]],TableOGEDUC[],7,FALSE),"")</f>
        <v/>
      </c>
      <c r="X44" s="187" t="str">
        <f>IFERROR(VLOOKUP(TableHandbook[[#This Row],[UDC]],TableOUMPEDUPR[],7,FALSE),"")</f>
        <v/>
      </c>
      <c r="Y44" s="187" t="str">
        <f>IFERROR(VLOOKUP(TableHandbook[[#This Row],[UDC]],TableOUMPEDUSC[],7,FALSE),"")</f>
        <v>Core</v>
      </c>
      <c r="Z44" s="187" t="str">
        <f>IFERROR(VLOOKUP(TableHandbook[[#This Row],[UDC]],TableOMEDUC[],7,FALSE),"")</f>
        <v/>
      </c>
      <c r="AA44" s="187" t="str">
        <f>IFERROR(VLOOKUP(TableHandbook[[#This Row],[UDC]],TableOSEPCULIN[],7,FALSE),"")</f>
        <v/>
      </c>
      <c r="AB44" s="187" t="str">
        <f>IFERROR(VLOOKUP(TableHandbook[[#This Row],[UDC]],TableOSEPLNTCH[],7,FALSE),"")</f>
        <v/>
      </c>
      <c r="AC44" s="272" t="str">
        <f>IFERROR(VLOOKUP(TableHandbook[[#This Row],[UDC]],TableOSEPSTEME[],7,FALSE),"")</f>
        <v/>
      </c>
    </row>
    <row r="45" spans="1:29" x14ac:dyDescent="0.25">
      <c r="A45" s="3" t="s">
        <v>301</v>
      </c>
      <c r="B45" s="4">
        <v>1</v>
      </c>
      <c r="C45" s="3" t="s">
        <v>412</v>
      </c>
      <c r="D45" s="3" t="s">
        <v>413</v>
      </c>
      <c r="E45" s="4">
        <v>25</v>
      </c>
      <c r="F45" s="188" t="s">
        <v>333</v>
      </c>
      <c r="G45" s="120" t="str">
        <f>IFERROR(IF(VLOOKUP(TableHandbook[[#This Row],[UDC]],TableAvailabilities[],2,FALSE)&gt;0,"Y",""),"")</f>
        <v>Y</v>
      </c>
      <c r="H45" s="121" t="str">
        <f>IFERROR(IF(VLOOKUP(TableHandbook[[#This Row],[UDC]],TableAvailabilities[],3,FALSE)&gt;0,"Y",""),"")</f>
        <v>Y</v>
      </c>
      <c r="I45" s="121" t="str">
        <f>IFERROR(IF(VLOOKUP(TableHandbook[[#This Row],[UDC]],TableAvailabilities[],4,FALSE)&gt;0,"Y",""),"")</f>
        <v>Y</v>
      </c>
      <c r="J45" s="172" t="str">
        <f>IFERROR(IF(VLOOKUP(TableHandbook[[#This Row],[UDC]],TableAvailabilities[],5,FALSE)&gt;0,"Y",""),"")</f>
        <v>Y</v>
      </c>
      <c r="K45" s="249"/>
      <c r="L45" s="269" t="str">
        <f>IFERROR(VLOOKUP(TableHandbook[[#This Row],[UDC]],TableOMTEACH1[],7,FALSE),"")</f>
        <v/>
      </c>
      <c r="M45" s="130" t="str">
        <f>IFERROR(VLOOKUP(TableHandbook[[#This Row],[UDC]],TableOUMPTCHEC[],7,FALSE),"")</f>
        <v/>
      </c>
      <c r="N45" s="130" t="str">
        <f>IFERROR(VLOOKUP(TableHandbook[[#This Row],[UDC]],TableOUMPTCHPE[],7,FALSE),"")</f>
        <v/>
      </c>
      <c r="O45" s="270" t="str">
        <f>IFERROR(VLOOKUP(TableHandbook[[#This Row],[UDC]],TableOUMPTCHSE[],7,FALSE),"")</f>
        <v>Option</v>
      </c>
      <c r="P45" s="271" t="str">
        <f>IFERROR(VLOOKUP(TableHandbook[[#This Row],[UDC]],TableOCTESOL1[],7,FALSE),"")</f>
        <v/>
      </c>
      <c r="Q45" s="187" t="str">
        <f>IFERROR(VLOOKUP(TableHandbook[[#This Row],[UDC]],TableOCTESOL[],7,FALSE),"")</f>
        <v/>
      </c>
      <c r="R45" s="272" t="str">
        <f>IFERROR(VLOOKUP(TableHandbook[[#This Row],[UDC]],TableOMAPLING[],7,FALSE),"")</f>
        <v/>
      </c>
      <c r="S45" s="271" t="str">
        <f>IFERROR(VLOOKUP(TableHandbook[[#This Row],[UDC]],TableOCEDHE1[],7,FALSE),"")</f>
        <v/>
      </c>
      <c r="T45" s="272" t="str">
        <f>IFERROR(VLOOKUP(TableHandbook[[#This Row],[UDC]],TableOCEDHE[],7,FALSE),"")</f>
        <v/>
      </c>
      <c r="U45" s="271" t="str">
        <f>IFERROR(VLOOKUP(TableHandbook[[#This Row],[UDC]],TableOCEDUCS1[],7,FALSE),"")</f>
        <v/>
      </c>
      <c r="V45" s="187" t="str">
        <f>IFERROR(VLOOKUP(TableHandbook[[#This Row],[UDC]],TableOCEDUC[],7,FALSE),"")</f>
        <v/>
      </c>
      <c r="W45" s="187" t="str">
        <f>IFERROR(VLOOKUP(TableHandbook[[#This Row],[UDC]],TableOGEDUC[],7,FALSE),"")</f>
        <v/>
      </c>
      <c r="X45" s="187" t="str">
        <f>IFERROR(VLOOKUP(TableHandbook[[#This Row],[UDC]],TableOUMPEDUPR[],7,FALSE),"")</f>
        <v/>
      </c>
      <c r="Y45" s="187" t="str">
        <f>IFERROR(VLOOKUP(TableHandbook[[#This Row],[UDC]],TableOUMPEDUSC[],7,FALSE),"")</f>
        <v>Option</v>
      </c>
      <c r="Z45" s="187" t="str">
        <f>IFERROR(VLOOKUP(TableHandbook[[#This Row],[UDC]],TableOMEDUC[],7,FALSE),"")</f>
        <v/>
      </c>
      <c r="AA45" s="187" t="str">
        <f>IFERROR(VLOOKUP(TableHandbook[[#This Row],[UDC]],TableOSEPCULIN[],7,FALSE),"")</f>
        <v/>
      </c>
      <c r="AB45" s="187" t="str">
        <f>IFERROR(VLOOKUP(TableHandbook[[#This Row],[UDC]],TableOSEPLNTCH[],7,FALSE),"")</f>
        <v/>
      </c>
      <c r="AC45" s="272" t="str">
        <f>IFERROR(VLOOKUP(TableHandbook[[#This Row],[UDC]],TableOSEPSTEME[],7,FALSE),"")</f>
        <v/>
      </c>
    </row>
    <row r="46" spans="1:29" x14ac:dyDescent="0.25">
      <c r="A46" s="3" t="s">
        <v>294</v>
      </c>
      <c r="B46" s="4">
        <v>1</v>
      </c>
      <c r="C46" s="3" t="s">
        <v>414</v>
      </c>
      <c r="D46" s="3" t="s">
        <v>415</v>
      </c>
      <c r="E46" s="4">
        <v>25</v>
      </c>
      <c r="F46" s="188" t="s">
        <v>333</v>
      </c>
      <c r="G46" s="120" t="str">
        <f>IFERROR(IF(VLOOKUP(TableHandbook[[#This Row],[UDC]],TableAvailabilities[],2,FALSE)&gt;0,"Y",""),"")</f>
        <v/>
      </c>
      <c r="H46" s="121" t="str">
        <f>IFERROR(IF(VLOOKUP(TableHandbook[[#This Row],[UDC]],TableAvailabilities[],3,FALSE)&gt;0,"Y",""),"")</f>
        <v>Y</v>
      </c>
      <c r="I46" s="121" t="str">
        <f>IFERROR(IF(VLOOKUP(TableHandbook[[#This Row],[UDC]],TableAvailabilities[],4,FALSE)&gt;0,"Y",""),"")</f>
        <v/>
      </c>
      <c r="J46" s="172" t="str">
        <f>IFERROR(IF(VLOOKUP(TableHandbook[[#This Row],[UDC]],TableAvailabilities[],5,FALSE)&gt;0,"Y",""),"")</f>
        <v>Y</v>
      </c>
      <c r="K46" s="249"/>
      <c r="L46" s="269" t="str">
        <f>IFERROR(VLOOKUP(TableHandbook[[#This Row],[UDC]],TableOMTEACH1[],7,FALSE),"")</f>
        <v/>
      </c>
      <c r="M46" s="130" t="str">
        <f>IFERROR(VLOOKUP(TableHandbook[[#This Row],[UDC]],TableOUMPTCHEC[],7,FALSE),"")</f>
        <v/>
      </c>
      <c r="N46" s="130" t="str">
        <f>IFERROR(VLOOKUP(TableHandbook[[#This Row],[UDC]],TableOUMPTCHPE[],7,FALSE),"")</f>
        <v/>
      </c>
      <c r="O46" s="270" t="str">
        <f>IFERROR(VLOOKUP(TableHandbook[[#This Row],[UDC]],TableOUMPTCHSE[],7,FALSE),"")</f>
        <v>Option</v>
      </c>
      <c r="P46" s="271" t="str">
        <f>IFERROR(VLOOKUP(TableHandbook[[#This Row],[UDC]],TableOCTESOL1[],7,FALSE),"")</f>
        <v/>
      </c>
      <c r="Q46" s="187" t="str">
        <f>IFERROR(VLOOKUP(TableHandbook[[#This Row],[UDC]],TableOCTESOL[],7,FALSE),"")</f>
        <v/>
      </c>
      <c r="R46" s="272" t="str">
        <f>IFERROR(VLOOKUP(TableHandbook[[#This Row],[UDC]],TableOMAPLING[],7,FALSE),"")</f>
        <v/>
      </c>
      <c r="S46" s="271" t="str">
        <f>IFERROR(VLOOKUP(TableHandbook[[#This Row],[UDC]],TableOCEDHE1[],7,FALSE),"")</f>
        <v/>
      </c>
      <c r="T46" s="272" t="str">
        <f>IFERROR(VLOOKUP(TableHandbook[[#This Row],[UDC]],TableOCEDHE[],7,FALSE),"")</f>
        <v/>
      </c>
      <c r="U46" s="271" t="str">
        <f>IFERROR(VLOOKUP(TableHandbook[[#This Row],[UDC]],TableOCEDUCS1[],7,FALSE),"")</f>
        <v/>
      </c>
      <c r="V46" s="187" t="str">
        <f>IFERROR(VLOOKUP(TableHandbook[[#This Row],[UDC]],TableOCEDUC[],7,FALSE),"")</f>
        <v/>
      </c>
      <c r="W46" s="187" t="str">
        <f>IFERROR(VLOOKUP(TableHandbook[[#This Row],[UDC]],TableOGEDUC[],7,FALSE),"")</f>
        <v/>
      </c>
      <c r="X46" s="187" t="str">
        <f>IFERROR(VLOOKUP(TableHandbook[[#This Row],[UDC]],TableOUMPEDUPR[],7,FALSE),"")</f>
        <v/>
      </c>
      <c r="Y46" s="187" t="str">
        <f>IFERROR(VLOOKUP(TableHandbook[[#This Row],[UDC]],TableOUMPEDUSC[],7,FALSE),"")</f>
        <v>Option</v>
      </c>
      <c r="Z46" s="187" t="str">
        <f>IFERROR(VLOOKUP(TableHandbook[[#This Row],[UDC]],TableOMEDUC[],7,FALSE),"")</f>
        <v/>
      </c>
      <c r="AA46" s="187" t="str">
        <f>IFERROR(VLOOKUP(TableHandbook[[#This Row],[UDC]],TableOSEPCULIN[],7,FALSE),"")</f>
        <v/>
      </c>
      <c r="AB46" s="187" t="str">
        <f>IFERROR(VLOOKUP(TableHandbook[[#This Row],[UDC]],TableOSEPLNTCH[],7,FALSE),"")</f>
        <v/>
      </c>
      <c r="AC46" s="272" t="str">
        <f>IFERROR(VLOOKUP(TableHandbook[[#This Row],[UDC]],TableOSEPSTEME[],7,FALSE),"")</f>
        <v/>
      </c>
    </row>
    <row r="47" spans="1:29" x14ac:dyDescent="0.25">
      <c r="A47" s="3" t="s">
        <v>302</v>
      </c>
      <c r="B47" s="4">
        <v>1</v>
      </c>
      <c r="C47" s="3" t="s">
        <v>416</v>
      </c>
      <c r="D47" s="3" t="s">
        <v>417</v>
      </c>
      <c r="E47" s="4">
        <v>25</v>
      </c>
      <c r="F47" s="188" t="s">
        <v>333</v>
      </c>
      <c r="G47" s="120" t="str">
        <f>IFERROR(IF(VLOOKUP(TableHandbook[[#This Row],[UDC]],TableAvailabilities[],2,FALSE)&gt;0,"Y",""),"")</f>
        <v>Y</v>
      </c>
      <c r="H47" s="121" t="str">
        <f>IFERROR(IF(VLOOKUP(TableHandbook[[#This Row],[UDC]],TableAvailabilities[],3,FALSE)&gt;0,"Y",""),"")</f>
        <v>Y</v>
      </c>
      <c r="I47" s="121" t="str">
        <f>IFERROR(IF(VLOOKUP(TableHandbook[[#This Row],[UDC]],TableAvailabilities[],4,FALSE)&gt;0,"Y",""),"")</f>
        <v>Y</v>
      </c>
      <c r="J47" s="172" t="str">
        <f>IFERROR(IF(VLOOKUP(TableHandbook[[#This Row],[UDC]],TableAvailabilities[],5,FALSE)&gt;0,"Y",""),"")</f>
        <v>Y</v>
      </c>
      <c r="K47" s="249"/>
      <c r="L47" s="269" t="str">
        <f>IFERROR(VLOOKUP(TableHandbook[[#This Row],[UDC]],TableOMTEACH1[],7,FALSE),"")</f>
        <v/>
      </c>
      <c r="M47" s="130" t="str">
        <f>IFERROR(VLOOKUP(TableHandbook[[#This Row],[UDC]],TableOUMPTCHEC[],7,FALSE),"")</f>
        <v/>
      </c>
      <c r="N47" s="130" t="str">
        <f>IFERROR(VLOOKUP(TableHandbook[[#This Row],[UDC]],TableOUMPTCHPE[],7,FALSE),"")</f>
        <v/>
      </c>
      <c r="O47" s="270" t="str">
        <f>IFERROR(VLOOKUP(TableHandbook[[#This Row],[UDC]],TableOUMPTCHSE[],7,FALSE),"")</f>
        <v>Option</v>
      </c>
      <c r="P47" s="271" t="str">
        <f>IFERROR(VLOOKUP(TableHandbook[[#This Row],[UDC]],TableOCTESOL1[],7,FALSE),"")</f>
        <v/>
      </c>
      <c r="Q47" s="187" t="str">
        <f>IFERROR(VLOOKUP(TableHandbook[[#This Row],[UDC]],TableOCTESOL[],7,FALSE),"")</f>
        <v/>
      </c>
      <c r="R47" s="272" t="str">
        <f>IFERROR(VLOOKUP(TableHandbook[[#This Row],[UDC]],TableOMAPLING[],7,FALSE),"")</f>
        <v/>
      </c>
      <c r="S47" s="271" t="str">
        <f>IFERROR(VLOOKUP(TableHandbook[[#This Row],[UDC]],TableOCEDHE1[],7,FALSE),"")</f>
        <v/>
      </c>
      <c r="T47" s="272" t="str">
        <f>IFERROR(VLOOKUP(TableHandbook[[#This Row],[UDC]],TableOCEDHE[],7,FALSE),"")</f>
        <v/>
      </c>
      <c r="U47" s="271" t="str">
        <f>IFERROR(VLOOKUP(TableHandbook[[#This Row],[UDC]],TableOCEDUCS1[],7,FALSE),"")</f>
        <v/>
      </c>
      <c r="V47" s="187" t="str">
        <f>IFERROR(VLOOKUP(TableHandbook[[#This Row],[UDC]],TableOCEDUC[],7,FALSE),"")</f>
        <v/>
      </c>
      <c r="W47" s="187" t="str">
        <f>IFERROR(VLOOKUP(TableHandbook[[#This Row],[UDC]],TableOGEDUC[],7,FALSE),"")</f>
        <v/>
      </c>
      <c r="X47" s="187" t="str">
        <f>IFERROR(VLOOKUP(TableHandbook[[#This Row],[UDC]],TableOUMPEDUPR[],7,FALSE),"")</f>
        <v/>
      </c>
      <c r="Y47" s="187" t="str">
        <f>IFERROR(VLOOKUP(TableHandbook[[#This Row],[UDC]],TableOUMPEDUSC[],7,FALSE),"")</f>
        <v>Option</v>
      </c>
      <c r="Z47" s="187" t="str">
        <f>IFERROR(VLOOKUP(TableHandbook[[#This Row],[UDC]],TableOMEDUC[],7,FALSE),"")</f>
        <v/>
      </c>
      <c r="AA47" s="187" t="str">
        <f>IFERROR(VLOOKUP(TableHandbook[[#This Row],[UDC]],TableOSEPCULIN[],7,FALSE),"")</f>
        <v/>
      </c>
      <c r="AB47" s="187" t="str">
        <f>IFERROR(VLOOKUP(TableHandbook[[#This Row],[UDC]],TableOSEPLNTCH[],7,FALSE),"")</f>
        <v/>
      </c>
      <c r="AC47" s="272" t="str">
        <f>IFERROR(VLOOKUP(TableHandbook[[#This Row],[UDC]],TableOSEPSTEME[],7,FALSE),"")</f>
        <v/>
      </c>
    </row>
    <row r="48" spans="1:29" x14ac:dyDescent="0.25">
      <c r="A48" s="3" t="s">
        <v>311</v>
      </c>
      <c r="B48" s="4">
        <v>1</v>
      </c>
      <c r="C48" s="3" t="s">
        <v>418</v>
      </c>
      <c r="D48" s="3" t="s">
        <v>419</v>
      </c>
      <c r="E48" s="4">
        <v>25</v>
      </c>
      <c r="F48" s="188" t="s">
        <v>333</v>
      </c>
      <c r="G48" s="120" t="str">
        <f>IFERROR(IF(VLOOKUP(TableHandbook[[#This Row],[UDC]],TableAvailabilities[],2,FALSE)&gt;0,"Y",""),"")</f>
        <v/>
      </c>
      <c r="H48" s="121" t="str">
        <f>IFERROR(IF(VLOOKUP(TableHandbook[[#This Row],[UDC]],TableAvailabilities[],3,FALSE)&gt;0,"Y",""),"")</f>
        <v>Y</v>
      </c>
      <c r="I48" s="121" t="str">
        <f>IFERROR(IF(VLOOKUP(TableHandbook[[#This Row],[UDC]],TableAvailabilities[],4,FALSE)&gt;0,"Y",""),"")</f>
        <v/>
      </c>
      <c r="J48" s="172" t="str">
        <f>IFERROR(IF(VLOOKUP(TableHandbook[[#This Row],[UDC]],TableAvailabilities[],5,FALSE)&gt;0,"Y",""),"")</f>
        <v>Y</v>
      </c>
      <c r="K48" s="249"/>
      <c r="L48" s="269" t="str">
        <f>IFERROR(VLOOKUP(TableHandbook[[#This Row],[UDC]],TableOMTEACH1[],7,FALSE),"")</f>
        <v/>
      </c>
      <c r="M48" s="130" t="str">
        <f>IFERROR(VLOOKUP(TableHandbook[[#This Row],[UDC]],TableOUMPTCHEC[],7,FALSE),"")</f>
        <v/>
      </c>
      <c r="N48" s="130" t="str">
        <f>IFERROR(VLOOKUP(TableHandbook[[#This Row],[UDC]],TableOUMPTCHPE[],7,FALSE),"")</f>
        <v/>
      </c>
      <c r="O48" s="270" t="str">
        <f>IFERROR(VLOOKUP(TableHandbook[[#This Row],[UDC]],TableOUMPTCHSE[],7,FALSE),"")</f>
        <v>Option</v>
      </c>
      <c r="P48" s="271" t="str">
        <f>IFERROR(VLOOKUP(TableHandbook[[#This Row],[UDC]],TableOCTESOL1[],7,FALSE),"")</f>
        <v/>
      </c>
      <c r="Q48" s="187" t="str">
        <f>IFERROR(VLOOKUP(TableHandbook[[#This Row],[UDC]],TableOCTESOL[],7,FALSE),"")</f>
        <v/>
      </c>
      <c r="R48" s="272" t="str">
        <f>IFERROR(VLOOKUP(TableHandbook[[#This Row],[UDC]],TableOMAPLING[],7,FALSE),"")</f>
        <v/>
      </c>
      <c r="S48" s="271" t="str">
        <f>IFERROR(VLOOKUP(TableHandbook[[#This Row],[UDC]],TableOCEDHE1[],7,FALSE),"")</f>
        <v/>
      </c>
      <c r="T48" s="272" t="str">
        <f>IFERROR(VLOOKUP(TableHandbook[[#This Row],[UDC]],TableOCEDHE[],7,FALSE),"")</f>
        <v/>
      </c>
      <c r="U48" s="271" t="str">
        <f>IFERROR(VLOOKUP(TableHandbook[[#This Row],[UDC]],TableOCEDUCS1[],7,FALSE),"")</f>
        <v/>
      </c>
      <c r="V48" s="187" t="str">
        <f>IFERROR(VLOOKUP(TableHandbook[[#This Row],[UDC]],TableOCEDUC[],7,FALSE),"")</f>
        <v/>
      </c>
      <c r="W48" s="187" t="str">
        <f>IFERROR(VLOOKUP(TableHandbook[[#This Row],[UDC]],TableOGEDUC[],7,FALSE),"")</f>
        <v/>
      </c>
      <c r="X48" s="187" t="str">
        <f>IFERROR(VLOOKUP(TableHandbook[[#This Row],[UDC]],TableOUMPEDUPR[],7,FALSE),"")</f>
        <v/>
      </c>
      <c r="Y48" s="187" t="str">
        <f>IFERROR(VLOOKUP(TableHandbook[[#This Row],[UDC]],TableOUMPEDUSC[],7,FALSE),"")</f>
        <v/>
      </c>
      <c r="Z48" s="187" t="str">
        <f>IFERROR(VLOOKUP(TableHandbook[[#This Row],[UDC]],TableOMEDUC[],7,FALSE),"")</f>
        <v/>
      </c>
      <c r="AA48" s="187" t="str">
        <f>IFERROR(VLOOKUP(TableHandbook[[#This Row],[UDC]],TableOSEPCULIN[],7,FALSE),"")</f>
        <v/>
      </c>
      <c r="AB48" s="187" t="str">
        <f>IFERROR(VLOOKUP(TableHandbook[[#This Row],[UDC]],TableOSEPLNTCH[],7,FALSE),"")</f>
        <v/>
      </c>
      <c r="AC48" s="272" t="str">
        <f>IFERROR(VLOOKUP(TableHandbook[[#This Row],[UDC]],TableOSEPSTEME[],7,FALSE),"")</f>
        <v/>
      </c>
    </row>
    <row r="49" spans="1:29" x14ac:dyDescent="0.25">
      <c r="A49" s="3" t="s">
        <v>279</v>
      </c>
      <c r="B49" s="4">
        <v>1</v>
      </c>
      <c r="C49" s="3" t="s">
        <v>420</v>
      </c>
      <c r="D49" s="3" t="s">
        <v>421</v>
      </c>
      <c r="E49" s="4">
        <v>25</v>
      </c>
      <c r="F49" s="188" t="s">
        <v>333</v>
      </c>
      <c r="G49" s="120" t="str">
        <f>IFERROR(IF(VLOOKUP(TableHandbook[[#This Row],[UDC]],TableAvailabilities[],2,FALSE)&gt;0,"Y",""),"")</f>
        <v>Y</v>
      </c>
      <c r="H49" s="121" t="str">
        <f>IFERROR(IF(VLOOKUP(TableHandbook[[#This Row],[UDC]],TableAvailabilities[],3,FALSE)&gt;0,"Y",""),"")</f>
        <v/>
      </c>
      <c r="I49" s="121" t="str">
        <f>IFERROR(IF(VLOOKUP(TableHandbook[[#This Row],[UDC]],TableAvailabilities[],4,FALSE)&gt;0,"Y",""),"")</f>
        <v/>
      </c>
      <c r="J49" s="172" t="str">
        <f>IFERROR(IF(VLOOKUP(TableHandbook[[#This Row],[UDC]],TableAvailabilities[],5,FALSE)&gt;0,"Y",""),"")</f>
        <v/>
      </c>
      <c r="K49" s="249"/>
      <c r="L49" s="269" t="str">
        <f>IFERROR(VLOOKUP(TableHandbook[[#This Row],[UDC]],TableOMTEACH1[],7,FALSE),"")</f>
        <v/>
      </c>
      <c r="M49" s="130" t="str">
        <f>IFERROR(VLOOKUP(TableHandbook[[#This Row],[UDC]],TableOUMPTCHEC[],7,FALSE),"")</f>
        <v/>
      </c>
      <c r="N49" s="130" t="str">
        <f>IFERROR(VLOOKUP(TableHandbook[[#This Row],[UDC]],TableOUMPTCHPE[],7,FALSE),"")</f>
        <v/>
      </c>
      <c r="O49" s="270" t="str">
        <f>IFERROR(VLOOKUP(TableHandbook[[#This Row],[UDC]],TableOUMPTCHSE[],7,FALSE),"")</f>
        <v>Core</v>
      </c>
      <c r="P49" s="271" t="str">
        <f>IFERROR(VLOOKUP(TableHandbook[[#This Row],[UDC]],TableOCTESOL1[],7,FALSE),"")</f>
        <v/>
      </c>
      <c r="Q49" s="187" t="str">
        <f>IFERROR(VLOOKUP(TableHandbook[[#This Row],[UDC]],TableOCTESOL[],7,FALSE),"")</f>
        <v/>
      </c>
      <c r="R49" s="272" t="str">
        <f>IFERROR(VLOOKUP(TableHandbook[[#This Row],[UDC]],TableOMAPLING[],7,FALSE),"")</f>
        <v/>
      </c>
      <c r="S49" s="271" t="str">
        <f>IFERROR(VLOOKUP(TableHandbook[[#This Row],[UDC]],TableOCEDHE1[],7,FALSE),"")</f>
        <v/>
      </c>
      <c r="T49" s="272" t="str">
        <f>IFERROR(VLOOKUP(TableHandbook[[#This Row],[UDC]],TableOCEDHE[],7,FALSE),"")</f>
        <v/>
      </c>
      <c r="U49" s="271" t="str">
        <f>IFERROR(VLOOKUP(TableHandbook[[#This Row],[UDC]],TableOCEDUCS1[],7,FALSE),"")</f>
        <v/>
      </c>
      <c r="V49" s="187" t="str">
        <f>IFERROR(VLOOKUP(TableHandbook[[#This Row],[UDC]],TableOCEDUC[],7,FALSE),"")</f>
        <v/>
      </c>
      <c r="W49" s="187" t="str">
        <f>IFERROR(VLOOKUP(TableHandbook[[#This Row],[UDC]],TableOGEDUC[],7,FALSE),"")</f>
        <v/>
      </c>
      <c r="X49" s="187" t="str">
        <f>IFERROR(VLOOKUP(TableHandbook[[#This Row],[UDC]],TableOUMPEDUPR[],7,FALSE),"")</f>
        <v/>
      </c>
      <c r="Y49" s="187" t="str">
        <f>IFERROR(VLOOKUP(TableHandbook[[#This Row],[UDC]],TableOUMPEDUSC[],7,FALSE),"")</f>
        <v/>
      </c>
      <c r="Z49" s="187" t="str">
        <f>IFERROR(VLOOKUP(TableHandbook[[#This Row],[UDC]],TableOMEDUC[],7,FALSE),"")</f>
        <v/>
      </c>
      <c r="AA49" s="187" t="str">
        <f>IFERROR(VLOOKUP(TableHandbook[[#This Row],[UDC]],TableOSEPCULIN[],7,FALSE),"")</f>
        <v/>
      </c>
      <c r="AB49" s="187" t="str">
        <f>IFERROR(VLOOKUP(TableHandbook[[#This Row],[UDC]],TableOSEPLNTCH[],7,FALSE),"")</f>
        <v/>
      </c>
      <c r="AC49" s="272" t="str">
        <f>IFERROR(VLOOKUP(TableHandbook[[#This Row],[UDC]],TableOSEPSTEME[],7,FALSE),"")</f>
        <v/>
      </c>
    </row>
    <row r="50" spans="1:29" x14ac:dyDescent="0.25">
      <c r="A50" s="3" t="s">
        <v>65</v>
      </c>
      <c r="B50" s="4">
        <v>2</v>
      </c>
      <c r="C50" s="3" t="s">
        <v>336</v>
      </c>
      <c r="D50" s="3" t="s">
        <v>422</v>
      </c>
      <c r="E50" s="4">
        <v>25</v>
      </c>
      <c r="F50" s="188" t="s">
        <v>333</v>
      </c>
      <c r="G50" s="120" t="str">
        <f>IFERROR(IF(VLOOKUP(TableHandbook[[#This Row],[UDC]],TableAvailabilities[],2,FALSE)&gt;0,"Y",""),"")</f>
        <v>Y</v>
      </c>
      <c r="H50" s="121" t="str">
        <f>IFERROR(IF(VLOOKUP(TableHandbook[[#This Row],[UDC]],TableAvailabilities[],3,FALSE)&gt;0,"Y",""),"")</f>
        <v/>
      </c>
      <c r="I50" s="121" t="str">
        <f>IFERROR(IF(VLOOKUP(TableHandbook[[#This Row],[UDC]],TableAvailabilities[],4,FALSE)&gt;0,"Y",""),"")</f>
        <v>Y</v>
      </c>
      <c r="J50" s="172" t="str">
        <f>IFERROR(IF(VLOOKUP(TableHandbook[[#This Row],[UDC]],TableAvailabilities[],5,FALSE)&gt;0,"Y",""),"")</f>
        <v/>
      </c>
      <c r="K50" s="249"/>
      <c r="L50" s="269" t="str">
        <f>IFERROR(VLOOKUP(TableHandbook[[#This Row],[UDC]],TableOMTEACH1[],7,FALSE),"")</f>
        <v/>
      </c>
      <c r="M50" s="130" t="str">
        <f>IFERROR(VLOOKUP(TableHandbook[[#This Row],[UDC]],TableOUMPTCHEC[],7,FALSE),"")</f>
        <v>Core</v>
      </c>
      <c r="N50" s="130" t="str">
        <f>IFERROR(VLOOKUP(TableHandbook[[#This Row],[UDC]],TableOUMPTCHPE[],7,FALSE),"")</f>
        <v>Core</v>
      </c>
      <c r="O50" s="270" t="str">
        <f>IFERROR(VLOOKUP(TableHandbook[[#This Row],[UDC]],TableOUMPTCHSE[],7,FALSE),"")</f>
        <v>Core</v>
      </c>
      <c r="P50" s="271" t="str">
        <f>IFERROR(VLOOKUP(TableHandbook[[#This Row],[UDC]],TableOCTESOL1[],7,FALSE),"")</f>
        <v/>
      </c>
      <c r="Q50" s="187" t="str">
        <f>IFERROR(VLOOKUP(TableHandbook[[#This Row],[UDC]],TableOCTESOL[],7,FALSE),"")</f>
        <v/>
      </c>
      <c r="R50" s="272" t="str">
        <f>IFERROR(VLOOKUP(TableHandbook[[#This Row],[UDC]],TableOMAPLING[],7,FALSE),"")</f>
        <v/>
      </c>
      <c r="S50" s="271" t="str">
        <f>IFERROR(VLOOKUP(TableHandbook[[#This Row],[UDC]],TableOCEDHE1[],7,FALSE),"")</f>
        <v/>
      </c>
      <c r="T50" s="272" t="str">
        <f>IFERROR(VLOOKUP(TableHandbook[[#This Row],[UDC]],TableOCEDHE[],7,FALSE),"")</f>
        <v/>
      </c>
      <c r="U50" s="271" t="str">
        <f>IFERROR(VLOOKUP(TableHandbook[[#This Row],[UDC]],TableOCEDUCS1[],7,FALSE),"")</f>
        <v>Option</v>
      </c>
      <c r="V50" s="187" t="str">
        <f>IFERROR(VLOOKUP(TableHandbook[[#This Row],[UDC]],TableOCEDUC[],7,FALSE),"")</f>
        <v>Option</v>
      </c>
      <c r="W50" s="187" t="str">
        <f>IFERROR(VLOOKUP(TableHandbook[[#This Row],[UDC]],TableOGEDUC[],7,FALSE),"")</f>
        <v/>
      </c>
      <c r="X50" s="187" t="str">
        <f>IFERROR(VLOOKUP(TableHandbook[[#This Row],[UDC]],TableOUMPEDUPR[],7,FALSE),"")</f>
        <v>Core</v>
      </c>
      <c r="Y50" s="187" t="str">
        <f>IFERROR(VLOOKUP(TableHandbook[[#This Row],[UDC]],TableOUMPEDUSC[],7,FALSE),"")</f>
        <v/>
      </c>
      <c r="Z50" s="187" t="str">
        <f>IFERROR(VLOOKUP(TableHandbook[[#This Row],[UDC]],TableOMEDUC[],7,FALSE),"")</f>
        <v/>
      </c>
      <c r="AA50" s="187" t="str">
        <f>IFERROR(VLOOKUP(TableHandbook[[#This Row],[UDC]],TableOSEPCULIN[],7,FALSE),"")</f>
        <v/>
      </c>
      <c r="AB50" s="187" t="str">
        <f>IFERROR(VLOOKUP(TableHandbook[[#This Row],[UDC]],TableOSEPLNTCH[],7,FALSE),"")</f>
        <v/>
      </c>
      <c r="AC50" s="272" t="str">
        <f>IFERROR(VLOOKUP(TableHandbook[[#This Row],[UDC]],TableOSEPSTEME[],7,FALSE),"")</f>
        <v/>
      </c>
    </row>
    <row r="51" spans="1:29" x14ac:dyDescent="0.25">
      <c r="A51" s="3" t="s">
        <v>70</v>
      </c>
      <c r="B51" s="4">
        <v>1</v>
      </c>
      <c r="C51" s="3" t="s">
        <v>423</v>
      </c>
      <c r="D51" s="3" t="s">
        <v>424</v>
      </c>
      <c r="E51" s="4">
        <v>25</v>
      </c>
      <c r="F51" s="188" t="s">
        <v>333</v>
      </c>
      <c r="G51" s="120" t="str">
        <f>IFERROR(IF(VLOOKUP(TableHandbook[[#This Row],[UDC]],TableAvailabilities[],2,FALSE)&gt;0,"Y",""),"")</f>
        <v/>
      </c>
      <c r="H51" s="121" t="str">
        <f>IFERROR(IF(VLOOKUP(TableHandbook[[#This Row],[UDC]],TableAvailabilities[],3,FALSE)&gt;0,"Y",""),"")</f>
        <v>Y</v>
      </c>
      <c r="I51" s="121" t="str">
        <f>IFERROR(IF(VLOOKUP(TableHandbook[[#This Row],[UDC]],TableAvailabilities[],4,FALSE)&gt;0,"Y",""),"")</f>
        <v/>
      </c>
      <c r="J51" s="172" t="str">
        <f>IFERROR(IF(VLOOKUP(TableHandbook[[#This Row],[UDC]],TableAvailabilities[],5,FALSE)&gt;0,"Y",""),"")</f>
        <v>Y</v>
      </c>
      <c r="K51" s="249"/>
      <c r="L51" s="269" t="str">
        <f>IFERROR(VLOOKUP(TableHandbook[[#This Row],[UDC]],TableOMTEACH1[],7,FALSE),"")</f>
        <v/>
      </c>
      <c r="M51" s="130" t="str">
        <f>IFERROR(VLOOKUP(TableHandbook[[#This Row],[UDC]],TableOUMPTCHEC[],7,FALSE),"")</f>
        <v>Core</v>
      </c>
      <c r="N51" s="130" t="str">
        <f>IFERROR(VLOOKUP(TableHandbook[[#This Row],[UDC]],TableOUMPTCHPE[],7,FALSE),"")</f>
        <v>Core</v>
      </c>
      <c r="O51" s="270" t="str">
        <f>IFERROR(VLOOKUP(TableHandbook[[#This Row],[UDC]],TableOUMPTCHSE[],7,FALSE),"")</f>
        <v/>
      </c>
      <c r="P51" s="271" t="str">
        <f>IFERROR(VLOOKUP(TableHandbook[[#This Row],[UDC]],TableOCTESOL1[],7,FALSE),"")</f>
        <v/>
      </c>
      <c r="Q51" s="187" t="str">
        <f>IFERROR(VLOOKUP(TableHandbook[[#This Row],[UDC]],TableOCTESOL[],7,FALSE),"")</f>
        <v/>
      </c>
      <c r="R51" s="272" t="str">
        <f>IFERROR(VLOOKUP(TableHandbook[[#This Row],[UDC]],TableOMAPLING[],7,FALSE),"")</f>
        <v/>
      </c>
      <c r="S51" s="271" t="str">
        <f>IFERROR(VLOOKUP(TableHandbook[[#This Row],[UDC]],TableOCEDHE1[],7,FALSE),"")</f>
        <v/>
      </c>
      <c r="T51" s="272" t="str">
        <f>IFERROR(VLOOKUP(TableHandbook[[#This Row],[UDC]],TableOCEDHE[],7,FALSE),"")</f>
        <v/>
      </c>
      <c r="U51" s="271" t="str">
        <f>IFERROR(VLOOKUP(TableHandbook[[#This Row],[UDC]],TableOCEDUCS1[],7,FALSE),"")</f>
        <v>Option</v>
      </c>
      <c r="V51" s="187" t="str">
        <f>IFERROR(VLOOKUP(TableHandbook[[#This Row],[UDC]],TableOCEDUC[],7,FALSE),"")</f>
        <v>Option</v>
      </c>
      <c r="W51" s="187" t="str">
        <f>IFERROR(VLOOKUP(TableHandbook[[#This Row],[UDC]],TableOGEDUC[],7,FALSE),"")</f>
        <v/>
      </c>
      <c r="X51" s="187" t="str">
        <f>IFERROR(VLOOKUP(TableHandbook[[#This Row],[UDC]],TableOUMPEDUPR[],7,FALSE),"")</f>
        <v/>
      </c>
      <c r="Y51" s="187" t="str">
        <f>IFERROR(VLOOKUP(TableHandbook[[#This Row],[UDC]],TableOUMPEDUSC[],7,FALSE),"")</f>
        <v/>
      </c>
      <c r="Z51" s="187" t="str">
        <f>IFERROR(VLOOKUP(TableHandbook[[#This Row],[UDC]],TableOMEDUC[],7,FALSE),"")</f>
        <v/>
      </c>
      <c r="AA51" s="187" t="str">
        <f>IFERROR(VLOOKUP(TableHandbook[[#This Row],[UDC]],TableOSEPCULIN[],7,FALSE),"")</f>
        <v/>
      </c>
      <c r="AB51" s="187" t="str">
        <f>IFERROR(VLOOKUP(TableHandbook[[#This Row],[UDC]],TableOSEPLNTCH[],7,FALSE),"")</f>
        <v/>
      </c>
      <c r="AC51" s="272" t="str">
        <f>IFERROR(VLOOKUP(TableHandbook[[#This Row],[UDC]],TableOSEPSTEME[],7,FALSE),"")</f>
        <v/>
      </c>
    </row>
    <row r="52" spans="1:29" x14ac:dyDescent="0.25">
      <c r="A52" s="3" t="s">
        <v>94</v>
      </c>
      <c r="B52" s="4">
        <v>1</v>
      </c>
      <c r="C52" s="3" t="s">
        <v>425</v>
      </c>
      <c r="D52" s="3" t="s">
        <v>426</v>
      </c>
      <c r="E52" s="4">
        <v>25</v>
      </c>
      <c r="F52" s="188" t="s">
        <v>333</v>
      </c>
      <c r="G52" s="120" t="str">
        <f>IFERROR(IF(VLOOKUP(TableHandbook[[#This Row],[UDC]],TableAvailabilities[],2,FALSE)&gt;0,"Y",""),"")</f>
        <v>Y</v>
      </c>
      <c r="H52" s="121" t="str">
        <f>IFERROR(IF(VLOOKUP(TableHandbook[[#This Row],[UDC]],TableAvailabilities[],3,FALSE)&gt;0,"Y",""),"")</f>
        <v/>
      </c>
      <c r="I52" s="121" t="str">
        <f>IFERROR(IF(VLOOKUP(TableHandbook[[#This Row],[UDC]],TableAvailabilities[],4,FALSE)&gt;0,"Y",""),"")</f>
        <v>Y</v>
      </c>
      <c r="J52" s="172" t="str">
        <f>IFERROR(IF(VLOOKUP(TableHandbook[[#This Row],[UDC]],TableAvailabilities[],5,FALSE)&gt;0,"Y",""),"")</f>
        <v/>
      </c>
      <c r="K52" s="249"/>
      <c r="L52" s="269" t="str">
        <f>IFERROR(VLOOKUP(TableHandbook[[#This Row],[UDC]],TableOMTEACH1[],7,FALSE),"")</f>
        <v/>
      </c>
      <c r="M52" s="130" t="str">
        <f>IFERROR(VLOOKUP(TableHandbook[[#This Row],[UDC]],TableOUMPTCHEC[],7,FALSE),"")</f>
        <v/>
      </c>
      <c r="N52" s="130" t="str">
        <f>IFERROR(VLOOKUP(TableHandbook[[#This Row],[UDC]],TableOUMPTCHPE[],7,FALSE),"")</f>
        <v>Core</v>
      </c>
      <c r="O52" s="270" t="str">
        <f>IFERROR(VLOOKUP(TableHandbook[[#This Row],[UDC]],TableOUMPTCHSE[],7,FALSE),"")</f>
        <v>Core</v>
      </c>
      <c r="P52" s="271" t="str">
        <f>IFERROR(VLOOKUP(TableHandbook[[#This Row],[UDC]],TableOCTESOL1[],7,FALSE),"")</f>
        <v/>
      </c>
      <c r="Q52" s="187" t="str">
        <f>IFERROR(VLOOKUP(TableHandbook[[#This Row],[UDC]],TableOCTESOL[],7,FALSE),"")</f>
        <v/>
      </c>
      <c r="R52" s="272" t="str">
        <f>IFERROR(VLOOKUP(TableHandbook[[#This Row],[UDC]],TableOMAPLING[],7,FALSE),"")</f>
        <v/>
      </c>
      <c r="S52" s="271" t="str">
        <f>IFERROR(VLOOKUP(TableHandbook[[#This Row],[UDC]],TableOCEDHE1[],7,FALSE),"")</f>
        <v/>
      </c>
      <c r="T52" s="272" t="str">
        <f>IFERROR(VLOOKUP(TableHandbook[[#This Row],[UDC]],TableOCEDHE[],7,FALSE),"")</f>
        <v/>
      </c>
      <c r="U52" s="271" t="str">
        <f>IFERROR(VLOOKUP(TableHandbook[[#This Row],[UDC]],TableOCEDUCS1[],7,FALSE),"")</f>
        <v>Option</v>
      </c>
      <c r="V52" s="187" t="str">
        <f>IFERROR(VLOOKUP(TableHandbook[[#This Row],[UDC]],TableOCEDUC[],7,FALSE),"")</f>
        <v>Option</v>
      </c>
      <c r="W52" s="187" t="str">
        <f>IFERROR(VLOOKUP(TableHandbook[[#This Row],[UDC]],TableOGEDUC[],7,FALSE),"")</f>
        <v/>
      </c>
      <c r="X52" s="187" t="str">
        <f>IFERROR(VLOOKUP(TableHandbook[[#This Row],[UDC]],TableOUMPEDUPR[],7,FALSE),"")</f>
        <v/>
      </c>
      <c r="Y52" s="187" t="str">
        <f>IFERROR(VLOOKUP(TableHandbook[[#This Row],[UDC]],TableOUMPEDUSC[],7,FALSE),"")</f>
        <v>Core</v>
      </c>
      <c r="Z52" s="187" t="str">
        <f>IFERROR(VLOOKUP(TableHandbook[[#This Row],[UDC]],TableOMEDUC[],7,FALSE),"")</f>
        <v/>
      </c>
      <c r="AA52" s="187" t="str">
        <f>IFERROR(VLOOKUP(TableHandbook[[#This Row],[UDC]],TableOSEPCULIN[],7,FALSE),"")</f>
        <v/>
      </c>
      <c r="AB52" s="187" t="str">
        <f>IFERROR(VLOOKUP(TableHandbook[[#This Row],[UDC]],TableOSEPLNTCH[],7,FALSE),"")</f>
        <v/>
      </c>
      <c r="AC52" s="272" t="str">
        <f>IFERROR(VLOOKUP(TableHandbook[[#This Row],[UDC]],TableOSEPSTEME[],7,FALSE),"")</f>
        <v/>
      </c>
    </row>
    <row r="53" spans="1:29" x14ac:dyDescent="0.25">
      <c r="A53" s="3" t="s">
        <v>93</v>
      </c>
      <c r="B53" s="4">
        <v>1</v>
      </c>
      <c r="C53" s="3" t="s">
        <v>427</v>
      </c>
      <c r="D53" s="3" t="s">
        <v>428</v>
      </c>
      <c r="E53" s="4">
        <v>25</v>
      </c>
      <c r="F53" s="188" t="s">
        <v>333</v>
      </c>
      <c r="G53" s="120" t="str">
        <f>IFERROR(IF(VLOOKUP(TableHandbook[[#This Row],[UDC]],TableAvailabilities[],2,FALSE)&gt;0,"Y",""),"")</f>
        <v/>
      </c>
      <c r="H53" s="121" t="str">
        <f>IFERROR(IF(VLOOKUP(TableHandbook[[#This Row],[UDC]],TableAvailabilities[],3,FALSE)&gt;0,"Y",""),"")</f>
        <v>Y</v>
      </c>
      <c r="I53" s="121" t="str">
        <f>IFERROR(IF(VLOOKUP(TableHandbook[[#This Row],[UDC]],TableAvailabilities[],4,FALSE)&gt;0,"Y",""),"")</f>
        <v>Y</v>
      </c>
      <c r="J53" s="172" t="str">
        <f>IFERROR(IF(VLOOKUP(TableHandbook[[#This Row],[UDC]],TableAvailabilities[],5,FALSE)&gt;0,"Y",""),"")</f>
        <v>Y</v>
      </c>
      <c r="K53" s="249"/>
      <c r="L53" s="269" t="str">
        <f>IFERROR(VLOOKUP(TableHandbook[[#This Row],[UDC]],TableOMTEACH1[],7,FALSE),"")</f>
        <v/>
      </c>
      <c r="M53" s="130" t="str">
        <f>IFERROR(VLOOKUP(TableHandbook[[#This Row],[UDC]],TableOUMPTCHEC[],7,FALSE),"")</f>
        <v>Core</v>
      </c>
      <c r="N53" s="130" t="str">
        <f>IFERROR(VLOOKUP(TableHandbook[[#This Row],[UDC]],TableOUMPTCHPE[],7,FALSE),"")</f>
        <v>Core</v>
      </c>
      <c r="O53" s="270" t="str">
        <f>IFERROR(VLOOKUP(TableHandbook[[#This Row],[UDC]],TableOUMPTCHSE[],7,FALSE),"")</f>
        <v>Core</v>
      </c>
      <c r="P53" s="271" t="str">
        <f>IFERROR(VLOOKUP(TableHandbook[[#This Row],[UDC]],TableOCTESOL1[],7,FALSE),"")</f>
        <v/>
      </c>
      <c r="Q53" s="187" t="str">
        <f>IFERROR(VLOOKUP(TableHandbook[[#This Row],[UDC]],TableOCTESOL[],7,FALSE),"")</f>
        <v/>
      </c>
      <c r="R53" s="272" t="str">
        <f>IFERROR(VLOOKUP(TableHandbook[[#This Row],[UDC]],TableOMAPLING[],7,FALSE),"")</f>
        <v/>
      </c>
      <c r="S53" s="271" t="str">
        <f>IFERROR(VLOOKUP(TableHandbook[[#This Row],[UDC]],TableOCEDHE1[],7,FALSE),"")</f>
        <v/>
      </c>
      <c r="T53" s="272" t="str">
        <f>IFERROR(VLOOKUP(TableHandbook[[#This Row],[UDC]],TableOCEDHE[],7,FALSE),"")</f>
        <v/>
      </c>
      <c r="U53" s="271" t="str">
        <f>IFERROR(VLOOKUP(TableHandbook[[#This Row],[UDC]],TableOCEDUCS1[],7,FALSE),"")</f>
        <v>Option</v>
      </c>
      <c r="V53" s="187" t="str">
        <f>IFERROR(VLOOKUP(TableHandbook[[#This Row],[UDC]],TableOCEDUC[],7,FALSE),"")</f>
        <v>Option</v>
      </c>
      <c r="W53" s="187" t="str">
        <f>IFERROR(VLOOKUP(TableHandbook[[#This Row],[UDC]],TableOGEDUC[],7,FALSE),"")</f>
        <v/>
      </c>
      <c r="X53" s="187" t="str">
        <f>IFERROR(VLOOKUP(TableHandbook[[#This Row],[UDC]],TableOUMPEDUPR[],7,FALSE),"")</f>
        <v>Core</v>
      </c>
      <c r="Y53" s="187" t="str">
        <f>IFERROR(VLOOKUP(TableHandbook[[#This Row],[UDC]],TableOUMPEDUSC[],7,FALSE),"")</f>
        <v>Core</v>
      </c>
      <c r="Z53" s="187" t="str">
        <f>IFERROR(VLOOKUP(TableHandbook[[#This Row],[UDC]],TableOMEDUC[],7,FALSE),"")</f>
        <v/>
      </c>
      <c r="AA53" s="187" t="str">
        <f>IFERROR(VLOOKUP(TableHandbook[[#This Row],[UDC]],TableOSEPCULIN[],7,FALSE),"")</f>
        <v/>
      </c>
      <c r="AB53" s="187" t="str">
        <f>IFERROR(VLOOKUP(TableHandbook[[#This Row],[UDC]],TableOSEPLNTCH[],7,FALSE),"")</f>
        <v/>
      </c>
      <c r="AC53" s="272" t="str">
        <f>IFERROR(VLOOKUP(TableHandbook[[#This Row],[UDC]],TableOSEPSTEME[],7,FALSE),"")</f>
        <v/>
      </c>
    </row>
    <row r="54" spans="1:29" x14ac:dyDescent="0.25">
      <c r="A54" s="3" t="s">
        <v>221</v>
      </c>
      <c r="B54" s="4">
        <v>1</v>
      </c>
      <c r="C54" s="3" t="s">
        <v>429</v>
      </c>
      <c r="D54" s="3" t="s">
        <v>430</v>
      </c>
      <c r="E54" s="4">
        <v>25</v>
      </c>
      <c r="F54" s="188" t="s">
        <v>333</v>
      </c>
      <c r="G54" s="120" t="str">
        <f>IFERROR(IF(VLOOKUP(TableHandbook[[#This Row],[UDC]],TableAvailabilities[],2,FALSE)&gt;0,"Y",""),"")</f>
        <v/>
      </c>
      <c r="H54" s="121" t="str">
        <f>IFERROR(IF(VLOOKUP(TableHandbook[[#This Row],[UDC]],TableAvailabilities[],3,FALSE)&gt;0,"Y",""),"")</f>
        <v>Y</v>
      </c>
      <c r="I54" s="121" t="str">
        <f>IFERROR(IF(VLOOKUP(TableHandbook[[#This Row],[UDC]],TableAvailabilities[],4,FALSE)&gt;0,"Y",""),"")</f>
        <v/>
      </c>
      <c r="J54" s="172" t="str">
        <f>IFERROR(IF(VLOOKUP(TableHandbook[[#This Row],[UDC]],TableAvailabilities[],5,FALSE)&gt;0,"Y",""),"")</f>
        <v>Y</v>
      </c>
      <c r="K54" s="249"/>
      <c r="L54" s="269" t="str">
        <f>IFERROR(VLOOKUP(TableHandbook[[#This Row],[UDC]],TableOMTEACH1[],7,FALSE),"")</f>
        <v/>
      </c>
      <c r="M54" s="130" t="str">
        <f>IFERROR(VLOOKUP(TableHandbook[[#This Row],[UDC]],TableOUMPTCHEC[],7,FALSE),"")</f>
        <v/>
      </c>
      <c r="N54" s="130" t="str">
        <f>IFERROR(VLOOKUP(TableHandbook[[#This Row],[UDC]],TableOUMPTCHPE[],7,FALSE),"")</f>
        <v/>
      </c>
      <c r="O54" s="270" t="str">
        <f>IFERROR(VLOOKUP(TableHandbook[[#This Row],[UDC]],TableOUMPTCHSE[],7,FALSE),"")</f>
        <v/>
      </c>
      <c r="P54" s="271" t="str">
        <f>IFERROR(VLOOKUP(TableHandbook[[#This Row],[UDC]],TableOCTESOL1[],7,FALSE),"")</f>
        <v>Core</v>
      </c>
      <c r="Q54" s="187" t="str">
        <f>IFERROR(VLOOKUP(TableHandbook[[#This Row],[UDC]],TableOCTESOL[],7,FALSE),"")</f>
        <v>Core</v>
      </c>
      <c r="R54" s="272" t="str">
        <f>IFERROR(VLOOKUP(TableHandbook[[#This Row],[UDC]],TableOMAPLING[],7,FALSE),"")</f>
        <v/>
      </c>
      <c r="S54" s="271" t="str">
        <f>IFERROR(VLOOKUP(TableHandbook[[#This Row],[UDC]],TableOCEDHE1[],7,FALSE),"")</f>
        <v/>
      </c>
      <c r="T54" s="272" t="str">
        <f>IFERROR(VLOOKUP(TableHandbook[[#This Row],[UDC]],TableOCEDHE[],7,FALSE),"")</f>
        <v/>
      </c>
      <c r="U54" s="271" t="str">
        <f>IFERROR(VLOOKUP(TableHandbook[[#This Row],[UDC]],TableOCEDUCS1[],7,FALSE),"")</f>
        <v/>
      </c>
      <c r="V54" s="187" t="str">
        <f>IFERROR(VLOOKUP(TableHandbook[[#This Row],[UDC]],TableOCEDUC[],7,FALSE),"")</f>
        <v/>
      </c>
      <c r="W54" s="187" t="str">
        <f>IFERROR(VLOOKUP(TableHandbook[[#This Row],[UDC]],TableOGEDUC[],7,FALSE),"")</f>
        <v/>
      </c>
      <c r="X54" s="187" t="str">
        <f>IFERROR(VLOOKUP(TableHandbook[[#This Row],[UDC]],TableOUMPEDUPR[],7,FALSE),"")</f>
        <v/>
      </c>
      <c r="Y54" s="187" t="str">
        <f>IFERROR(VLOOKUP(TableHandbook[[#This Row],[UDC]],TableOUMPEDUSC[],7,FALSE),"")</f>
        <v/>
      </c>
      <c r="Z54" s="187" t="str">
        <f>IFERROR(VLOOKUP(TableHandbook[[#This Row],[UDC]],TableOMEDUC[],7,FALSE),"")</f>
        <v/>
      </c>
      <c r="AA54" s="187" t="str">
        <f>IFERROR(VLOOKUP(TableHandbook[[#This Row],[UDC]],TableOSEPCULIN[],7,FALSE),"")</f>
        <v/>
      </c>
      <c r="AB54" s="187" t="str">
        <f>IFERROR(VLOOKUP(TableHandbook[[#This Row],[UDC]],TableOSEPLNTCH[],7,FALSE),"")</f>
        <v/>
      </c>
      <c r="AC54" s="272" t="str">
        <f>IFERROR(VLOOKUP(TableHandbook[[#This Row],[UDC]],TableOSEPSTEME[],7,FALSE),"")</f>
        <v/>
      </c>
    </row>
    <row r="55" spans="1:29" x14ac:dyDescent="0.25">
      <c r="A55" s="3" t="s">
        <v>230</v>
      </c>
      <c r="B55" s="4">
        <v>1</v>
      </c>
      <c r="C55" s="3" t="s">
        <v>431</v>
      </c>
      <c r="D55" s="3" t="s">
        <v>432</v>
      </c>
      <c r="E55" s="4">
        <v>25</v>
      </c>
      <c r="F55" s="188" t="s">
        <v>333</v>
      </c>
      <c r="G55" s="120" t="str">
        <f>IFERROR(IF(VLOOKUP(TableHandbook[[#This Row],[UDC]],TableAvailabilities[],2,FALSE)&gt;0,"Y",""),"")</f>
        <v>Y</v>
      </c>
      <c r="H55" s="121" t="str">
        <f>IFERROR(IF(VLOOKUP(TableHandbook[[#This Row],[UDC]],TableAvailabilities[],3,FALSE)&gt;0,"Y",""),"")</f>
        <v/>
      </c>
      <c r="I55" s="121" t="str">
        <f>IFERROR(IF(VLOOKUP(TableHandbook[[#This Row],[UDC]],TableAvailabilities[],4,FALSE)&gt;0,"Y",""),"")</f>
        <v>Y</v>
      </c>
      <c r="J55" s="172" t="str">
        <f>IFERROR(IF(VLOOKUP(TableHandbook[[#This Row],[UDC]],TableAvailabilities[],5,FALSE)&gt;0,"Y",""),"")</f>
        <v/>
      </c>
      <c r="K55" s="249"/>
      <c r="L55" s="269" t="str">
        <f>IFERROR(VLOOKUP(TableHandbook[[#This Row],[UDC]],TableOMTEACH1[],7,FALSE),"")</f>
        <v/>
      </c>
      <c r="M55" s="130" t="str">
        <f>IFERROR(VLOOKUP(TableHandbook[[#This Row],[UDC]],TableOUMPTCHEC[],7,FALSE),"")</f>
        <v/>
      </c>
      <c r="N55" s="130" t="str">
        <f>IFERROR(VLOOKUP(TableHandbook[[#This Row],[UDC]],TableOUMPTCHPE[],7,FALSE),"")</f>
        <v/>
      </c>
      <c r="O55" s="270" t="str">
        <f>IFERROR(VLOOKUP(TableHandbook[[#This Row],[UDC]],TableOUMPTCHSE[],7,FALSE),"")</f>
        <v/>
      </c>
      <c r="P55" s="271" t="str">
        <f>IFERROR(VLOOKUP(TableHandbook[[#This Row],[UDC]],TableOCTESOL1[],7,FALSE),"")</f>
        <v>AltCore</v>
      </c>
      <c r="Q55" s="187" t="str">
        <f>IFERROR(VLOOKUP(TableHandbook[[#This Row],[UDC]],TableOCTESOL[],7,FALSE),"")</f>
        <v>AltCore</v>
      </c>
      <c r="R55" s="272" t="str">
        <f>IFERROR(VLOOKUP(TableHandbook[[#This Row],[UDC]],TableOMAPLING[],7,FALSE),"")</f>
        <v/>
      </c>
      <c r="S55" s="271" t="str">
        <f>IFERROR(VLOOKUP(TableHandbook[[#This Row],[UDC]],TableOCEDHE1[],7,FALSE),"")</f>
        <v/>
      </c>
      <c r="T55" s="272" t="str">
        <f>IFERROR(VLOOKUP(TableHandbook[[#This Row],[UDC]],TableOCEDHE[],7,FALSE),"")</f>
        <v/>
      </c>
      <c r="U55" s="271" t="str">
        <f>IFERROR(VLOOKUP(TableHandbook[[#This Row],[UDC]],TableOCEDUCS1[],7,FALSE),"")</f>
        <v/>
      </c>
      <c r="V55" s="187" t="str">
        <f>IFERROR(VLOOKUP(TableHandbook[[#This Row],[UDC]],TableOCEDUC[],7,FALSE),"")</f>
        <v/>
      </c>
      <c r="W55" s="187" t="str">
        <f>IFERROR(VLOOKUP(TableHandbook[[#This Row],[UDC]],TableOGEDUC[],7,FALSE),"")</f>
        <v/>
      </c>
      <c r="X55" s="187" t="str">
        <f>IFERROR(VLOOKUP(TableHandbook[[#This Row],[UDC]],TableOUMPEDUPR[],7,FALSE),"")</f>
        <v/>
      </c>
      <c r="Y55" s="187" t="str">
        <f>IFERROR(VLOOKUP(TableHandbook[[#This Row],[UDC]],TableOUMPEDUSC[],7,FALSE),"")</f>
        <v/>
      </c>
      <c r="Z55" s="187" t="str">
        <f>IFERROR(VLOOKUP(TableHandbook[[#This Row],[UDC]],TableOMEDUC[],7,FALSE),"")</f>
        <v/>
      </c>
      <c r="AA55" s="187" t="str">
        <f>IFERROR(VLOOKUP(TableHandbook[[#This Row],[UDC]],TableOSEPCULIN[],7,FALSE),"")</f>
        <v/>
      </c>
      <c r="AB55" s="187" t="str">
        <f>IFERROR(VLOOKUP(TableHandbook[[#This Row],[UDC]],TableOSEPLNTCH[],7,FALSE),"")</f>
        <v/>
      </c>
      <c r="AC55" s="272" t="str">
        <f>IFERROR(VLOOKUP(TableHandbook[[#This Row],[UDC]],TableOSEPSTEME[],7,FALSE),"")</f>
        <v/>
      </c>
    </row>
    <row r="56" spans="1:29" x14ac:dyDescent="0.25">
      <c r="A56" s="3" t="s">
        <v>220</v>
      </c>
      <c r="B56" s="4">
        <v>1</v>
      </c>
      <c r="C56" s="3" t="s">
        <v>433</v>
      </c>
      <c r="D56" s="3" t="s">
        <v>434</v>
      </c>
      <c r="E56" s="4">
        <v>25</v>
      </c>
      <c r="F56" s="188" t="s">
        <v>333</v>
      </c>
      <c r="G56" s="120" t="str">
        <f>IFERROR(IF(VLOOKUP(TableHandbook[[#This Row],[UDC]],TableAvailabilities[],2,FALSE)&gt;0,"Y",""),"")</f>
        <v>Y</v>
      </c>
      <c r="H56" s="121" t="str">
        <f>IFERROR(IF(VLOOKUP(TableHandbook[[#This Row],[UDC]],TableAvailabilities[],3,FALSE)&gt;0,"Y",""),"")</f>
        <v/>
      </c>
      <c r="I56" s="121" t="str">
        <f>IFERROR(IF(VLOOKUP(TableHandbook[[#This Row],[UDC]],TableAvailabilities[],4,FALSE)&gt;0,"Y",""),"")</f>
        <v>Y</v>
      </c>
      <c r="J56" s="172" t="str">
        <f>IFERROR(IF(VLOOKUP(TableHandbook[[#This Row],[UDC]],TableAvailabilities[],5,FALSE)&gt;0,"Y",""),"")</f>
        <v/>
      </c>
      <c r="K56" s="249"/>
      <c r="L56" s="269" t="str">
        <f>IFERROR(VLOOKUP(TableHandbook[[#This Row],[UDC]],TableOMTEACH1[],7,FALSE),"")</f>
        <v/>
      </c>
      <c r="M56" s="130" t="str">
        <f>IFERROR(VLOOKUP(TableHandbook[[#This Row],[UDC]],TableOUMPTCHEC[],7,FALSE),"")</f>
        <v/>
      </c>
      <c r="N56" s="130" t="str">
        <f>IFERROR(VLOOKUP(TableHandbook[[#This Row],[UDC]],TableOUMPTCHPE[],7,FALSE),"")</f>
        <v/>
      </c>
      <c r="O56" s="270" t="str">
        <f>IFERROR(VLOOKUP(TableHandbook[[#This Row],[UDC]],TableOUMPTCHSE[],7,FALSE),"")</f>
        <v/>
      </c>
      <c r="P56" s="271" t="str">
        <f>IFERROR(VLOOKUP(TableHandbook[[#This Row],[UDC]],TableOCTESOL1[],7,FALSE),"")</f>
        <v>Core</v>
      </c>
      <c r="Q56" s="187" t="str">
        <f>IFERROR(VLOOKUP(TableHandbook[[#This Row],[UDC]],TableOCTESOL[],7,FALSE),"")</f>
        <v>Core</v>
      </c>
      <c r="R56" s="272" t="str">
        <f>IFERROR(VLOOKUP(TableHandbook[[#This Row],[UDC]],TableOMAPLING[],7,FALSE),"")</f>
        <v/>
      </c>
      <c r="S56" s="271" t="str">
        <f>IFERROR(VLOOKUP(TableHandbook[[#This Row],[UDC]],TableOCEDHE1[],7,FALSE),"")</f>
        <v/>
      </c>
      <c r="T56" s="272" t="str">
        <f>IFERROR(VLOOKUP(TableHandbook[[#This Row],[UDC]],TableOCEDHE[],7,FALSE),"")</f>
        <v/>
      </c>
      <c r="U56" s="271" t="str">
        <f>IFERROR(VLOOKUP(TableHandbook[[#This Row],[UDC]],TableOCEDUCS1[],7,FALSE),"")</f>
        <v/>
      </c>
      <c r="V56" s="187" t="str">
        <f>IFERROR(VLOOKUP(TableHandbook[[#This Row],[UDC]],TableOCEDUC[],7,FALSE),"")</f>
        <v/>
      </c>
      <c r="W56" s="187" t="str">
        <f>IFERROR(VLOOKUP(TableHandbook[[#This Row],[UDC]],TableOGEDUC[],7,FALSE),"")</f>
        <v/>
      </c>
      <c r="X56" s="187" t="str">
        <f>IFERROR(VLOOKUP(TableHandbook[[#This Row],[UDC]],TableOUMPEDUPR[],7,FALSE),"")</f>
        <v/>
      </c>
      <c r="Y56" s="187" t="str">
        <f>IFERROR(VLOOKUP(TableHandbook[[#This Row],[UDC]],TableOUMPEDUSC[],7,FALSE),"")</f>
        <v/>
      </c>
      <c r="Z56" s="187" t="str">
        <f>IFERROR(VLOOKUP(TableHandbook[[#This Row],[UDC]],TableOMEDUC[],7,FALSE),"")</f>
        <v/>
      </c>
      <c r="AA56" s="187" t="str">
        <f>IFERROR(VLOOKUP(TableHandbook[[#This Row],[UDC]],TableOSEPCULIN[],7,FALSE),"")</f>
        <v/>
      </c>
      <c r="AB56" s="187" t="str">
        <f>IFERROR(VLOOKUP(TableHandbook[[#This Row],[UDC]],TableOSEPLNTCH[],7,FALSE),"")</f>
        <v/>
      </c>
      <c r="AC56" s="272" t="str">
        <f>IFERROR(VLOOKUP(TableHandbook[[#This Row],[UDC]],TableOSEPSTEME[],7,FALSE),"")</f>
        <v/>
      </c>
    </row>
    <row r="57" spans="1:29" x14ac:dyDescent="0.25">
      <c r="A57" s="3" t="s">
        <v>225</v>
      </c>
      <c r="B57" s="4">
        <v>1</v>
      </c>
      <c r="C57" s="3" t="s">
        <v>435</v>
      </c>
      <c r="D57" s="3" t="s">
        <v>436</v>
      </c>
      <c r="E57" s="4">
        <v>25</v>
      </c>
      <c r="F57" s="188" t="s">
        <v>333</v>
      </c>
      <c r="G57" s="120" t="str">
        <f>IFERROR(IF(VLOOKUP(TableHandbook[[#This Row],[UDC]],TableAvailabilities[],2,FALSE)&gt;0,"Y",""),"")</f>
        <v/>
      </c>
      <c r="H57" s="121" t="str">
        <f>IFERROR(IF(VLOOKUP(TableHandbook[[#This Row],[UDC]],TableAvailabilities[],3,FALSE)&gt;0,"Y",""),"")</f>
        <v>Y</v>
      </c>
      <c r="I57" s="121" t="str">
        <f>IFERROR(IF(VLOOKUP(TableHandbook[[#This Row],[UDC]],TableAvailabilities[],4,FALSE)&gt;0,"Y",""),"")</f>
        <v/>
      </c>
      <c r="J57" s="172" t="str">
        <f>IFERROR(IF(VLOOKUP(TableHandbook[[#This Row],[UDC]],TableAvailabilities[],5,FALSE)&gt;0,"Y",""),"")</f>
        <v>Y</v>
      </c>
      <c r="K57" s="249"/>
      <c r="L57" s="269" t="str">
        <f>IFERROR(VLOOKUP(TableHandbook[[#This Row],[UDC]],TableOMTEACH1[],7,FALSE),"")</f>
        <v/>
      </c>
      <c r="M57" s="130" t="str">
        <f>IFERROR(VLOOKUP(TableHandbook[[#This Row],[UDC]],TableOUMPTCHEC[],7,FALSE),"")</f>
        <v/>
      </c>
      <c r="N57" s="130" t="str">
        <f>IFERROR(VLOOKUP(TableHandbook[[#This Row],[UDC]],TableOUMPTCHPE[],7,FALSE),"")</f>
        <v/>
      </c>
      <c r="O57" s="270" t="str">
        <f>IFERROR(VLOOKUP(TableHandbook[[#This Row],[UDC]],TableOUMPTCHSE[],7,FALSE),"")</f>
        <v/>
      </c>
      <c r="P57" s="271" t="str">
        <f>IFERROR(VLOOKUP(TableHandbook[[#This Row],[UDC]],TableOCTESOL1[],7,FALSE),"")</f>
        <v>Core</v>
      </c>
      <c r="Q57" s="187" t="str">
        <f>IFERROR(VLOOKUP(TableHandbook[[#This Row],[UDC]],TableOCTESOL[],7,FALSE),"")</f>
        <v>Core</v>
      </c>
      <c r="R57" s="272" t="str">
        <f>IFERROR(VLOOKUP(TableHandbook[[#This Row],[UDC]],TableOMAPLING[],7,FALSE),"")</f>
        <v/>
      </c>
      <c r="S57" s="271" t="str">
        <f>IFERROR(VLOOKUP(TableHandbook[[#This Row],[UDC]],TableOCEDHE1[],7,FALSE),"")</f>
        <v/>
      </c>
      <c r="T57" s="272" t="str">
        <f>IFERROR(VLOOKUP(TableHandbook[[#This Row],[UDC]],TableOCEDHE[],7,FALSE),"")</f>
        <v/>
      </c>
      <c r="U57" s="271" t="str">
        <f>IFERROR(VLOOKUP(TableHandbook[[#This Row],[UDC]],TableOCEDUCS1[],7,FALSE),"")</f>
        <v/>
      </c>
      <c r="V57" s="187" t="str">
        <f>IFERROR(VLOOKUP(TableHandbook[[#This Row],[UDC]],TableOCEDUC[],7,FALSE),"")</f>
        <v/>
      </c>
      <c r="W57" s="187" t="str">
        <f>IFERROR(VLOOKUP(TableHandbook[[#This Row],[UDC]],TableOGEDUC[],7,FALSE),"")</f>
        <v/>
      </c>
      <c r="X57" s="187" t="str">
        <f>IFERROR(VLOOKUP(TableHandbook[[#This Row],[UDC]],TableOUMPEDUPR[],7,FALSE),"")</f>
        <v/>
      </c>
      <c r="Y57" s="187" t="str">
        <f>IFERROR(VLOOKUP(TableHandbook[[#This Row],[UDC]],TableOUMPEDUSC[],7,FALSE),"")</f>
        <v/>
      </c>
      <c r="Z57" s="187" t="str">
        <f>IFERROR(VLOOKUP(TableHandbook[[#This Row],[UDC]],TableOMEDUC[],7,FALSE),"")</f>
        <v/>
      </c>
      <c r="AA57" s="187" t="str">
        <f>IFERROR(VLOOKUP(TableHandbook[[#This Row],[UDC]],TableOSEPCULIN[],7,FALSE),"")</f>
        <v/>
      </c>
      <c r="AB57" s="187" t="str">
        <f>IFERROR(VLOOKUP(TableHandbook[[#This Row],[UDC]],TableOSEPLNTCH[],7,FALSE),"")</f>
        <v/>
      </c>
      <c r="AC57" s="272" t="str">
        <f>IFERROR(VLOOKUP(TableHandbook[[#This Row],[UDC]],TableOSEPSTEME[],7,FALSE),"")</f>
        <v/>
      </c>
    </row>
    <row r="58" spans="1:29" x14ac:dyDescent="0.25">
      <c r="A58" s="3" t="s">
        <v>232</v>
      </c>
      <c r="B58" s="4">
        <v>2</v>
      </c>
      <c r="C58" s="3" t="s">
        <v>437</v>
      </c>
      <c r="D58" s="3" t="s">
        <v>438</v>
      </c>
      <c r="E58" s="4">
        <v>25</v>
      </c>
      <c r="F58" s="188" t="s">
        <v>333</v>
      </c>
      <c r="G58" s="120" t="str">
        <f>IFERROR(IF(VLOOKUP(TableHandbook[[#This Row],[UDC]],TableAvailabilities[],2,FALSE)&gt;0,"Y",""),"")</f>
        <v>Y</v>
      </c>
      <c r="H58" s="121" t="str">
        <f>IFERROR(IF(VLOOKUP(TableHandbook[[#This Row],[UDC]],TableAvailabilities[],3,FALSE)&gt;0,"Y",""),"")</f>
        <v/>
      </c>
      <c r="I58" s="121" t="str">
        <f>IFERROR(IF(VLOOKUP(TableHandbook[[#This Row],[UDC]],TableAvailabilities[],4,FALSE)&gt;0,"Y",""),"")</f>
        <v>Y</v>
      </c>
      <c r="J58" s="172" t="str">
        <f>IFERROR(IF(VLOOKUP(TableHandbook[[#This Row],[UDC]],TableAvailabilities[],5,FALSE)&gt;0,"Y",""),"")</f>
        <v/>
      </c>
      <c r="K58" s="249"/>
      <c r="L58" s="269" t="str">
        <f>IFERROR(VLOOKUP(TableHandbook[[#This Row],[UDC]],TableOMTEACH1[],7,FALSE),"")</f>
        <v/>
      </c>
      <c r="M58" s="130" t="str">
        <f>IFERROR(VLOOKUP(TableHandbook[[#This Row],[UDC]],TableOUMPTCHEC[],7,FALSE),"")</f>
        <v/>
      </c>
      <c r="N58" s="130" t="str">
        <f>IFERROR(VLOOKUP(TableHandbook[[#This Row],[UDC]],TableOUMPTCHPE[],7,FALSE),"")</f>
        <v/>
      </c>
      <c r="O58" s="270" t="str">
        <f>IFERROR(VLOOKUP(TableHandbook[[#This Row],[UDC]],TableOUMPTCHSE[],7,FALSE),"")</f>
        <v/>
      </c>
      <c r="P58" s="271" t="str">
        <f>IFERROR(VLOOKUP(TableHandbook[[#This Row],[UDC]],TableOCTESOL1[],7,FALSE),"")</f>
        <v>AltCore</v>
      </c>
      <c r="Q58" s="187" t="str">
        <f>IFERROR(VLOOKUP(TableHandbook[[#This Row],[UDC]],TableOCTESOL[],7,FALSE),"")</f>
        <v>AltCore</v>
      </c>
      <c r="R58" s="272" t="str">
        <f>IFERROR(VLOOKUP(TableHandbook[[#This Row],[UDC]],TableOMAPLING[],7,FALSE),"")</f>
        <v/>
      </c>
      <c r="S58" s="271" t="str">
        <f>IFERROR(VLOOKUP(TableHandbook[[#This Row],[UDC]],TableOCEDHE1[],7,FALSE),"")</f>
        <v/>
      </c>
      <c r="T58" s="272" t="str">
        <f>IFERROR(VLOOKUP(TableHandbook[[#This Row],[UDC]],TableOCEDHE[],7,FALSE),"")</f>
        <v/>
      </c>
      <c r="U58" s="271" t="str">
        <f>IFERROR(VLOOKUP(TableHandbook[[#This Row],[UDC]],TableOCEDUCS1[],7,FALSE),"")</f>
        <v/>
      </c>
      <c r="V58" s="187" t="str">
        <f>IFERROR(VLOOKUP(TableHandbook[[#This Row],[UDC]],TableOCEDUC[],7,FALSE),"")</f>
        <v/>
      </c>
      <c r="W58" s="187" t="str">
        <f>IFERROR(VLOOKUP(TableHandbook[[#This Row],[UDC]],TableOGEDUC[],7,FALSE),"")</f>
        <v/>
      </c>
      <c r="X58" s="187" t="str">
        <f>IFERROR(VLOOKUP(TableHandbook[[#This Row],[UDC]],TableOUMPEDUPR[],7,FALSE),"")</f>
        <v/>
      </c>
      <c r="Y58" s="187" t="str">
        <f>IFERROR(VLOOKUP(TableHandbook[[#This Row],[UDC]],TableOUMPEDUSC[],7,FALSE),"")</f>
        <v/>
      </c>
      <c r="Z58" s="187" t="str">
        <f>IFERROR(VLOOKUP(TableHandbook[[#This Row],[UDC]],TableOMEDUC[],7,FALSE),"")</f>
        <v/>
      </c>
      <c r="AA58" s="187" t="str">
        <f>IFERROR(VLOOKUP(TableHandbook[[#This Row],[UDC]],TableOSEPCULIN[],7,FALSE),"")</f>
        <v/>
      </c>
      <c r="AB58" s="187" t="str">
        <f>IFERROR(VLOOKUP(TableHandbook[[#This Row],[UDC]],TableOSEPLNTCH[],7,FALSE),"")</f>
        <v/>
      </c>
      <c r="AC58" s="272" t="str">
        <f>IFERROR(VLOOKUP(TableHandbook[[#This Row],[UDC]],TableOSEPSTEME[],7,FALSE),"")</f>
        <v/>
      </c>
    </row>
    <row r="59" spans="1:29" x14ac:dyDescent="0.25">
      <c r="A59" s="3" t="s">
        <v>71</v>
      </c>
      <c r="B59" s="4">
        <v>1</v>
      </c>
      <c r="C59" s="3" t="s">
        <v>439</v>
      </c>
      <c r="D59" s="3" t="s">
        <v>440</v>
      </c>
      <c r="E59" s="4">
        <v>25</v>
      </c>
      <c r="F59" s="188" t="s">
        <v>333</v>
      </c>
      <c r="G59" s="120" t="str">
        <f>IFERROR(IF(VLOOKUP(TableHandbook[[#This Row],[UDC]],TableAvailabilities[],2,FALSE)&gt;0,"Y",""),"")</f>
        <v>Y</v>
      </c>
      <c r="H59" s="121" t="str">
        <f>IFERROR(IF(VLOOKUP(TableHandbook[[#This Row],[UDC]],TableAvailabilities[],3,FALSE)&gt;0,"Y",""),"")</f>
        <v/>
      </c>
      <c r="I59" s="121" t="str">
        <f>IFERROR(IF(VLOOKUP(TableHandbook[[#This Row],[UDC]],TableAvailabilities[],4,FALSE)&gt;0,"Y",""),"")</f>
        <v>Y</v>
      </c>
      <c r="J59" s="172" t="str">
        <f>IFERROR(IF(VLOOKUP(TableHandbook[[#This Row],[UDC]],TableAvailabilities[],5,FALSE)&gt;0,"Y",""),"")</f>
        <v/>
      </c>
      <c r="K59" s="249"/>
      <c r="L59" s="269" t="str">
        <f>IFERROR(VLOOKUP(TableHandbook[[#This Row],[UDC]],TableOMTEACH1[],7,FALSE),"")</f>
        <v/>
      </c>
      <c r="M59" s="130" t="str">
        <f>IFERROR(VLOOKUP(TableHandbook[[#This Row],[UDC]],TableOUMPTCHEC[],7,FALSE),"")</f>
        <v>Core</v>
      </c>
      <c r="N59" s="130" t="str">
        <f>IFERROR(VLOOKUP(TableHandbook[[#This Row],[UDC]],TableOUMPTCHPE[],7,FALSE),"")</f>
        <v>Core</v>
      </c>
      <c r="O59" s="270" t="str">
        <f>IFERROR(VLOOKUP(TableHandbook[[#This Row],[UDC]],TableOUMPTCHSE[],7,FALSE),"")</f>
        <v/>
      </c>
      <c r="P59" s="271" t="str">
        <f>IFERROR(VLOOKUP(TableHandbook[[#This Row],[UDC]],TableOCTESOL1[],7,FALSE),"")</f>
        <v/>
      </c>
      <c r="Q59" s="187" t="str">
        <f>IFERROR(VLOOKUP(TableHandbook[[#This Row],[UDC]],TableOCTESOL[],7,FALSE),"")</f>
        <v/>
      </c>
      <c r="R59" s="272" t="str">
        <f>IFERROR(VLOOKUP(TableHandbook[[#This Row],[UDC]],TableOMAPLING[],7,FALSE),"")</f>
        <v/>
      </c>
      <c r="S59" s="271" t="str">
        <f>IFERROR(VLOOKUP(TableHandbook[[#This Row],[UDC]],TableOCEDHE1[],7,FALSE),"")</f>
        <v/>
      </c>
      <c r="T59" s="272" t="str">
        <f>IFERROR(VLOOKUP(TableHandbook[[#This Row],[UDC]],TableOCEDHE[],7,FALSE),"")</f>
        <v/>
      </c>
      <c r="U59" s="271" t="str">
        <f>IFERROR(VLOOKUP(TableHandbook[[#This Row],[UDC]],TableOCEDUCS1[],7,FALSE),"")</f>
        <v/>
      </c>
      <c r="V59" s="187" t="str">
        <f>IFERROR(VLOOKUP(TableHandbook[[#This Row],[UDC]],TableOCEDUC[],7,FALSE),"")</f>
        <v/>
      </c>
      <c r="W59" s="187" t="str">
        <f>IFERROR(VLOOKUP(TableHandbook[[#This Row],[UDC]],TableOGEDUC[],7,FALSE),"")</f>
        <v/>
      </c>
      <c r="X59" s="187" t="str">
        <f>IFERROR(VLOOKUP(TableHandbook[[#This Row],[UDC]],TableOUMPEDUPR[],7,FALSE),"")</f>
        <v>Core</v>
      </c>
      <c r="Y59" s="187" t="str">
        <f>IFERROR(VLOOKUP(TableHandbook[[#This Row],[UDC]],TableOUMPEDUSC[],7,FALSE),"")</f>
        <v/>
      </c>
      <c r="Z59" s="187" t="str">
        <f>IFERROR(VLOOKUP(TableHandbook[[#This Row],[UDC]],TableOMEDUC[],7,FALSE),"")</f>
        <v/>
      </c>
      <c r="AA59" s="187" t="str">
        <f>IFERROR(VLOOKUP(TableHandbook[[#This Row],[UDC]],TableOSEPCULIN[],7,FALSE),"")</f>
        <v/>
      </c>
      <c r="AB59" s="187" t="str">
        <f>IFERROR(VLOOKUP(TableHandbook[[#This Row],[UDC]],TableOSEPLNTCH[],7,FALSE),"")</f>
        <v/>
      </c>
      <c r="AC59" s="272" t="str">
        <f>IFERROR(VLOOKUP(TableHandbook[[#This Row],[UDC]],TableOSEPSTEME[],7,FALSE),"")</f>
        <v/>
      </c>
    </row>
    <row r="60" spans="1:29" x14ac:dyDescent="0.25">
      <c r="A60" s="3" t="s">
        <v>309</v>
      </c>
      <c r="B60" s="4">
        <v>1</v>
      </c>
      <c r="C60" s="3" t="s">
        <v>441</v>
      </c>
      <c r="D60" s="3" t="s">
        <v>442</v>
      </c>
      <c r="E60" s="4">
        <v>25</v>
      </c>
      <c r="F60" s="188" t="s">
        <v>333</v>
      </c>
      <c r="G60" s="120" t="str">
        <f>IFERROR(IF(VLOOKUP(TableHandbook[[#This Row],[UDC]],TableAvailabilities[],2,FALSE)&gt;0,"Y",""),"")</f>
        <v/>
      </c>
      <c r="H60" s="121" t="str">
        <f>IFERROR(IF(VLOOKUP(TableHandbook[[#This Row],[UDC]],TableAvailabilities[],3,FALSE)&gt;0,"Y",""),"")</f>
        <v>Y</v>
      </c>
      <c r="I60" s="121" t="str">
        <f>IFERROR(IF(VLOOKUP(TableHandbook[[#This Row],[UDC]],TableAvailabilities[],4,FALSE)&gt;0,"Y",""),"")</f>
        <v/>
      </c>
      <c r="J60" s="172" t="str">
        <f>IFERROR(IF(VLOOKUP(TableHandbook[[#This Row],[UDC]],TableAvailabilities[],5,FALSE)&gt;0,"Y",""),"")</f>
        <v>Y</v>
      </c>
      <c r="K60" s="249"/>
      <c r="L60" s="269" t="str">
        <f>IFERROR(VLOOKUP(TableHandbook[[#This Row],[UDC]],TableOMTEACH1[],7,FALSE),"")</f>
        <v/>
      </c>
      <c r="M60" s="130" t="str">
        <f>IFERROR(VLOOKUP(TableHandbook[[#This Row],[UDC]],TableOUMPTCHEC[],7,FALSE),"")</f>
        <v/>
      </c>
      <c r="N60" s="130" t="str">
        <f>IFERROR(VLOOKUP(TableHandbook[[#This Row],[UDC]],TableOUMPTCHPE[],7,FALSE),"")</f>
        <v/>
      </c>
      <c r="O60" s="270" t="str">
        <f>IFERROR(VLOOKUP(TableHandbook[[#This Row],[UDC]],TableOUMPTCHSE[],7,FALSE),"")</f>
        <v>Option</v>
      </c>
      <c r="P60" s="271" t="str">
        <f>IFERROR(VLOOKUP(TableHandbook[[#This Row],[UDC]],TableOCTESOL1[],7,FALSE),"")</f>
        <v/>
      </c>
      <c r="Q60" s="187" t="str">
        <f>IFERROR(VLOOKUP(TableHandbook[[#This Row],[UDC]],TableOCTESOL[],7,FALSE),"")</f>
        <v/>
      </c>
      <c r="R60" s="272" t="str">
        <f>IFERROR(VLOOKUP(TableHandbook[[#This Row],[UDC]],TableOMAPLING[],7,FALSE),"")</f>
        <v/>
      </c>
      <c r="S60" s="271" t="str">
        <f>IFERROR(VLOOKUP(TableHandbook[[#This Row],[UDC]],TableOCEDHE1[],7,FALSE),"")</f>
        <v/>
      </c>
      <c r="T60" s="272" t="str">
        <f>IFERROR(VLOOKUP(TableHandbook[[#This Row],[UDC]],TableOCEDHE[],7,FALSE),"")</f>
        <v/>
      </c>
      <c r="U60" s="271" t="str">
        <f>IFERROR(VLOOKUP(TableHandbook[[#This Row],[UDC]],TableOCEDUCS1[],7,FALSE),"")</f>
        <v>Option</v>
      </c>
      <c r="V60" s="187" t="str">
        <f>IFERROR(VLOOKUP(TableHandbook[[#This Row],[UDC]],TableOCEDUC[],7,FALSE),"")</f>
        <v>Option</v>
      </c>
      <c r="W60" s="187" t="str">
        <f>IFERROR(VLOOKUP(TableHandbook[[#This Row],[UDC]],TableOGEDUC[],7,FALSE),"")</f>
        <v/>
      </c>
      <c r="X60" s="187" t="str">
        <f>IFERROR(VLOOKUP(TableHandbook[[#This Row],[UDC]],TableOUMPEDUPR[],7,FALSE),"")</f>
        <v/>
      </c>
      <c r="Y60" s="187" t="str">
        <f>IFERROR(VLOOKUP(TableHandbook[[#This Row],[UDC]],TableOUMPEDUSC[],7,FALSE),"")</f>
        <v/>
      </c>
      <c r="Z60" s="187" t="str">
        <f>IFERROR(VLOOKUP(TableHandbook[[#This Row],[UDC]],TableOMEDUC[],7,FALSE),"")</f>
        <v/>
      </c>
      <c r="AA60" s="187" t="str">
        <f>IFERROR(VLOOKUP(TableHandbook[[#This Row],[UDC]],TableOSEPCULIN[],7,FALSE),"")</f>
        <v/>
      </c>
      <c r="AB60" s="187" t="str">
        <f>IFERROR(VLOOKUP(TableHandbook[[#This Row],[UDC]],TableOSEPLNTCH[],7,FALSE),"")</f>
        <v/>
      </c>
      <c r="AC60" s="272" t="str">
        <f>IFERROR(VLOOKUP(TableHandbook[[#This Row],[UDC]],TableOSEPSTEME[],7,FALSE),"")</f>
        <v/>
      </c>
    </row>
    <row r="61" spans="1:29" x14ac:dyDescent="0.25">
      <c r="A61" s="3" t="s">
        <v>171</v>
      </c>
      <c r="B61" s="4">
        <v>2</v>
      </c>
      <c r="C61" s="3" t="s">
        <v>443</v>
      </c>
      <c r="D61" s="3" t="s">
        <v>444</v>
      </c>
      <c r="E61" s="4">
        <v>25</v>
      </c>
      <c r="F61" s="188" t="s">
        <v>333</v>
      </c>
      <c r="G61" s="120" t="str">
        <f>IFERROR(IF(VLOOKUP(TableHandbook[[#This Row],[UDC]],TableAvailabilities[],2,FALSE)&gt;0,"Y",""),"")</f>
        <v/>
      </c>
      <c r="H61" s="121" t="str">
        <f>IFERROR(IF(VLOOKUP(TableHandbook[[#This Row],[UDC]],TableAvailabilities[],3,FALSE)&gt;0,"Y",""),"")</f>
        <v/>
      </c>
      <c r="I61" s="121" t="str">
        <f>IFERROR(IF(VLOOKUP(TableHandbook[[#This Row],[UDC]],TableAvailabilities[],4,FALSE)&gt;0,"Y",""),"")</f>
        <v>Y</v>
      </c>
      <c r="J61" s="172" t="str">
        <f>IFERROR(IF(VLOOKUP(TableHandbook[[#This Row],[UDC]],TableAvailabilities[],5,FALSE)&gt;0,"Y",""),"")</f>
        <v/>
      </c>
      <c r="K61" s="249"/>
      <c r="L61" s="269" t="str">
        <f>IFERROR(VLOOKUP(TableHandbook[[#This Row],[UDC]],TableOMTEACH1[],7,FALSE),"")</f>
        <v/>
      </c>
      <c r="M61" s="130" t="str">
        <f>IFERROR(VLOOKUP(TableHandbook[[#This Row],[UDC]],TableOUMPTCHEC[],7,FALSE),"")</f>
        <v/>
      </c>
      <c r="N61" s="130" t="str">
        <f>IFERROR(VLOOKUP(TableHandbook[[#This Row],[UDC]],TableOUMPTCHPE[],7,FALSE),"")</f>
        <v/>
      </c>
      <c r="O61" s="270" t="str">
        <f>IFERROR(VLOOKUP(TableHandbook[[#This Row],[UDC]],TableOUMPTCHSE[],7,FALSE),"")</f>
        <v/>
      </c>
      <c r="P61" s="271" t="str">
        <f>IFERROR(VLOOKUP(TableHandbook[[#This Row],[UDC]],TableOCTESOL1[],7,FALSE),"")</f>
        <v/>
      </c>
      <c r="Q61" s="187" t="str">
        <f>IFERROR(VLOOKUP(TableHandbook[[#This Row],[UDC]],TableOCTESOL[],7,FALSE),"")</f>
        <v/>
      </c>
      <c r="R61" s="272" t="str">
        <f>IFERROR(VLOOKUP(TableHandbook[[#This Row],[UDC]],TableOMAPLING[],7,FALSE),"")</f>
        <v>Core</v>
      </c>
      <c r="S61" s="271" t="str">
        <f>IFERROR(VLOOKUP(TableHandbook[[#This Row],[UDC]],TableOCEDHE1[],7,FALSE),"")</f>
        <v/>
      </c>
      <c r="T61" s="272" t="str">
        <f>IFERROR(VLOOKUP(TableHandbook[[#This Row],[UDC]],TableOCEDHE[],7,FALSE),"")</f>
        <v/>
      </c>
      <c r="U61" s="271" t="str">
        <f>IFERROR(VLOOKUP(TableHandbook[[#This Row],[UDC]],TableOCEDUCS1[],7,FALSE),"")</f>
        <v/>
      </c>
      <c r="V61" s="187" t="str">
        <f>IFERROR(VLOOKUP(TableHandbook[[#This Row],[UDC]],TableOCEDUC[],7,FALSE),"")</f>
        <v/>
      </c>
      <c r="W61" s="187" t="str">
        <f>IFERROR(VLOOKUP(TableHandbook[[#This Row],[UDC]],TableOGEDUC[],7,FALSE),"")</f>
        <v/>
      </c>
      <c r="X61" s="187" t="str">
        <f>IFERROR(VLOOKUP(TableHandbook[[#This Row],[UDC]],TableOUMPEDUPR[],7,FALSE),"")</f>
        <v/>
      </c>
      <c r="Y61" s="187" t="str">
        <f>IFERROR(VLOOKUP(TableHandbook[[#This Row],[UDC]],TableOUMPEDUSC[],7,FALSE),"")</f>
        <v/>
      </c>
      <c r="Z61" s="187" t="str">
        <f>IFERROR(VLOOKUP(TableHandbook[[#This Row],[UDC]],TableOMEDUC[],7,FALSE),"")</f>
        <v>Option</v>
      </c>
      <c r="AA61" s="187" t="str">
        <f>IFERROR(VLOOKUP(TableHandbook[[#This Row],[UDC]],TableOSEPCULIN[],7,FALSE),"")</f>
        <v>Core</v>
      </c>
      <c r="AB61" s="187" t="str">
        <f>IFERROR(VLOOKUP(TableHandbook[[#This Row],[UDC]],TableOSEPLNTCH[],7,FALSE),"")</f>
        <v/>
      </c>
      <c r="AC61" s="272" t="str">
        <f>IFERROR(VLOOKUP(TableHandbook[[#This Row],[UDC]],TableOSEPSTEME[],7,FALSE),"")</f>
        <v/>
      </c>
    </row>
    <row r="62" spans="1:29" x14ac:dyDescent="0.25">
      <c r="A62" s="3" t="s">
        <v>227</v>
      </c>
      <c r="B62" s="4">
        <v>1</v>
      </c>
      <c r="C62" s="3" t="s">
        <v>445</v>
      </c>
      <c r="D62" s="3" t="s">
        <v>446</v>
      </c>
      <c r="E62" s="4">
        <v>25</v>
      </c>
      <c r="F62" s="188" t="s">
        <v>333</v>
      </c>
      <c r="G62" s="120" t="str">
        <f>IFERROR(IF(VLOOKUP(TableHandbook[[#This Row],[UDC]],TableAvailabilities[],2,FALSE)&gt;0,"Y",""),"")</f>
        <v/>
      </c>
      <c r="H62" s="121" t="str">
        <f>IFERROR(IF(VLOOKUP(TableHandbook[[#This Row],[UDC]],TableAvailabilities[],3,FALSE)&gt;0,"Y",""),"")</f>
        <v>Y</v>
      </c>
      <c r="I62" s="121" t="str">
        <f>IFERROR(IF(VLOOKUP(TableHandbook[[#This Row],[UDC]],TableAvailabilities[],4,FALSE)&gt;0,"Y",""),"")</f>
        <v/>
      </c>
      <c r="J62" s="172" t="str">
        <f>IFERROR(IF(VLOOKUP(TableHandbook[[#This Row],[UDC]],TableAvailabilities[],5,FALSE)&gt;0,"Y",""),"")</f>
        <v>Y</v>
      </c>
      <c r="K62" s="249"/>
      <c r="L62" s="269" t="str">
        <f>IFERROR(VLOOKUP(TableHandbook[[#This Row],[UDC]],TableOMTEACH1[],7,FALSE),"")</f>
        <v/>
      </c>
      <c r="M62" s="130" t="str">
        <f>IFERROR(VLOOKUP(TableHandbook[[#This Row],[UDC]],TableOUMPTCHEC[],7,FALSE),"")</f>
        <v/>
      </c>
      <c r="N62" s="130" t="str">
        <f>IFERROR(VLOOKUP(TableHandbook[[#This Row],[UDC]],TableOUMPTCHPE[],7,FALSE),"")</f>
        <v/>
      </c>
      <c r="O62" s="270" t="str">
        <f>IFERROR(VLOOKUP(TableHandbook[[#This Row],[UDC]],TableOUMPTCHSE[],7,FALSE),"")</f>
        <v/>
      </c>
      <c r="P62" s="271" t="str">
        <f>IFERROR(VLOOKUP(TableHandbook[[#This Row],[UDC]],TableOCTESOL1[],7,FALSE),"")</f>
        <v/>
      </c>
      <c r="Q62" s="187" t="str">
        <f>IFERROR(VLOOKUP(TableHandbook[[#This Row],[UDC]],TableOCTESOL[],7,FALSE),"")</f>
        <v/>
      </c>
      <c r="R62" s="272" t="str">
        <f>IFERROR(VLOOKUP(TableHandbook[[#This Row],[UDC]],TableOMAPLING[],7,FALSE),"")</f>
        <v>Core</v>
      </c>
      <c r="S62" s="271" t="str">
        <f>IFERROR(VLOOKUP(TableHandbook[[#This Row],[UDC]],TableOCEDHE1[],7,FALSE),"")</f>
        <v/>
      </c>
      <c r="T62" s="272" t="str">
        <f>IFERROR(VLOOKUP(TableHandbook[[#This Row],[UDC]],TableOCEDHE[],7,FALSE),"")</f>
        <v/>
      </c>
      <c r="U62" s="271" t="str">
        <f>IFERROR(VLOOKUP(TableHandbook[[#This Row],[UDC]],TableOCEDUCS1[],7,FALSE),"")</f>
        <v/>
      </c>
      <c r="V62" s="187" t="str">
        <f>IFERROR(VLOOKUP(TableHandbook[[#This Row],[UDC]],TableOCEDUC[],7,FALSE),"")</f>
        <v/>
      </c>
      <c r="W62" s="187" t="str">
        <f>IFERROR(VLOOKUP(TableHandbook[[#This Row],[UDC]],TableOGEDUC[],7,FALSE),"")</f>
        <v/>
      </c>
      <c r="X62" s="187" t="str">
        <f>IFERROR(VLOOKUP(TableHandbook[[#This Row],[UDC]],TableOUMPEDUPR[],7,FALSE),"")</f>
        <v/>
      </c>
      <c r="Y62" s="187" t="str">
        <f>IFERROR(VLOOKUP(TableHandbook[[#This Row],[UDC]],TableOUMPEDUSC[],7,FALSE),"")</f>
        <v/>
      </c>
      <c r="Z62" s="187" t="str">
        <f>IFERROR(VLOOKUP(TableHandbook[[#This Row],[UDC]],TableOMEDUC[],7,FALSE),"")</f>
        <v/>
      </c>
      <c r="AA62" s="187" t="str">
        <f>IFERROR(VLOOKUP(TableHandbook[[#This Row],[UDC]],TableOSEPCULIN[],7,FALSE),"")</f>
        <v/>
      </c>
      <c r="AB62" s="187" t="str">
        <f>IFERROR(VLOOKUP(TableHandbook[[#This Row],[UDC]],TableOSEPLNTCH[],7,FALSE),"")</f>
        <v/>
      </c>
      <c r="AC62" s="272" t="str">
        <f>IFERROR(VLOOKUP(TableHandbook[[#This Row],[UDC]],TableOSEPSTEME[],7,FALSE),"")</f>
        <v/>
      </c>
    </row>
    <row r="63" spans="1:29" x14ac:dyDescent="0.25">
      <c r="A63" s="3" t="s">
        <v>162</v>
      </c>
      <c r="B63" s="4">
        <v>2</v>
      </c>
      <c r="C63" s="3" t="s">
        <v>447</v>
      </c>
      <c r="D63" s="3" t="s">
        <v>448</v>
      </c>
      <c r="E63" s="4">
        <v>25</v>
      </c>
      <c r="F63" s="188" t="s">
        <v>333</v>
      </c>
      <c r="G63" s="120" t="str">
        <f>IFERROR(IF(VLOOKUP(TableHandbook[[#This Row],[UDC]],TableAvailabilities[],2,FALSE)&gt;0,"Y",""),"")</f>
        <v>Y</v>
      </c>
      <c r="H63" s="121" t="str">
        <f>IFERROR(IF(VLOOKUP(TableHandbook[[#This Row],[UDC]],TableAvailabilities[],3,FALSE)&gt;0,"Y",""),"")</f>
        <v/>
      </c>
      <c r="I63" s="121" t="str">
        <f>IFERROR(IF(VLOOKUP(TableHandbook[[#This Row],[UDC]],TableAvailabilities[],4,FALSE)&gt;0,"Y",""),"")</f>
        <v>Y</v>
      </c>
      <c r="J63" s="172" t="str">
        <f>IFERROR(IF(VLOOKUP(TableHandbook[[#This Row],[UDC]],TableAvailabilities[],5,FALSE)&gt;0,"Y",""),"")</f>
        <v/>
      </c>
      <c r="K63" s="249"/>
      <c r="L63" s="269" t="str">
        <f>IFERROR(VLOOKUP(TableHandbook[[#This Row],[UDC]],TableOMTEACH1[],7,FALSE),"")</f>
        <v/>
      </c>
      <c r="M63" s="130" t="str">
        <f>IFERROR(VLOOKUP(TableHandbook[[#This Row],[UDC]],TableOUMPTCHEC[],7,FALSE),"")</f>
        <v/>
      </c>
      <c r="N63" s="130" t="str">
        <f>IFERROR(VLOOKUP(TableHandbook[[#This Row],[UDC]],TableOUMPTCHPE[],7,FALSE),"")</f>
        <v/>
      </c>
      <c r="O63" s="270" t="str">
        <f>IFERROR(VLOOKUP(TableHandbook[[#This Row],[UDC]],TableOUMPTCHSE[],7,FALSE),"")</f>
        <v/>
      </c>
      <c r="P63" s="271" t="str">
        <f>IFERROR(VLOOKUP(TableHandbook[[#This Row],[UDC]],TableOCTESOL1[],7,FALSE),"")</f>
        <v/>
      </c>
      <c r="Q63" s="187" t="str">
        <f>IFERROR(VLOOKUP(TableHandbook[[#This Row],[UDC]],TableOCTESOL[],7,FALSE),"")</f>
        <v/>
      </c>
      <c r="R63" s="272" t="str">
        <f>IFERROR(VLOOKUP(TableHandbook[[#This Row],[UDC]],TableOMAPLING[],7,FALSE),"")</f>
        <v/>
      </c>
      <c r="S63" s="271" t="str">
        <f>IFERROR(VLOOKUP(TableHandbook[[#This Row],[UDC]],TableOCEDHE1[],7,FALSE),"")</f>
        <v/>
      </c>
      <c r="T63" s="272" t="str">
        <f>IFERROR(VLOOKUP(TableHandbook[[#This Row],[UDC]],TableOCEDHE[],7,FALSE),"")</f>
        <v/>
      </c>
      <c r="U63" s="271" t="str">
        <f>IFERROR(VLOOKUP(TableHandbook[[#This Row],[UDC]],TableOCEDUCS1[],7,FALSE),"")</f>
        <v/>
      </c>
      <c r="V63" s="187" t="str">
        <f>IFERROR(VLOOKUP(TableHandbook[[#This Row],[UDC]],TableOCEDUC[],7,FALSE),"")</f>
        <v/>
      </c>
      <c r="W63" s="187" t="str">
        <f>IFERROR(VLOOKUP(TableHandbook[[#This Row],[UDC]],TableOGEDUC[],7,FALSE),"")</f>
        <v/>
      </c>
      <c r="X63" s="187" t="str">
        <f>IFERROR(VLOOKUP(TableHandbook[[#This Row],[UDC]],TableOUMPEDUPR[],7,FALSE),"")</f>
        <v/>
      </c>
      <c r="Y63" s="187" t="str">
        <f>IFERROR(VLOOKUP(TableHandbook[[#This Row],[UDC]],TableOUMPEDUSC[],7,FALSE),"")</f>
        <v/>
      </c>
      <c r="Z63" s="187" t="str">
        <f>IFERROR(VLOOKUP(TableHandbook[[#This Row],[UDC]],TableOMEDUC[],7,FALSE),"")</f>
        <v>Core</v>
      </c>
      <c r="AA63" s="187" t="str">
        <f>IFERROR(VLOOKUP(TableHandbook[[#This Row],[UDC]],TableOSEPCULIN[],7,FALSE),"")</f>
        <v/>
      </c>
      <c r="AB63" s="187" t="str">
        <f>IFERROR(VLOOKUP(TableHandbook[[#This Row],[UDC]],TableOSEPLNTCH[],7,FALSE),"")</f>
        <v/>
      </c>
      <c r="AC63" s="272" t="str">
        <f>IFERROR(VLOOKUP(TableHandbook[[#This Row],[UDC]],TableOSEPSTEME[],7,FALSE),"")</f>
        <v/>
      </c>
    </row>
    <row r="64" spans="1:29" x14ac:dyDescent="0.25">
      <c r="A64" s="3" t="s">
        <v>179</v>
      </c>
      <c r="B64" s="4">
        <v>2</v>
      </c>
      <c r="C64" s="3" t="s">
        <v>449</v>
      </c>
      <c r="D64" s="3" t="s">
        <v>450</v>
      </c>
      <c r="E64" s="4">
        <v>50</v>
      </c>
      <c r="F64" s="188" t="s">
        <v>451</v>
      </c>
      <c r="G64" s="120" t="str">
        <f>IFERROR(IF(VLOOKUP(TableHandbook[[#This Row],[UDC]],TableAvailabilities[],2,FALSE)&gt;0,"Y",""),"")</f>
        <v/>
      </c>
      <c r="H64" s="121" t="str">
        <f>IFERROR(IF(VLOOKUP(TableHandbook[[#This Row],[UDC]],TableAvailabilities[],3,FALSE)&gt;0,"Y",""),"")</f>
        <v>Y</v>
      </c>
      <c r="I64" s="121" t="str">
        <f>IFERROR(IF(VLOOKUP(TableHandbook[[#This Row],[UDC]],TableAvailabilities[],4,FALSE)&gt;0,"Y",""),"")</f>
        <v/>
      </c>
      <c r="J64" s="172" t="str">
        <f>IFERROR(IF(VLOOKUP(TableHandbook[[#This Row],[UDC]],TableAvailabilities[],5,FALSE)&gt;0,"Y",""),"")</f>
        <v>Y</v>
      </c>
      <c r="K64" s="249"/>
      <c r="L64" s="269" t="str">
        <f>IFERROR(VLOOKUP(TableHandbook[[#This Row],[UDC]],TableOMTEACH1[],7,FALSE),"")</f>
        <v/>
      </c>
      <c r="M64" s="130" t="str">
        <f>IFERROR(VLOOKUP(TableHandbook[[#This Row],[UDC]],TableOUMPTCHEC[],7,FALSE),"")</f>
        <v/>
      </c>
      <c r="N64" s="130" t="str">
        <f>IFERROR(VLOOKUP(TableHandbook[[#This Row],[UDC]],TableOUMPTCHPE[],7,FALSE),"")</f>
        <v/>
      </c>
      <c r="O64" s="270" t="str">
        <f>IFERROR(VLOOKUP(TableHandbook[[#This Row],[UDC]],TableOUMPTCHSE[],7,FALSE),"")</f>
        <v/>
      </c>
      <c r="P64" s="271" t="str">
        <f>IFERROR(VLOOKUP(TableHandbook[[#This Row],[UDC]],TableOCTESOL1[],7,FALSE),"")</f>
        <v/>
      </c>
      <c r="Q64" s="187" t="str">
        <f>IFERROR(VLOOKUP(TableHandbook[[#This Row],[UDC]],TableOCTESOL[],7,FALSE),"")</f>
        <v/>
      </c>
      <c r="R64" s="272" t="str">
        <f>IFERROR(VLOOKUP(TableHandbook[[#This Row],[UDC]],TableOMAPLING[],7,FALSE),"")</f>
        <v>Core</v>
      </c>
      <c r="S64" s="271" t="str">
        <f>IFERROR(VLOOKUP(TableHandbook[[#This Row],[UDC]],TableOCEDHE1[],7,FALSE),"")</f>
        <v/>
      </c>
      <c r="T64" s="272" t="str">
        <f>IFERROR(VLOOKUP(TableHandbook[[#This Row],[UDC]],TableOCEDHE[],7,FALSE),"")</f>
        <v/>
      </c>
      <c r="U64" s="271" t="str">
        <f>IFERROR(VLOOKUP(TableHandbook[[#This Row],[UDC]],TableOCEDUCS1[],7,FALSE),"")</f>
        <v/>
      </c>
      <c r="V64" s="187" t="str">
        <f>IFERROR(VLOOKUP(TableHandbook[[#This Row],[UDC]],TableOCEDUC[],7,FALSE),"")</f>
        <v/>
      </c>
      <c r="W64" s="187" t="str">
        <f>IFERROR(VLOOKUP(TableHandbook[[#This Row],[UDC]],TableOGEDUC[],7,FALSE),"")</f>
        <v/>
      </c>
      <c r="X64" s="187" t="str">
        <f>IFERROR(VLOOKUP(TableHandbook[[#This Row],[UDC]],TableOUMPEDUPR[],7,FALSE),"")</f>
        <v/>
      </c>
      <c r="Y64" s="187" t="str">
        <f>IFERROR(VLOOKUP(TableHandbook[[#This Row],[UDC]],TableOUMPEDUSC[],7,FALSE),"")</f>
        <v/>
      </c>
      <c r="Z64" s="187" t="str">
        <f>IFERROR(VLOOKUP(TableHandbook[[#This Row],[UDC]],TableOMEDUC[],7,FALSE),"")</f>
        <v>Core</v>
      </c>
      <c r="AA64" s="187" t="str">
        <f>IFERROR(VLOOKUP(TableHandbook[[#This Row],[UDC]],TableOSEPCULIN[],7,FALSE),"")</f>
        <v/>
      </c>
      <c r="AB64" s="187" t="str">
        <f>IFERROR(VLOOKUP(TableHandbook[[#This Row],[UDC]],TableOSEPLNTCH[],7,FALSE),"")</f>
        <v/>
      </c>
      <c r="AC64" s="272" t="str">
        <f>IFERROR(VLOOKUP(TableHandbook[[#This Row],[UDC]],TableOSEPSTEME[],7,FALSE),"")</f>
        <v/>
      </c>
    </row>
    <row r="65" spans="1:29" x14ac:dyDescent="0.25">
      <c r="A65" s="3" t="s">
        <v>223</v>
      </c>
      <c r="B65" s="4">
        <v>1</v>
      </c>
      <c r="C65" s="3" t="s">
        <v>452</v>
      </c>
      <c r="D65" s="3" t="s">
        <v>453</v>
      </c>
      <c r="E65" s="4">
        <v>25</v>
      </c>
      <c r="F65" s="188" t="s">
        <v>333</v>
      </c>
      <c r="G65" s="120" t="str">
        <f>IFERROR(IF(VLOOKUP(TableHandbook[[#This Row],[UDC]],TableAvailabilities[],2,FALSE)&gt;0,"Y",""),"")</f>
        <v/>
      </c>
      <c r="H65" s="121" t="str">
        <f>IFERROR(IF(VLOOKUP(TableHandbook[[#This Row],[UDC]],TableAvailabilities[],3,FALSE)&gt;0,"Y",""),"")</f>
        <v>Y</v>
      </c>
      <c r="I65" s="121" t="str">
        <f>IFERROR(IF(VLOOKUP(TableHandbook[[#This Row],[UDC]],TableAvailabilities[],4,FALSE)&gt;0,"Y",""),"")</f>
        <v/>
      </c>
      <c r="J65" s="172" t="str">
        <f>IFERROR(IF(VLOOKUP(TableHandbook[[#This Row],[UDC]],TableAvailabilities[],5,FALSE)&gt;0,"Y",""),"")</f>
        <v>Y</v>
      </c>
      <c r="K65" s="249"/>
      <c r="L65" s="269" t="str">
        <f>IFERROR(VLOOKUP(TableHandbook[[#This Row],[UDC]],TableOMTEACH1[],7,FALSE),"")</f>
        <v/>
      </c>
      <c r="M65" s="130" t="str">
        <f>IFERROR(VLOOKUP(TableHandbook[[#This Row],[UDC]],TableOUMPTCHEC[],7,FALSE),"")</f>
        <v/>
      </c>
      <c r="N65" s="130" t="str">
        <f>IFERROR(VLOOKUP(TableHandbook[[#This Row],[UDC]],TableOUMPTCHPE[],7,FALSE),"")</f>
        <v/>
      </c>
      <c r="O65" s="270" t="str">
        <f>IFERROR(VLOOKUP(TableHandbook[[#This Row],[UDC]],TableOUMPTCHSE[],7,FALSE),"")</f>
        <v/>
      </c>
      <c r="P65" s="271" t="str">
        <f>IFERROR(VLOOKUP(TableHandbook[[#This Row],[UDC]],TableOCTESOL1[],7,FALSE),"")</f>
        <v/>
      </c>
      <c r="Q65" s="187" t="str">
        <f>IFERROR(VLOOKUP(TableHandbook[[#This Row],[UDC]],TableOCTESOL[],7,FALSE),"")</f>
        <v/>
      </c>
      <c r="R65" s="272" t="str">
        <f>IFERROR(VLOOKUP(TableHandbook[[#This Row],[UDC]],TableOMAPLING[],7,FALSE),"")</f>
        <v>Core</v>
      </c>
      <c r="S65" s="271" t="str">
        <f>IFERROR(VLOOKUP(TableHandbook[[#This Row],[UDC]],TableOCEDHE1[],7,FALSE),"")</f>
        <v/>
      </c>
      <c r="T65" s="272" t="str">
        <f>IFERROR(VLOOKUP(TableHandbook[[#This Row],[UDC]],TableOCEDHE[],7,FALSE),"")</f>
        <v/>
      </c>
      <c r="U65" s="271" t="str">
        <f>IFERROR(VLOOKUP(TableHandbook[[#This Row],[UDC]],TableOCEDUCS1[],7,FALSE),"")</f>
        <v/>
      </c>
      <c r="V65" s="187" t="str">
        <f>IFERROR(VLOOKUP(TableHandbook[[#This Row],[UDC]],TableOCEDUC[],7,FALSE),"")</f>
        <v/>
      </c>
      <c r="W65" s="187" t="str">
        <f>IFERROR(VLOOKUP(TableHandbook[[#This Row],[UDC]],TableOGEDUC[],7,FALSE),"")</f>
        <v/>
      </c>
      <c r="X65" s="187" t="str">
        <f>IFERROR(VLOOKUP(TableHandbook[[#This Row],[UDC]],TableOUMPEDUPR[],7,FALSE),"")</f>
        <v/>
      </c>
      <c r="Y65" s="187" t="str">
        <f>IFERROR(VLOOKUP(TableHandbook[[#This Row],[UDC]],TableOUMPEDUSC[],7,FALSE),"")</f>
        <v/>
      </c>
      <c r="Z65" s="187" t="str">
        <f>IFERROR(VLOOKUP(TableHandbook[[#This Row],[UDC]],TableOMEDUC[],7,FALSE),"")</f>
        <v/>
      </c>
      <c r="AA65" s="187" t="str">
        <f>IFERROR(VLOOKUP(TableHandbook[[#This Row],[UDC]],TableOSEPCULIN[],7,FALSE),"")</f>
        <v/>
      </c>
      <c r="AB65" s="187" t="str">
        <f>IFERROR(VLOOKUP(TableHandbook[[#This Row],[UDC]],TableOSEPLNTCH[],7,FALSE),"")</f>
        <v/>
      </c>
      <c r="AC65" s="272" t="str">
        <f>IFERROR(VLOOKUP(TableHandbook[[#This Row],[UDC]],TableOSEPSTEME[],7,FALSE),"")</f>
        <v/>
      </c>
    </row>
    <row r="66" spans="1:29" x14ac:dyDescent="0.25">
      <c r="A66" s="3" t="s">
        <v>222</v>
      </c>
      <c r="B66" s="4">
        <v>1</v>
      </c>
      <c r="C66" s="3" t="s">
        <v>454</v>
      </c>
      <c r="D66" s="3" t="s">
        <v>455</v>
      </c>
      <c r="E66" s="4">
        <v>25</v>
      </c>
      <c r="F66" s="188" t="s">
        <v>333</v>
      </c>
      <c r="G66" s="120" t="str">
        <f>IFERROR(IF(VLOOKUP(TableHandbook[[#This Row],[UDC]],TableAvailabilities[],2,FALSE)&gt;0,"Y",""),"")</f>
        <v>Y</v>
      </c>
      <c r="H66" s="121" t="str">
        <f>IFERROR(IF(VLOOKUP(TableHandbook[[#This Row],[UDC]],TableAvailabilities[],3,FALSE)&gt;0,"Y",""),"")</f>
        <v/>
      </c>
      <c r="I66" s="121" t="str">
        <f>IFERROR(IF(VLOOKUP(TableHandbook[[#This Row],[UDC]],TableAvailabilities[],4,FALSE)&gt;0,"Y",""),"")</f>
        <v>Y</v>
      </c>
      <c r="J66" s="172" t="str">
        <f>IFERROR(IF(VLOOKUP(TableHandbook[[#This Row],[UDC]],TableAvailabilities[],5,FALSE)&gt;0,"Y",""),"")</f>
        <v/>
      </c>
      <c r="K66" s="249"/>
      <c r="L66" s="269" t="str">
        <f>IFERROR(VLOOKUP(TableHandbook[[#This Row],[UDC]],TableOMTEACH1[],7,FALSE),"")</f>
        <v/>
      </c>
      <c r="M66" s="130" t="str">
        <f>IFERROR(VLOOKUP(TableHandbook[[#This Row],[UDC]],TableOUMPTCHEC[],7,FALSE),"")</f>
        <v/>
      </c>
      <c r="N66" s="130" t="str">
        <f>IFERROR(VLOOKUP(TableHandbook[[#This Row],[UDC]],TableOUMPTCHPE[],7,FALSE),"")</f>
        <v/>
      </c>
      <c r="O66" s="270" t="str">
        <f>IFERROR(VLOOKUP(TableHandbook[[#This Row],[UDC]],TableOUMPTCHSE[],7,FALSE),"")</f>
        <v/>
      </c>
      <c r="P66" s="271" t="str">
        <f>IFERROR(VLOOKUP(TableHandbook[[#This Row],[UDC]],TableOCTESOL1[],7,FALSE),"")</f>
        <v/>
      </c>
      <c r="Q66" s="187" t="str">
        <f>IFERROR(VLOOKUP(TableHandbook[[#This Row],[UDC]],TableOCTESOL[],7,FALSE),"")</f>
        <v/>
      </c>
      <c r="R66" s="272" t="str">
        <f>IFERROR(VLOOKUP(TableHandbook[[#This Row],[UDC]],TableOMAPLING[],7,FALSE),"")</f>
        <v>Core</v>
      </c>
      <c r="S66" s="271" t="str">
        <f>IFERROR(VLOOKUP(TableHandbook[[#This Row],[UDC]],TableOCEDHE1[],7,FALSE),"")</f>
        <v/>
      </c>
      <c r="T66" s="272" t="str">
        <f>IFERROR(VLOOKUP(TableHandbook[[#This Row],[UDC]],TableOCEDHE[],7,FALSE),"")</f>
        <v/>
      </c>
      <c r="U66" s="271" t="str">
        <f>IFERROR(VLOOKUP(TableHandbook[[#This Row],[UDC]],TableOCEDUCS1[],7,FALSE),"")</f>
        <v/>
      </c>
      <c r="V66" s="187" t="str">
        <f>IFERROR(VLOOKUP(TableHandbook[[#This Row],[UDC]],TableOCEDUC[],7,FALSE),"")</f>
        <v/>
      </c>
      <c r="W66" s="187" t="str">
        <f>IFERROR(VLOOKUP(TableHandbook[[#This Row],[UDC]],TableOGEDUC[],7,FALSE),"")</f>
        <v/>
      </c>
      <c r="X66" s="187" t="str">
        <f>IFERROR(VLOOKUP(TableHandbook[[#This Row],[UDC]],TableOUMPEDUPR[],7,FALSE),"")</f>
        <v/>
      </c>
      <c r="Y66" s="187" t="str">
        <f>IFERROR(VLOOKUP(TableHandbook[[#This Row],[UDC]],TableOUMPEDUSC[],7,FALSE),"")</f>
        <v/>
      </c>
      <c r="Z66" s="187" t="str">
        <f>IFERROR(VLOOKUP(TableHandbook[[#This Row],[UDC]],TableOMEDUC[],7,FALSE),"")</f>
        <v/>
      </c>
      <c r="AA66" s="187" t="str">
        <f>IFERROR(VLOOKUP(TableHandbook[[#This Row],[UDC]],TableOSEPCULIN[],7,FALSE),"")</f>
        <v/>
      </c>
      <c r="AB66" s="187" t="str">
        <f>IFERROR(VLOOKUP(TableHandbook[[#This Row],[UDC]],TableOSEPLNTCH[],7,FALSE),"")</f>
        <v/>
      </c>
      <c r="AC66" s="272" t="str">
        <f>IFERROR(VLOOKUP(TableHandbook[[#This Row],[UDC]],TableOSEPSTEME[],7,FALSE),"")</f>
        <v/>
      </c>
    </row>
    <row r="67" spans="1:29" x14ac:dyDescent="0.25">
      <c r="A67" s="3" t="s">
        <v>164</v>
      </c>
      <c r="B67" s="4">
        <v>1</v>
      </c>
      <c r="C67" s="3" t="s">
        <v>456</v>
      </c>
      <c r="D67" s="3" t="s">
        <v>457</v>
      </c>
      <c r="E67" s="4">
        <v>25</v>
      </c>
      <c r="F67" s="188" t="s">
        <v>333</v>
      </c>
      <c r="G67" s="120" t="str">
        <f>IFERROR(IF(VLOOKUP(TableHandbook[[#This Row],[UDC]],TableAvailabilities[],2,FALSE)&gt;0,"Y",""),"")</f>
        <v/>
      </c>
      <c r="H67" s="121" t="str">
        <f>IFERROR(IF(VLOOKUP(TableHandbook[[#This Row],[UDC]],TableAvailabilities[],3,FALSE)&gt;0,"Y",""),"")</f>
        <v>Y</v>
      </c>
      <c r="I67" s="121" t="str">
        <f>IFERROR(IF(VLOOKUP(TableHandbook[[#This Row],[UDC]],TableAvailabilities[],4,FALSE)&gt;0,"Y",""),"")</f>
        <v/>
      </c>
      <c r="J67" s="172" t="str">
        <f>IFERROR(IF(VLOOKUP(TableHandbook[[#This Row],[UDC]],TableAvailabilities[],5,FALSE)&gt;0,"Y",""),"")</f>
        <v>Y</v>
      </c>
      <c r="K67" s="249"/>
      <c r="L67" s="269" t="str">
        <f>IFERROR(VLOOKUP(TableHandbook[[#This Row],[UDC]],TableOMTEACH1[],7,FALSE),"")</f>
        <v/>
      </c>
      <c r="M67" s="130" t="str">
        <f>IFERROR(VLOOKUP(TableHandbook[[#This Row],[UDC]],TableOUMPTCHEC[],7,FALSE),"")</f>
        <v/>
      </c>
      <c r="N67" s="130" t="str">
        <f>IFERROR(VLOOKUP(TableHandbook[[#This Row],[UDC]],TableOUMPTCHPE[],7,FALSE),"")</f>
        <v/>
      </c>
      <c r="O67" s="270" t="str">
        <f>IFERROR(VLOOKUP(TableHandbook[[#This Row],[UDC]],TableOUMPTCHSE[],7,FALSE),"")</f>
        <v/>
      </c>
      <c r="P67" s="271" t="str">
        <f>IFERROR(VLOOKUP(TableHandbook[[#This Row],[UDC]],TableOCTESOL1[],7,FALSE),"")</f>
        <v/>
      </c>
      <c r="Q67" s="187" t="str">
        <f>IFERROR(VLOOKUP(TableHandbook[[#This Row],[UDC]],TableOCTESOL[],7,FALSE),"")</f>
        <v/>
      </c>
      <c r="R67" s="272" t="str">
        <f>IFERROR(VLOOKUP(TableHandbook[[#This Row],[UDC]],TableOMAPLING[],7,FALSE),"")</f>
        <v/>
      </c>
      <c r="S67" s="271" t="str">
        <f>IFERROR(VLOOKUP(TableHandbook[[#This Row],[UDC]],TableOCEDHE1[],7,FALSE),"")</f>
        <v/>
      </c>
      <c r="T67" s="272" t="str">
        <f>IFERROR(VLOOKUP(TableHandbook[[#This Row],[UDC]],TableOCEDHE[],7,FALSE),"")</f>
        <v/>
      </c>
      <c r="U67" s="271" t="str">
        <f>IFERROR(VLOOKUP(TableHandbook[[#This Row],[UDC]],TableOCEDUCS1[],7,FALSE),"")</f>
        <v/>
      </c>
      <c r="V67" s="187" t="str">
        <f>IFERROR(VLOOKUP(TableHandbook[[#This Row],[UDC]],TableOCEDUC[],7,FALSE),"")</f>
        <v/>
      </c>
      <c r="W67" s="187" t="str">
        <f>IFERROR(VLOOKUP(TableHandbook[[#This Row],[UDC]],TableOGEDUC[],7,FALSE),"")</f>
        <v/>
      </c>
      <c r="X67" s="187" t="str">
        <f>IFERROR(VLOOKUP(TableHandbook[[#This Row],[UDC]],TableOUMPEDUPR[],7,FALSE),"")</f>
        <v/>
      </c>
      <c r="Y67" s="187" t="str">
        <f>IFERROR(VLOOKUP(TableHandbook[[#This Row],[UDC]],TableOUMPEDUSC[],7,FALSE),"")</f>
        <v/>
      </c>
      <c r="Z67" s="187" t="str">
        <f>IFERROR(VLOOKUP(TableHandbook[[#This Row],[UDC]],TableOMEDUC[],7,FALSE),"")</f>
        <v>Core</v>
      </c>
      <c r="AA67" s="187" t="str">
        <f>IFERROR(VLOOKUP(TableHandbook[[#This Row],[UDC]],TableOSEPCULIN[],7,FALSE),"")</f>
        <v/>
      </c>
      <c r="AB67" s="187" t="str">
        <f>IFERROR(VLOOKUP(TableHandbook[[#This Row],[UDC]],TableOSEPLNTCH[],7,FALSE),"")</f>
        <v/>
      </c>
      <c r="AC67" s="272" t="str">
        <f>IFERROR(VLOOKUP(TableHandbook[[#This Row],[UDC]],TableOSEPSTEME[],7,FALSE),"")</f>
        <v/>
      </c>
    </row>
    <row r="68" spans="1:29" x14ac:dyDescent="0.25">
      <c r="A68" s="3" t="s">
        <v>175</v>
      </c>
      <c r="B68" s="4">
        <v>1</v>
      </c>
      <c r="C68" s="3" t="s">
        <v>458</v>
      </c>
      <c r="D68" s="3" t="s">
        <v>459</v>
      </c>
      <c r="E68" s="4">
        <v>25</v>
      </c>
      <c r="F68" s="188" t="s">
        <v>333</v>
      </c>
      <c r="G68" s="120" t="str">
        <f>IFERROR(IF(VLOOKUP(TableHandbook[[#This Row],[UDC]],TableAvailabilities[],2,FALSE)&gt;0,"Y",""),"")</f>
        <v/>
      </c>
      <c r="H68" s="121" t="str">
        <f>IFERROR(IF(VLOOKUP(TableHandbook[[#This Row],[UDC]],TableAvailabilities[],3,FALSE)&gt;0,"Y",""),"")</f>
        <v/>
      </c>
      <c r="I68" s="121" t="str">
        <f>IFERROR(IF(VLOOKUP(TableHandbook[[#This Row],[UDC]],TableAvailabilities[],4,FALSE)&gt;0,"Y",""),"")</f>
        <v>Y</v>
      </c>
      <c r="J68" s="172" t="str">
        <f>IFERROR(IF(VLOOKUP(TableHandbook[[#This Row],[UDC]],TableAvailabilities[],5,FALSE)&gt;0,"Y",""),"")</f>
        <v/>
      </c>
      <c r="K68" s="249"/>
      <c r="L68" s="269" t="str">
        <f>IFERROR(VLOOKUP(TableHandbook[[#This Row],[UDC]],TableOMTEACH1[],7,FALSE),"")</f>
        <v/>
      </c>
      <c r="M68" s="130" t="str">
        <f>IFERROR(VLOOKUP(TableHandbook[[#This Row],[UDC]],TableOUMPTCHEC[],7,FALSE),"")</f>
        <v/>
      </c>
      <c r="N68" s="130" t="str">
        <f>IFERROR(VLOOKUP(TableHandbook[[#This Row],[UDC]],TableOUMPTCHPE[],7,FALSE),"")</f>
        <v/>
      </c>
      <c r="O68" s="270" t="str">
        <f>IFERROR(VLOOKUP(TableHandbook[[#This Row],[UDC]],TableOUMPTCHSE[],7,FALSE),"")</f>
        <v/>
      </c>
      <c r="P68" s="271" t="str">
        <f>IFERROR(VLOOKUP(TableHandbook[[#This Row],[UDC]],TableOCTESOL1[],7,FALSE),"")</f>
        <v/>
      </c>
      <c r="Q68" s="187" t="str">
        <f>IFERROR(VLOOKUP(TableHandbook[[#This Row],[UDC]],TableOCTESOL[],7,FALSE),"")</f>
        <v/>
      </c>
      <c r="R68" s="272" t="str">
        <f>IFERROR(VLOOKUP(TableHandbook[[#This Row],[UDC]],TableOMAPLING[],7,FALSE),"")</f>
        <v/>
      </c>
      <c r="S68" s="271" t="str">
        <f>IFERROR(VLOOKUP(TableHandbook[[#This Row],[UDC]],TableOCEDHE1[],7,FALSE),"")</f>
        <v/>
      </c>
      <c r="T68" s="272" t="str">
        <f>IFERROR(VLOOKUP(TableHandbook[[#This Row],[UDC]],TableOCEDHE[],7,FALSE),"")</f>
        <v/>
      </c>
      <c r="U68" s="271" t="str">
        <f>IFERROR(VLOOKUP(TableHandbook[[#This Row],[UDC]],TableOCEDUCS1[],7,FALSE),"")</f>
        <v/>
      </c>
      <c r="V68" s="187" t="str">
        <f>IFERROR(VLOOKUP(TableHandbook[[#This Row],[UDC]],TableOCEDUC[],7,FALSE),"")</f>
        <v/>
      </c>
      <c r="W68" s="187" t="str">
        <f>IFERROR(VLOOKUP(TableHandbook[[#This Row],[UDC]],TableOGEDUC[],7,FALSE),"")</f>
        <v/>
      </c>
      <c r="X68" s="187" t="str">
        <f>IFERROR(VLOOKUP(TableHandbook[[#This Row],[UDC]],TableOUMPEDUPR[],7,FALSE),"")</f>
        <v/>
      </c>
      <c r="Y68" s="187" t="str">
        <f>IFERROR(VLOOKUP(TableHandbook[[#This Row],[UDC]],TableOUMPEDUSC[],7,FALSE),"")</f>
        <v/>
      </c>
      <c r="Z68" s="187" t="str">
        <f>IFERROR(VLOOKUP(TableHandbook[[#This Row],[UDC]],TableOMEDUC[],7,FALSE),"")</f>
        <v>Option</v>
      </c>
      <c r="AA68" s="187" t="str">
        <f>IFERROR(VLOOKUP(TableHandbook[[#This Row],[UDC]],TableOSEPCULIN[],7,FALSE),"")</f>
        <v/>
      </c>
      <c r="AB68" s="187" t="str">
        <f>IFERROR(VLOOKUP(TableHandbook[[#This Row],[UDC]],TableOSEPLNTCH[],7,FALSE),"")</f>
        <v/>
      </c>
      <c r="AC68" s="272" t="str">
        <f>IFERROR(VLOOKUP(TableHandbook[[#This Row],[UDC]],TableOSEPSTEME[],7,FALSE),"")</f>
        <v>Core</v>
      </c>
    </row>
    <row r="69" spans="1:29" x14ac:dyDescent="0.25">
      <c r="A69" s="3" t="s">
        <v>181</v>
      </c>
      <c r="B69" s="4">
        <v>1</v>
      </c>
      <c r="C69" s="3" t="s">
        <v>460</v>
      </c>
      <c r="D69" s="3" t="s">
        <v>461</v>
      </c>
      <c r="E69" s="4">
        <v>25</v>
      </c>
      <c r="F69" s="188" t="s">
        <v>333</v>
      </c>
      <c r="G69" s="120" t="str">
        <f>IFERROR(IF(VLOOKUP(TableHandbook[[#This Row],[UDC]],TableAvailabilities[],2,FALSE)&gt;0,"Y",""),"")</f>
        <v>Y</v>
      </c>
      <c r="H69" s="121" t="str">
        <f>IFERROR(IF(VLOOKUP(TableHandbook[[#This Row],[UDC]],TableAvailabilities[],3,FALSE)&gt;0,"Y",""),"")</f>
        <v/>
      </c>
      <c r="I69" s="121" t="str">
        <f>IFERROR(IF(VLOOKUP(TableHandbook[[#This Row],[UDC]],TableAvailabilities[],4,FALSE)&gt;0,"Y",""),"")</f>
        <v>Y</v>
      </c>
      <c r="J69" s="172" t="str">
        <f>IFERROR(IF(VLOOKUP(TableHandbook[[#This Row],[UDC]],TableAvailabilities[],5,FALSE)&gt;0,"Y",""),"")</f>
        <v/>
      </c>
      <c r="K69" s="249"/>
      <c r="L69" s="269" t="str">
        <f>IFERROR(VLOOKUP(TableHandbook[[#This Row],[UDC]],TableOMTEACH1[],7,FALSE),"")</f>
        <v/>
      </c>
      <c r="M69" s="130" t="str">
        <f>IFERROR(VLOOKUP(TableHandbook[[#This Row],[UDC]],TableOUMPTCHEC[],7,FALSE),"")</f>
        <v/>
      </c>
      <c r="N69" s="130" t="str">
        <f>IFERROR(VLOOKUP(TableHandbook[[#This Row],[UDC]],TableOUMPTCHPE[],7,FALSE),"")</f>
        <v/>
      </c>
      <c r="O69" s="270" t="str">
        <f>IFERROR(VLOOKUP(TableHandbook[[#This Row],[UDC]],TableOUMPTCHSE[],7,FALSE),"")</f>
        <v/>
      </c>
      <c r="P69" s="271" t="str">
        <f>IFERROR(VLOOKUP(TableHandbook[[#This Row],[UDC]],TableOCTESOL1[],7,FALSE),"")</f>
        <v/>
      </c>
      <c r="Q69" s="187" t="str">
        <f>IFERROR(VLOOKUP(TableHandbook[[#This Row],[UDC]],TableOCTESOL[],7,FALSE),"")</f>
        <v/>
      </c>
      <c r="R69" s="272" t="str">
        <f>IFERROR(VLOOKUP(TableHandbook[[#This Row],[UDC]],TableOMAPLING[],7,FALSE),"")</f>
        <v/>
      </c>
      <c r="S69" s="271" t="str">
        <f>IFERROR(VLOOKUP(TableHandbook[[#This Row],[UDC]],TableOCEDHE1[],7,FALSE),"")</f>
        <v/>
      </c>
      <c r="T69" s="272" t="str">
        <f>IFERROR(VLOOKUP(TableHandbook[[#This Row],[UDC]],TableOCEDHE[],7,FALSE),"")</f>
        <v/>
      </c>
      <c r="U69" s="271" t="str">
        <f>IFERROR(VLOOKUP(TableHandbook[[#This Row],[UDC]],TableOCEDUCS1[],7,FALSE),"")</f>
        <v/>
      </c>
      <c r="V69" s="187" t="str">
        <f>IFERROR(VLOOKUP(TableHandbook[[#This Row],[UDC]],TableOCEDUC[],7,FALSE),"")</f>
        <v/>
      </c>
      <c r="W69" s="187" t="str">
        <f>IFERROR(VLOOKUP(TableHandbook[[#This Row],[UDC]],TableOGEDUC[],7,FALSE),"")</f>
        <v/>
      </c>
      <c r="X69" s="187" t="str">
        <f>IFERROR(VLOOKUP(TableHandbook[[#This Row],[UDC]],TableOUMPEDUPR[],7,FALSE),"")</f>
        <v/>
      </c>
      <c r="Y69" s="187" t="str">
        <f>IFERROR(VLOOKUP(TableHandbook[[#This Row],[UDC]],TableOUMPEDUSC[],7,FALSE),"")</f>
        <v/>
      </c>
      <c r="Z69" s="187" t="str">
        <f>IFERROR(VLOOKUP(TableHandbook[[#This Row],[UDC]],TableOMEDUC[],7,FALSE),"")</f>
        <v>Option</v>
      </c>
      <c r="AA69" s="187" t="str">
        <f>IFERROR(VLOOKUP(TableHandbook[[#This Row],[UDC]],TableOSEPCULIN[],7,FALSE),"")</f>
        <v/>
      </c>
      <c r="AB69" s="187" t="str">
        <f>IFERROR(VLOOKUP(TableHandbook[[#This Row],[UDC]],TableOSEPLNTCH[],7,FALSE),"")</f>
        <v>Core</v>
      </c>
      <c r="AC69" s="272" t="str">
        <f>IFERROR(VLOOKUP(TableHandbook[[#This Row],[UDC]],TableOSEPSTEME[],7,FALSE),"")</f>
        <v>Core</v>
      </c>
    </row>
    <row r="70" spans="1:29" x14ac:dyDescent="0.25">
      <c r="A70" s="3" t="s">
        <v>170</v>
      </c>
      <c r="B70" s="4">
        <v>1</v>
      </c>
      <c r="C70" s="3" t="s">
        <v>462</v>
      </c>
      <c r="D70" s="3" t="s">
        <v>463</v>
      </c>
      <c r="E70" s="4">
        <v>25</v>
      </c>
      <c r="F70" s="188" t="s">
        <v>333</v>
      </c>
      <c r="G70" s="120" t="str">
        <f>IFERROR(IF(VLOOKUP(TableHandbook[[#This Row],[UDC]],TableAvailabilities[],2,FALSE)&gt;0,"Y",""),"")</f>
        <v/>
      </c>
      <c r="H70" s="121" t="str">
        <f>IFERROR(IF(VLOOKUP(TableHandbook[[#This Row],[UDC]],TableAvailabilities[],3,FALSE)&gt;0,"Y",""),"")</f>
        <v>Y</v>
      </c>
      <c r="I70" s="121" t="str">
        <f>IFERROR(IF(VLOOKUP(TableHandbook[[#This Row],[UDC]],TableAvailabilities[],4,FALSE)&gt;0,"Y",""),"")</f>
        <v/>
      </c>
      <c r="J70" s="172" t="str">
        <f>IFERROR(IF(VLOOKUP(TableHandbook[[#This Row],[UDC]],TableAvailabilities[],5,FALSE)&gt;0,"Y",""),"")</f>
        <v>Y</v>
      </c>
      <c r="K70" s="249"/>
      <c r="L70" s="269" t="str">
        <f>IFERROR(VLOOKUP(TableHandbook[[#This Row],[UDC]],TableOMTEACH1[],7,FALSE),"")</f>
        <v/>
      </c>
      <c r="M70" s="130" t="str">
        <f>IFERROR(VLOOKUP(TableHandbook[[#This Row],[UDC]],TableOUMPTCHEC[],7,FALSE),"")</f>
        <v/>
      </c>
      <c r="N70" s="130" t="str">
        <f>IFERROR(VLOOKUP(TableHandbook[[#This Row],[UDC]],TableOUMPTCHPE[],7,FALSE),"")</f>
        <v/>
      </c>
      <c r="O70" s="270" t="str">
        <f>IFERROR(VLOOKUP(TableHandbook[[#This Row],[UDC]],TableOUMPTCHSE[],7,FALSE),"")</f>
        <v/>
      </c>
      <c r="P70" s="271" t="str">
        <f>IFERROR(VLOOKUP(TableHandbook[[#This Row],[UDC]],TableOCTESOL1[],7,FALSE),"")</f>
        <v/>
      </c>
      <c r="Q70" s="187" t="str">
        <f>IFERROR(VLOOKUP(TableHandbook[[#This Row],[UDC]],TableOCTESOL[],7,FALSE),"")</f>
        <v/>
      </c>
      <c r="R70" s="272" t="str">
        <f>IFERROR(VLOOKUP(TableHandbook[[#This Row],[UDC]],TableOMAPLING[],7,FALSE),"")</f>
        <v/>
      </c>
      <c r="S70" s="271" t="str">
        <f>IFERROR(VLOOKUP(TableHandbook[[#This Row],[UDC]],TableOCEDHE1[],7,FALSE),"")</f>
        <v/>
      </c>
      <c r="T70" s="272" t="str">
        <f>IFERROR(VLOOKUP(TableHandbook[[#This Row],[UDC]],TableOCEDHE[],7,FALSE),"")</f>
        <v/>
      </c>
      <c r="U70" s="271" t="str">
        <f>IFERROR(VLOOKUP(TableHandbook[[#This Row],[UDC]],TableOCEDUCS1[],7,FALSE),"")</f>
        <v/>
      </c>
      <c r="V70" s="187" t="str">
        <f>IFERROR(VLOOKUP(TableHandbook[[#This Row],[UDC]],TableOCEDUC[],7,FALSE),"")</f>
        <v/>
      </c>
      <c r="W70" s="187" t="str">
        <f>IFERROR(VLOOKUP(TableHandbook[[#This Row],[UDC]],TableOGEDUC[],7,FALSE),"")</f>
        <v/>
      </c>
      <c r="X70" s="187" t="str">
        <f>IFERROR(VLOOKUP(TableHandbook[[#This Row],[UDC]],TableOUMPEDUPR[],7,FALSE),"")</f>
        <v/>
      </c>
      <c r="Y70" s="187" t="str">
        <f>IFERROR(VLOOKUP(TableHandbook[[#This Row],[UDC]],TableOUMPEDUSC[],7,FALSE),"")</f>
        <v/>
      </c>
      <c r="Z70" s="187" t="str">
        <f>IFERROR(VLOOKUP(TableHandbook[[#This Row],[UDC]],TableOMEDUC[],7,FALSE),"")</f>
        <v>Option</v>
      </c>
      <c r="AA70" s="187" t="str">
        <f>IFERROR(VLOOKUP(TableHandbook[[#This Row],[UDC]],TableOSEPCULIN[],7,FALSE),"")</f>
        <v>Core</v>
      </c>
      <c r="AB70" s="187" t="str">
        <f>IFERROR(VLOOKUP(TableHandbook[[#This Row],[UDC]],TableOSEPLNTCH[],7,FALSE),"")</f>
        <v>Core</v>
      </c>
      <c r="AC70" s="272" t="str">
        <f>IFERROR(VLOOKUP(TableHandbook[[#This Row],[UDC]],TableOSEPSTEME[],7,FALSE),"")</f>
        <v>Core</v>
      </c>
    </row>
    <row r="71" spans="1:29" x14ac:dyDescent="0.25">
      <c r="A71" s="3" t="s">
        <v>172</v>
      </c>
      <c r="B71" s="4">
        <v>1</v>
      </c>
      <c r="C71" s="3" t="s">
        <v>464</v>
      </c>
      <c r="D71" s="3" t="s">
        <v>465</v>
      </c>
      <c r="E71" s="4">
        <v>25</v>
      </c>
      <c r="F71" s="188" t="s">
        <v>333</v>
      </c>
      <c r="G71" s="120" t="str">
        <f>IFERROR(IF(VLOOKUP(TableHandbook[[#This Row],[UDC]],TableAvailabilities[],2,FALSE)&gt;0,"Y",""),"")</f>
        <v>Y</v>
      </c>
      <c r="H71" s="121" t="str">
        <f>IFERROR(IF(VLOOKUP(TableHandbook[[#This Row],[UDC]],TableAvailabilities[],3,FALSE)&gt;0,"Y",""),"")</f>
        <v/>
      </c>
      <c r="I71" s="121" t="str">
        <f>IFERROR(IF(VLOOKUP(TableHandbook[[#This Row],[UDC]],TableAvailabilities[],4,FALSE)&gt;0,"Y",""),"")</f>
        <v/>
      </c>
      <c r="J71" s="172" t="str">
        <f>IFERROR(IF(VLOOKUP(TableHandbook[[#This Row],[UDC]],TableAvailabilities[],5,FALSE)&gt;0,"Y",""),"")</f>
        <v/>
      </c>
      <c r="K71" s="249"/>
      <c r="L71" s="269" t="str">
        <f>IFERROR(VLOOKUP(TableHandbook[[#This Row],[UDC]],TableOMTEACH1[],7,FALSE),"")</f>
        <v/>
      </c>
      <c r="M71" s="130" t="str">
        <f>IFERROR(VLOOKUP(TableHandbook[[#This Row],[UDC]],TableOUMPTCHEC[],7,FALSE),"")</f>
        <v/>
      </c>
      <c r="N71" s="130" t="str">
        <f>IFERROR(VLOOKUP(TableHandbook[[#This Row],[UDC]],TableOUMPTCHPE[],7,FALSE),"")</f>
        <v/>
      </c>
      <c r="O71" s="270" t="str">
        <f>IFERROR(VLOOKUP(TableHandbook[[#This Row],[UDC]],TableOUMPTCHSE[],7,FALSE),"")</f>
        <v/>
      </c>
      <c r="P71" s="271" t="str">
        <f>IFERROR(VLOOKUP(TableHandbook[[#This Row],[UDC]],TableOCTESOL1[],7,FALSE),"")</f>
        <v/>
      </c>
      <c r="Q71" s="187" t="str">
        <f>IFERROR(VLOOKUP(TableHandbook[[#This Row],[UDC]],TableOCTESOL[],7,FALSE),"")</f>
        <v/>
      </c>
      <c r="R71" s="272" t="str">
        <f>IFERROR(VLOOKUP(TableHandbook[[#This Row],[UDC]],TableOMAPLING[],7,FALSE),"")</f>
        <v/>
      </c>
      <c r="S71" s="271" t="str">
        <f>IFERROR(VLOOKUP(TableHandbook[[#This Row],[UDC]],TableOCEDHE1[],7,FALSE),"")</f>
        <v/>
      </c>
      <c r="T71" s="272" t="str">
        <f>IFERROR(VLOOKUP(TableHandbook[[#This Row],[UDC]],TableOCEDHE[],7,FALSE),"")</f>
        <v/>
      </c>
      <c r="U71" s="271" t="str">
        <f>IFERROR(VLOOKUP(TableHandbook[[#This Row],[UDC]],TableOCEDUCS1[],7,FALSE),"")</f>
        <v/>
      </c>
      <c r="V71" s="187" t="str">
        <f>IFERROR(VLOOKUP(TableHandbook[[#This Row],[UDC]],TableOCEDUC[],7,FALSE),"")</f>
        <v/>
      </c>
      <c r="W71" s="187" t="str">
        <f>IFERROR(VLOOKUP(TableHandbook[[#This Row],[UDC]],TableOGEDUC[],7,FALSE),"")</f>
        <v/>
      </c>
      <c r="X71" s="187" t="str">
        <f>IFERROR(VLOOKUP(TableHandbook[[#This Row],[UDC]],TableOUMPEDUPR[],7,FALSE),"")</f>
        <v/>
      </c>
      <c r="Y71" s="187" t="str">
        <f>IFERROR(VLOOKUP(TableHandbook[[#This Row],[UDC]],TableOUMPEDUSC[],7,FALSE),"")</f>
        <v/>
      </c>
      <c r="Z71" s="187" t="str">
        <f>IFERROR(VLOOKUP(TableHandbook[[#This Row],[UDC]],TableOMEDUC[],7,FALSE),"")</f>
        <v>Option</v>
      </c>
      <c r="AA71" s="187" t="str">
        <f>IFERROR(VLOOKUP(TableHandbook[[#This Row],[UDC]],TableOSEPCULIN[],7,FALSE),"")</f>
        <v/>
      </c>
      <c r="AB71" s="187" t="str">
        <f>IFERROR(VLOOKUP(TableHandbook[[#This Row],[UDC]],TableOSEPLNTCH[],7,FALSE),"")</f>
        <v>Core</v>
      </c>
      <c r="AC71" s="272" t="str">
        <f>IFERROR(VLOOKUP(TableHandbook[[#This Row],[UDC]],TableOSEPSTEME[],7,FALSE),"")</f>
        <v/>
      </c>
    </row>
    <row r="72" spans="1:29" x14ac:dyDescent="0.25">
      <c r="A72" s="3" t="s">
        <v>169</v>
      </c>
      <c r="B72" s="4">
        <v>1</v>
      </c>
      <c r="C72" s="3" t="s">
        <v>466</v>
      </c>
      <c r="D72" s="3" t="s">
        <v>467</v>
      </c>
      <c r="E72" s="4">
        <v>25</v>
      </c>
      <c r="F72" s="188" t="s">
        <v>333</v>
      </c>
      <c r="G72" s="120" t="str">
        <f>IFERROR(IF(VLOOKUP(TableHandbook[[#This Row],[UDC]],TableAvailabilities[],2,FALSE)&gt;0,"Y",""),"")</f>
        <v>Y</v>
      </c>
      <c r="H72" s="121" t="str">
        <f>IFERROR(IF(VLOOKUP(TableHandbook[[#This Row],[UDC]],TableAvailabilities[],3,FALSE)&gt;0,"Y",""),"")</f>
        <v/>
      </c>
      <c r="I72" s="121" t="str">
        <f>IFERROR(IF(VLOOKUP(TableHandbook[[#This Row],[UDC]],TableAvailabilities[],4,FALSE)&gt;0,"Y",""),"")</f>
        <v/>
      </c>
      <c r="J72" s="172" t="str">
        <f>IFERROR(IF(VLOOKUP(TableHandbook[[#This Row],[UDC]],TableAvailabilities[],5,FALSE)&gt;0,"Y",""),"")</f>
        <v/>
      </c>
      <c r="K72" s="249"/>
      <c r="L72" s="269" t="str">
        <f>IFERROR(VLOOKUP(TableHandbook[[#This Row],[UDC]],TableOMTEACH1[],7,FALSE),"")</f>
        <v/>
      </c>
      <c r="M72" s="130" t="str">
        <f>IFERROR(VLOOKUP(TableHandbook[[#This Row],[UDC]],TableOUMPTCHEC[],7,FALSE),"")</f>
        <v/>
      </c>
      <c r="N72" s="130" t="str">
        <f>IFERROR(VLOOKUP(TableHandbook[[#This Row],[UDC]],TableOUMPTCHPE[],7,FALSE),"")</f>
        <v/>
      </c>
      <c r="O72" s="270" t="str">
        <f>IFERROR(VLOOKUP(TableHandbook[[#This Row],[UDC]],TableOUMPTCHSE[],7,FALSE),"")</f>
        <v/>
      </c>
      <c r="P72" s="271" t="str">
        <f>IFERROR(VLOOKUP(TableHandbook[[#This Row],[UDC]],TableOCTESOL1[],7,FALSE),"")</f>
        <v/>
      </c>
      <c r="Q72" s="187" t="str">
        <f>IFERROR(VLOOKUP(TableHandbook[[#This Row],[UDC]],TableOCTESOL[],7,FALSE),"")</f>
        <v/>
      </c>
      <c r="R72" s="272" t="str">
        <f>IFERROR(VLOOKUP(TableHandbook[[#This Row],[UDC]],TableOMAPLING[],7,FALSE),"")</f>
        <v/>
      </c>
      <c r="S72" s="271" t="str">
        <f>IFERROR(VLOOKUP(TableHandbook[[#This Row],[UDC]],TableOCEDHE1[],7,FALSE),"")</f>
        <v/>
      </c>
      <c r="T72" s="272" t="str">
        <f>IFERROR(VLOOKUP(TableHandbook[[#This Row],[UDC]],TableOCEDHE[],7,FALSE),"")</f>
        <v/>
      </c>
      <c r="U72" s="271" t="str">
        <f>IFERROR(VLOOKUP(TableHandbook[[#This Row],[UDC]],TableOCEDUCS1[],7,FALSE),"")</f>
        <v/>
      </c>
      <c r="V72" s="187" t="str">
        <f>IFERROR(VLOOKUP(TableHandbook[[#This Row],[UDC]],TableOCEDUC[],7,FALSE),"")</f>
        <v/>
      </c>
      <c r="W72" s="187" t="str">
        <f>IFERROR(VLOOKUP(TableHandbook[[#This Row],[UDC]],TableOGEDUC[],7,FALSE),"")</f>
        <v/>
      </c>
      <c r="X72" s="187" t="str">
        <f>IFERROR(VLOOKUP(TableHandbook[[#This Row],[UDC]],TableOUMPEDUPR[],7,FALSE),"")</f>
        <v/>
      </c>
      <c r="Y72" s="187" t="str">
        <f>IFERROR(VLOOKUP(TableHandbook[[#This Row],[UDC]],TableOUMPEDUSC[],7,FALSE),"")</f>
        <v/>
      </c>
      <c r="Z72" s="187" t="str">
        <f>IFERROR(VLOOKUP(TableHandbook[[#This Row],[UDC]],TableOMEDUC[],7,FALSE),"")</f>
        <v>Option</v>
      </c>
      <c r="AA72" s="187" t="str">
        <f>IFERROR(VLOOKUP(TableHandbook[[#This Row],[UDC]],TableOSEPCULIN[],7,FALSE),"")</f>
        <v>Core</v>
      </c>
      <c r="AB72" s="187" t="str">
        <f>IFERROR(VLOOKUP(TableHandbook[[#This Row],[UDC]],TableOSEPLNTCH[],7,FALSE),"")</f>
        <v/>
      </c>
      <c r="AC72" s="272" t="str">
        <f>IFERROR(VLOOKUP(TableHandbook[[#This Row],[UDC]],TableOSEPSTEME[],7,FALSE),"")</f>
        <v/>
      </c>
    </row>
    <row r="73" spans="1:29" x14ac:dyDescent="0.25">
      <c r="A73" s="3" t="s">
        <v>173</v>
      </c>
      <c r="B73" s="4">
        <v>1</v>
      </c>
      <c r="C73" s="3" t="s">
        <v>468</v>
      </c>
      <c r="D73" s="3" t="s">
        <v>469</v>
      </c>
      <c r="E73" s="4">
        <v>25</v>
      </c>
      <c r="F73" s="188" t="s">
        <v>333</v>
      </c>
      <c r="G73" s="120" t="str">
        <f>IFERROR(IF(VLOOKUP(TableHandbook[[#This Row],[UDC]],TableAvailabilities[],2,FALSE)&gt;0,"Y",""),"")</f>
        <v/>
      </c>
      <c r="H73" s="121" t="str">
        <f>IFERROR(IF(VLOOKUP(TableHandbook[[#This Row],[UDC]],TableAvailabilities[],3,FALSE)&gt;0,"Y",""),"")</f>
        <v/>
      </c>
      <c r="I73" s="121" t="str">
        <f>IFERROR(IF(VLOOKUP(TableHandbook[[#This Row],[UDC]],TableAvailabilities[],4,FALSE)&gt;0,"Y",""),"")</f>
        <v>Y</v>
      </c>
      <c r="J73" s="172" t="str">
        <f>IFERROR(IF(VLOOKUP(TableHandbook[[#This Row],[UDC]],TableAvailabilities[],5,FALSE)&gt;0,"Y",""),"")</f>
        <v/>
      </c>
      <c r="K73" s="249"/>
      <c r="L73" s="269" t="str">
        <f>IFERROR(VLOOKUP(TableHandbook[[#This Row],[UDC]],TableOMTEACH1[],7,FALSE),"")</f>
        <v/>
      </c>
      <c r="M73" s="130" t="str">
        <f>IFERROR(VLOOKUP(TableHandbook[[#This Row],[UDC]],TableOUMPTCHEC[],7,FALSE),"")</f>
        <v/>
      </c>
      <c r="N73" s="130" t="str">
        <f>IFERROR(VLOOKUP(TableHandbook[[#This Row],[UDC]],TableOUMPTCHPE[],7,FALSE),"")</f>
        <v/>
      </c>
      <c r="O73" s="270" t="str">
        <f>IFERROR(VLOOKUP(TableHandbook[[#This Row],[UDC]],TableOUMPTCHSE[],7,FALSE),"")</f>
        <v/>
      </c>
      <c r="P73" s="271" t="str">
        <f>IFERROR(VLOOKUP(TableHandbook[[#This Row],[UDC]],TableOCTESOL1[],7,FALSE),"")</f>
        <v/>
      </c>
      <c r="Q73" s="187" t="str">
        <f>IFERROR(VLOOKUP(TableHandbook[[#This Row],[UDC]],TableOCTESOL[],7,FALSE),"")</f>
        <v/>
      </c>
      <c r="R73" s="272" t="str">
        <f>IFERROR(VLOOKUP(TableHandbook[[#This Row],[UDC]],TableOMAPLING[],7,FALSE),"")</f>
        <v/>
      </c>
      <c r="S73" s="271" t="str">
        <f>IFERROR(VLOOKUP(TableHandbook[[#This Row],[UDC]],TableOCEDHE1[],7,FALSE),"")</f>
        <v/>
      </c>
      <c r="T73" s="272" t="str">
        <f>IFERROR(VLOOKUP(TableHandbook[[#This Row],[UDC]],TableOCEDHE[],7,FALSE),"")</f>
        <v/>
      </c>
      <c r="U73" s="271" t="str">
        <f>IFERROR(VLOOKUP(TableHandbook[[#This Row],[UDC]],TableOCEDUCS1[],7,FALSE),"")</f>
        <v/>
      </c>
      <c r="V73" s="187" t="str">
        <f>IFERROR(VLOOKUP(TableHandbook[[#This Row],[UDC]],TableOCEDUC[],7,FALSE),"")</f>
        <v/>
      </c>
      <c r="W73" s="187" t="str">
        <f>IFERROR(VLOOKUP(TableHandbook[[#This Row],[UDC]],TableOGEDUC[],7,FALSE),"")</f>
        <v/>
      </c>
      <c r="X73" s="187" t="str">
        <f>IFERROR(VLOOKUP(TableHandbook[[#This Row],[UDC]],TableOUMPEDUPR[],7,FALSE),"")</f>
        <v/>
      </c>
      <c r="Y73" s="187" t="str">
        <f>IFERROR(VLOOKUP(TableHandbook[[#This Row],[UDC]],TableOUMPEDUSC[],7,FALSE),"")</f>
        <v/>
      </c>
      <c r="Z73" s="187" t="str">
        <f>IFERROR(VLOOKUP(TableHandbook[[#This Row],[UDC]],TableOMEDUC[],7,FALSE),"")</f>
        <v>Option</v>
      </c>
      <c r="AA73" s="187" t="str">
        <f>IFERROR(VLOOKUP(TableHandbook[[#This Row],[UDC]],TableOSEPCULIN[],7,FALSE),"")</f>
        <v/>
      </c>
      <c r="AB73" s="187" t="str">
        <f>IFERROR(VLOOKUP(TableHandbook[[#This Row],[UDC]],TableOSEPLNTCH[],7,FALSE),"")</f>
        <v>Core</v>
      </c>
      <c r="AC73" s="272" t="str">
        <f>IFERROR(VLOOKUP(TableHandbook[[#This Row],[UDC]],TableOSEPSTEME[],7,FALSE),"")</f>
        <v/>
      </c>
    </row>
    <row r="74" spans="1:29" x14ac:dyDescent="0.25">
      <c r="A74" s="3" t="s">
        <v>174</v>
      </c>
      <c r="B74" s="4">
        <v>1</v>
      </c>
      <c r="C74" s="3" t="s">
        <v>470</v>
      </c>
      <c r="D74" s="3" t="s">
        <v>471</v>
      </c>
      <c r="E74" s="4">
        <v>25</v>
      </c>
      <c r="F74" s="188" t="s">
        <v>333</v>
      </c>
      <c r="G74" s="120" t="str">
        <f>IFERROR(IF(VLOOKUP(TableHandbook[[#This Row],[UDC]],TableAvailabilities[],2,FALSE)&gt;0,"Y",""),"")</f>
        <v>Y</v>
      </c>
      <c r="H74" s="121" t="str">
        <f>IFERROR(IF(VLOOKUP(TableHandbook[[#This Row],[UDC]],TableAvailabilities[],3,FALSE)&gt;0,"Y",""),"")</f>
        <v/>
      </c>
      <c r="I74" s="121" t="str">
        <f>IFERROR(IF(VLOOKUP(TableHandbook[[#This Row],[UDC]],TableAvailabilities[],4,FALSE)&gt;0,"Y",""),"")</f>
        <v/>
      </c>
      <c r="J74" s="172" t="str">
        <f>IFERROR(IF(VLOOKUP(TableHandbook[[#This Row],[UDC]],TableAvailabilities[],5,FALSE)&gt;0,"Y",""),"")</f>
        <v/>
      </c>
      <c r="K74" s="249"/>
      <c r="L74" s="269" t="str">
        <f>IFERROR(VLOOKUP(TableHandbook[[#This Row],[UDC]],TableOMTEACH1[],7,FALSE),"")</f>
        <v/>
      </c>
      <c r="M74" s="130" t="str">
        <f>IFERROR(VLOOKUP(TableHandbook[[#This Row],[UDC]],TableOUMPTCHEC[],7,FALSE),"")</f>
        <v/>
      </c>
      <c r="N74" s="130" t="str">
        <f>IFERROR(VLOOKUP(TableHandbook[[#This Row],[UDC]],TableOUMPTCHPE[],7,FALSE),"")</f>
        <v/>
      </c>
      <c r="O74" s="270" t="str">
        <f>IFERROR(VLOOKUP(TableHandbook[[#This Row],[UDC]],TableOUMPTCHSE[],7,FALSE),"")</f>
        <v/>
      </c>
      <c r="P74" s="271" t="str">
        <f>IFERROR(VLOOKUP(TableHandbook[[#This Row],[UDC]],TableOCTESOL1[],7,FALSE),"")</f>
        <v/>
      </c>
      <c r="Q74" s="187" t="str">
        <f>IFERROR(VLOOKUP(TableHandbook[[#This Row],[UDC]],TableOCTESOL[],7,FALSE),"")</f>
        <v/>
      </c>
      <c r="R74" s="272" t="str">
        <f>IFERROR(VLOOKUP(TableHandbook[[#This Row],[UDC]],TableOMAPLING[],7,FALSE),"")</f>
        <v/>
      </c>
      <c r="S74" s="271" t="str">
        <f>IFERROR(VLOOKUP(TableHandbook[[#This Row],[UDC]],TableOCEDHE1[],7,FALSE),"")</f>
        <v/>
      </c>
      <c r="T74" s="272" t="str">
        <f>IFERROR(VLOOKUP(TableHandbook[[#This Row],[UDC]],TableOCEDHE[],7,FALSE),"")</f>
        <v/>
      </c>
      <c r="U74" s="271" t="str">
        <f>IFERROR(VLOOKUP(TableHandbook[[#This Row],[UDC]],TableOCEDUCS1[],7,FALSE),"")</f>
        <v/>
      </c>
      <c r="V74" s="187" t="str">
        <f>IFERROR(VLOOKUP(TableHandbook[[#This Row],[UDC]],TableOCEDUC[],7,FALSE),"")</f>
        <v/>
      </c>
      <c r="W74" s="187" t="str">
        <f>IFERROR(VLOOKUP(TableHandbook[[#This Row],[UDC]],TableOGEDUC[],7,FALSE),"")</f>
        <v/>
      </c>
      <c r="X74" s="187" t="str">
        <f>IFERROR(VLOOKUP(TableHandbook[[#This Row],[UDC]],TableOUMPEDUPR[],7,FALSE),"")</f>
        <v/>
      </c>
      <c r="Y74" s="187" t="str">
        <f>IFERROR(VLOOKUP(TableHandbook[[#This Row],[UDC]],TableOUMPEDUSC[],7,FALSE),"")</f>
        <v/>
      </c>
      <c r="Z74" s="187" t="str">
        <f>IFERROR(VLOOKUP(TableHandbook[[#This Row],[UDC]],TableOMEDUC[],7,FALSE),"")</f>
        <v>Option</v>
      </c>
      <c r="AA74" s="187" t="str">
        <f>IFERROR(VLOOKUP(TableHandbook[[#This Row],[UDC]],TableOSEPCULIN[],7,FALSE),"")</f>
        <v/>
      </c>
      <c r="AB74" s="187" t="str">
        <f>IFERROR(VLOOKUP(TableHandbook[[#This Row],[UDC]],TableOSEPLNTCH[],7,FALSE),"")</f>
        <v/>
      </c>
      <c r="AC74" s="272" t="str">
        <f>IFERROR(VLOOKUP(TableHandbook[[#This Row],[UDC]],TableOSEPSTEME[],7,FALSE),"")</f>
        <v>Core</v>
      </c>
    </row>
    <row r="75" spans="1:29" x14ac:dyDescent="0.25">
      <c r="A75" s="3" t="s">
        <v>119</v>
      </c>
      <c r="B75" s="4">
        <v>1</v>
      </c>
      <c r="C75" s="3" t="s">
        <v>472</v>
      </c>
      <c r="D75" s="3" t="s">
        <v>473</v>
      </c>
      <c r="E75" s="4">
        <v>25</v>
      </c>
      <c r="F75" s="188" t="s">
        <v>474</v>
      </c>
      <c r="G75" s="120" t="str">
        <f>IFERROR(IF(VLOOKUP(TableHandbook[[#This Row],[UDC]],TableAvailabilities[],2,FALSE)&gt;0,"Y",""),"")</f>
        <v>Y</v>
      </c>
      <c r="H75" s="121" t="str">
        <f>IFERROR(IF(VLOOKUP(TableHandbook[[#This Row],[UDC]],TableAvailabilities[],3,FALSE)&gt;0,"Y",""),"")</f>
        <v/>
      </c>
      <c r="I75" s="121" t="str">
        <f>IFERROR(IF(VLOOKUP(TableHandbook[[#This Row],[UDC]],TableAvailabilities[],4,FALSE)&gt;0,"Y",""),"")</f>
        <v>Y</v>
      </c>
      <c r="J75" s="172" t="str">
        <f>IFERROR(IF(VLOOKUP(TableHandbook[[#This Row],[UDC]],TableAvailabilities[],5,FALSE)&gt;0,"Y",""),"")</f>
        <v/>
      </c>
      <c r="K75" s="249"/>
      <c r="L75" s="269" t="str">
        <f>IFERROR(VLOOKUP(TableHandbook[[#This Row],[UDC]],TableOMTEACH1[],7,FALSE),"")</f>
        <v/>
      </c>
      <c r="M75" s="130" t="str">
        <f>IFERROR(VLOOKUP(TableHandbook[[#This Row],[UDC]],TableOUMPTCHEC[],7,FALSE),"")</f>
        <v>Core</v>
      </c>
      <c r="N75" s="130" t="str">
        <f>IFERROR(VLOOKUP(TableHandbook[[#This Row],[UDC]],TableOUMPTCHPE[],7,FALSE),"")</f>
        <v>Core</v>
      </c>
      <c r="O75" s="270" t="str">
        <f>IFERROR(VLOOKUP(TableHandbook[[#This Row],[UDC]],TableOUMPTCHSE[],7,FALSE),"")</f>
        <v>Core</v>
      </c>
      <c r="P75" s="271" t="str">
        <f>IFERROR(VLOOKUP(TableHandbook[[#This Row],[UDC]],TableOCTESOL1[],7,FALSE),"")</f>
        <v/>
      </c>
      <c r="Q75" s="187" t="str">
        <f>IFERROR(VLOOKUP(TableHandbook[[#This Row],[UDC]],TableOCTESOL[],7,FALSE),"")</f>
        <v/>
      </c>
      <c r="R75" s="272" t="str">
        <f>IFERROR(VLOOKUP(TableHandbook[[#This Row],[UDC]],TableOMAPLING[],7,FALSE),"")</f>
        <v/>
      </c>
      <c r="S75" s="271" t="str">
        <f>IFERROR(VLOOKUP(TableHandbook[[#This Row],[UDC]],TableOCEDHE1[],7,FALSE),"")</f>
        <v/>
      </c>
      <c r="T75" s="272" t="str">
        <f>IFERROR(VLOOKUP(TableHandbook[[#This Row],[UDC]],TableOCEDHE[],7,FALSE),"")</f>
        <v/>
      </c>
      <c r="U75" s="271" t="str">
        <f>IFERROR(VLOOKUP(TableHandbook[[#This Row],[UDC]],TableOCEDUCS1[],7,FALSE),"")</f>
        <v/>
      </c>
      <c r="V75" s="187" t="str">
        <f>IFERROR(VLOOKUP(TableHandbook[[#This Row],[UDC]],TableOCEDUC[],7,FALSE),"")</f>
        <v/>
      </c>
      <c r="W75" s="187" t="str">
        <f>IFERROR(VLOOKUP(TableHandbook[[#This Row],[UDC]],TableOGEDUC[],7,FALSE),"")</f>
        <v/>
      </c>
      <c r="X75" s="187" t="str">
        <f>IFERROR(VLOOKUP(TableHandbook[[#This Row],[UDC]],TableOUMPEDUPR[],7,FALSE),"")</f>
        <v>Core</v>
      </c>
      <c r="Y75" s="187" t="str">
        <f>IFERROR(VLOOKUP(TableHandbook[[#This Row],[UDC]],TableOUMPEDUSC[],7,FALSE),"")</f>
        <v>Core</v>
      </c>
      <c r="Z75" s="187" t="str">
        <f>IFERROR(VLOOKUP(TableHandbook[[#This Row],[UDC]],TableOMEDUC[],7,FALSE),"")</f>
        <v/>
      </c>
      <c r="AA75" s="187" t="str">
        <f>IFERROR(VLOOKUP(TableHandbook[[#This Row],[UDC]],TableOSEPCULIN[],7,FALSE),"")</f>
        <v/>
      </c>
      <c r="AB75" s="187" t="str">
        <f>IFERROR(VLOOKUP(TableHandbook[[#This Row],[UDC]],TableOSEPLNTCH[],7,FALSE),"")</f>
        <v/>
      </c>
      <c r="AC75" s="272" t="str">
        <f>IFERROR(VLOOKUP(TableHandbook[[#This Row],[UDC]],TableOSEPSTEME[],7,FALSE),"")</f>
        <v/>
      </c>
    </row>
    <row r="76" spans="1:29" x14ac:dyDescent="0.25">
      <c r="A76" s="3" t="s">
        <v>129</v>
      </c>
      <c r="B76" s="4">
        <v>1</v>
      </c>
      <c r="C76" s="3" t="s">
        <v>475</v>
      </c>
      <c r="D76" s="3" t="s">
        <v>476</v>
      </c>
      <c r="E76" s="4">
        <v>25</v>
      </c>
      <c r="F76" s="188" t="s">
        <v>472</v>
      </c>
      <c r="G76" s="120" t="str">
        <f>IFERROR(IF(VLOOKUP(TableHandbook[[#This Row],[UDC]],TableAvailabilities[],2,FALSE)&gt;0,"Y",""),"")</f>
        <v>Y</v>
      </c>
      <c r="H76" s="121" t="str">
        <f>IFERROR(IF(VLOOKUP(TableHandbook[[#This Row],[UDC]],TableAvailabilities[],3,FALSE)&gt;0,"Y",""),"")</f>
        <v>Y</v>
      </c>
      <c r="I76" s="121" t="str">
        <f>IFERROR(IF(VLOOKUP(TableHandbook[[#This Row],[UDC]],TableAvailabilities[],4,FALSE)&gt;0,"Y",""),"")</f>
        <v>Y</v>
      </c>
      <c r="J76" s="172" t="str">
        <f>IFERROR(IF(VLOOKUP(TableHandbook[[#This Row],[UDC]],TableAvailabilities[],5,FALSE)&gt;0,"Y",""),"")</f>
        <v>Y</v>
      </c>
      <c r="K76" s="249"/>
      <c r="L76" s="269" t="str">
        <f>IFERROR(VLOOKUP(TableHandbook[[#This Row],[UDC]],TableOMTEACH1[],7,FALSE),"")</f>
        <v/>
      </c>
      <c r="M76" s="130" t="str">
        <f>IFERROR(VLOOKUP(TableHandbook[[#This Row],[UDC]],TableOUMPTCHEC[],7,FALSE),"")</f>
        <v>Core</v>
      </c>
      <c r="N76" s="130" t="str">
        <f>IFERROR(VLOOKUP(TableHandbook[[#This Row],[UDC]],TableOUMPTCHPE[],7,FALSE),"")</f>
        <v>Core</v>
      </c>
      <c r="O76" s="270" t="str">
        <f>IFERROR(VLOOKUP(TableHandbook[[#This Row],[UDC]],TableOUMPTCHSE[],7,FALSE),"")</f>
        <v>Core</v>
      </c>
      <c r="P76" s="271" t="str">
        <f>IFERROR(VLOOKUP(TableHandbook[[#This Row],[UDC]],TableOCTESOL1[],7,FALSE),"")</f>
        <v/>
      </c>
      <c r="Q76" s="187" t="str">
        <f>IFERROR(VLOOKUP(TableHandbook[[#This Row],[UDC]],TableOCTESOL[],7,FALSE),"")</f>
        <v/>
      </c>
      <c r="R76" s="272" t="str">
        <f>IFERROR(VLOOKUP(TableHandbook[[#This Row],[UDC]],TableOMAPLING[],7,FALSE),"")</f>
        <v/>
      </c>
      <c r="S76" s="271" t="str">
        <f>IFERROR(VLOOKUP(TableHandbook[[#This Row],[UDC]],TableOCEDHE1[],7,FALSE),"")</f>
        <v/>
      </c>
      <c r="T76" s="272" t="str">
        <f>IFERROR(VLOOKUP(TableHandbook[[#This Row],[UDC]],TableOCEDHE[],7,FALSE),"")</f>
        <v/>
      </c>
      <c r="U76" s="271" t="str">
        <f>IFERROR(VLOOKUP(TableHandbook[[#This Row],[UDC]],TableOCEDUCS1[],7,FALSE),"")</f>
        <v/>
      </c>
      <c r="V76" s="187" t="str">
        <f>IFERROR(VLOOKUP(TableHandbook[[#This Row],[UDC]],TableOCEDUC[],7,FALSE),"")</f>
        <v/>
      </c>
      <c r="W76" s="187" t="str">
        <f>IFERROR(VLOOKUP(TableHandbook[[#This Row],[UDC]],TableOGEDUC[],7,FALSE),"")</f>
        <v/>
      </c>
      <c r="X76" s="187" t="str">
        <f>IFERROR(VLOOKUP(TableHandbook[[#This Row],[UDC]],TableOUMPEDUPR[],7,FALSE),"")</f>
        <v/>
      </c>
      <c r="Y76" s="187" t="str">
        <f>IFERROR(VLOOKUP(TableHandbook[[#This Row],[UDC]],TableOUMPEDUSC[],7,FALSE),"")</f>
        <v/>
      </c>
      <c r="Z76" s="187" t="str">
        <f>IFERROR(VLOOKUP(TableHandbook[[#This Row],[UDC]],TableOMEDUC[],7,FALSE),"")</f>
        <v/>
      </c>
      <c r="AA76" s="187" t="str">
        <f>IFERROR(VLOOKUP(TableHandbook[[#This Row],[UDC]],TableOSEPCULIN[],7,FALSE),"")</f>
        <v/>
      </c>
      <c r="AB76" s="187" t="str">
        <f>IFERROR(VLOOKUP(TableHandbook[[#This Row],[UDC]],TableOSEPLNTCH[],7,FALSE),"")</f>
        <v/>
      </c>
      <c r="AC76" s="272" t="str">
        <f>IFERROR(VLOOKUP(TableHandbook[[#This Row],[UDC]],TableOSEPSTEME[],7,FALSE),"")</f>
        <v/>
      </c>
    </row>
    <row r="77" spans="1:29" x14ac:dyDescent="0.25">
      <c r="A77" s="3" t="s">
        <v>121</v>
      </c>
      <c r="B77" s="4">
        <v>1</v>
      </c>
      <c r="C77" s="3" t="s">
        <v>477</v>
      </c>
      <c r="D77" s="3" t="s">
        <v>478</v>
      </c>
      <c r="E77" s="4">
        <v>25</v>
      </c>
      <c r="F77" s="188" t="s">
        <v>333</v>
      </c>
      <c r="G77" s="120" t="str">
        <f>IFERROR(IF(VLOOKUP(TableHandbook[[#This Row],[UDC]],TableAvailabilities[],2,FALSE)&gt;0,"Y",""),"")</f>
        <v>Y</v>
      </c>
      <c r="H77" s="121" t="str">
        <f>IFERROR(IF(VLOOKUP(TableHandbook[[#This Row],[UDC]],TableAvailabilities[],3,FALSE)&gt;0,"Y",""),"")</f>
        <v/>
      </c>
      <c r="I77" s="121" t="str">
        <f>IFERROR(IF(VLOOKUP(TableHandbook[[#This Row],[UDC]],TableAvailabilities[],4,FALSE)&gt;0,"Y",""),"")</f>
        <v/>
      </c>
      <c r="J77" s="172" t="str">
        <f>IFERROR(IF(VLOOKUP(TableHandbook[[#This Row],[UDC]],TableAvailabilities[],5,FALSE)&gt;0,"Y",""),"")</f>
        <v>Y</v>
      </c>
      <c r="K77" s="249"/>
      <c r="L77" s="269" t="str">
        <f>IFERROR(VLOOKUP(TableHandbook[[#This Row],[UDC]],TableOMTEACH1[],7,FALSE),"")</f>
        <v/>
      </c>
      <c r="M77" s="130" t="str">
        <f>IFERROR(VLOOKUP(TableHandbook[[#This Row],[UDC]],TableOUMPTCHEC[],7,FALSE),"")</f>
        <v/>
      </c>
      <c r="N77" s="130" t="str">
        <f>IFERROR(VLOOKUP(TableHandbook[[#This Row],[UDC]],TableOUMPTCHPE[],7,FALSE),"")</f>
        <v>Core</v>
      </c>
      <c r="O77" s="270" t="str">
        <f>IFERROR(VLOOKUP(TableHandbook[[#This Row],[UDC]],TableOUMPTCHSE[],7,FALSE),"")</f>
        <v>Core</v>
      </c>
      <c r="P77" s="271" t="str">
        <f>IFERROR(VLOOKUP(TableHandbook[[#This Row],[UDC]],TableOCTESOL1[],7,FALSE),"")</f>
        <v/>
      </c>
      <c r="Q77" s="187" t="str">
        <f>IFERROR(VLOOKUP(TableHandbook[[#This Row],[UDC]],TableOCTESOL[],7,FALSE),"")</f>
        <v/>
      </c>
      <c r="R77" s="272" t="str">
        <f>IFERROR(VLOOKUP(TableHandbook[[#This Row],[UDC]],TableOMAPLING[],7,FALSE),"")</f>
        <v/>
      </c>
      <c r="S77" s="271" t="str">
        <f>IFERROR(VLOOKUP(TableHandbook[[#This Row],[UDC]],TableOCEDHE1[],7,FALSE),"")</f>
        <v/>
      </c>
      <c r="T77" s="272" t="str">
        <f>IFERROR(VLOOKUP(TableHandbook[[#This Row],[UDC]],TableOCEDHE[],7,FALSE),"")</f>
        <v/>
      </c>
      <c r="U77" s="271" t="str">
        <f>IFERROR(VLOOKUP(TableHandbook[[#This Row],[UDC]],TableOCEDUCS1[],7,FALSE),"")</f>
        <v/>
      </c>
      <c r="V77" s="187" t="str">
        <f>IFERROR(VLOOKUP(TableHandbook[[#This Row],[UDC]],TableOCEDUC[],7,FALSE),"")</f>
        <v/>
      </c>
      <c r="W77" s="187" t="str">
        <f>IFERROR(VLOOKUP(TableHandbook[[#This Row],[UDC]],TableOGEDUC[],7,FALSE),"")</f>
        <v/>
      </c>
      <c r="X77" s="187" t="str">
        <f>IFERROR(VLOOKUP(TableHandbook[[#This Row],[UDC]],TableOUMPEDUPR[],7,FALSE),"")</f>
        <v/>
      </c>
      <c r="Y77" s="187" t="str">
        <f>IFERROR(VLOOKUP(TableHandbook[[#This Row],[UDC]],TableOUMPEDUSC[],7,FALSE),"")</f>
        <v/>
      </c>
      <c r="Z77" s="187" t="str">
        <f>IFERROR(VLOOKUP(TableHandbook[[#This Row],[UDC]],TableOMEDUC[],7,FALSE),"")</f>
        <v/>
      </c>
      <c r="AA77" s="187" t="str">
        <f>IFERROR(VLOOKUP(TableHandbook[[#This Row],[UDC]],TableOSEPCULIN[],7,FALSE),"")</f>
        <v/>
      </c>
      <c r="AB77" s="187" t="str">
        <f>IFERROR(VLOOKUP(TableHandbook[[#This Row],[UDC]],TableOSEPLNTCH[],7,FALSE),"")</f>
        <v/>
      </c>
      <c r="AC77" s="272" t="str">
        <f>IFERROR(VLOOKUP(TableHandbook[[#This Row],[UDC]],TableOSEPSTEME[],7,FALSE),"")</f>
        <v/>
      </c>
    </row>
    <row r="78" spans="1:29" x14ac:dyDescent="0.25">
      <c r="A78" s="3" t="s">
        <v>479</v>
      </c>
      <c r="B78" s="4"/>
      <c r="C78" s="3"/>
      <c r="D78" s="3" t="s">
        <v>480</v>
      </c>
      <c r="E78" s="4"/>
      <c r="F78" s="188"/>
      <c r="G78" s="120" t="str">
        <f>IFERROR(IF(VLOOKUP(TableHandbook[[#This Row],[UDC]],TableAvailabilities[],2,FALSE)&gt;0,"Y",""),"")</f>
        <v/>
      </c>
      <c r="H78" s="121" t="str">
        <f>IFERROR(IF(VLOOKUP(TableHandbook[[#This Row],[UDC]],TableAvailabilities[],3,FALSE)&gt;0,"Y",""),"")</f>
        <v/>
      </c>
      <c r="I78" s="121" t="str">
        <f>IFERROR(IF(VLOOKUP(TableHandbook[[#This Row],[UDC]],TableAvailabilities[],4,FALSE)&gt;0,"Y",""),"")</f>
        <v/>
      </c>
      <c r="J78" s="172" t="str">
        <f>IFERROR(IF(VLOOKUP(TableHandbook[[#This Row],[UDC]],TableAvailabilities[],5,FALSE)&gt;0,"Y",""),"")</f>
        <v/>
      </c>
      <c r="K78" s="249"/>
      <c r="L78" s="269" t="str">
        <f>IFERROR(VLOOKUP(TableHandbook[[#This Row],[UDC]],TableOMTEACH1[],7,FALSE),"")</f>
        <v/>
      </c>
      <c r="M78" s="130" t="str">
        <f>IFERROR(VLOOKUP(TableHandbook[[#This Row],[UDC]],TableOUMPTCHEC[],7,FALSE),"")</f>
        <v/>
      </c>
      <c r="N78" s="130" t="str">
        <f>IFERROR(VLOOKUP(TableHandbook[[#This Row],[UDC]],TableOUMPTCHPE[],7,FALSE),"")</f>
        <v/>
      </c>
      <c r="O78" s="270" t="str">
        <f>IFERROR(VLOOKUP(TableHandbook[[#This Row],[UDC]],TableOUMPTCHSE[],7,FALSE),"")</f>
        <v>Option</v>
      </c>
      <c r="P78" s="271" t="str">
        <f>IFERROR(VLOOKUP(TableHandbook[[#This Row],[UDC]],TableOCTESOL1[],7,FALSE),"")</f>
        <v/>
      </c>
      <c r="Q78" s="187" t="str">
        <f>IFERROR(VLOOKUP(TableHandbook[[#This Row],[UDC]],TableOCTESOL[],7,FALSE),"")</f>
        <v/>
      </c>
      <c r="R78" s="272" t="str">
        <f>IFERROR(VLOOKUP(TableHandbook[[#This Row],[UDC]],TableOMAPLING[],7,FALSE),"")</f>
        <v/>
      </c>
      <c r="S78" s="271" t="str">
        <f>IFERROR(VLOOKUP(TableHandbook[[#This Row],[UDC]],TableOCEDHE1[],7,FALSE),"")</f>
        <v/>
      </c>
      <c r="T78" s="272" t="str">
        <f>IFERROR(VLOOKUP(TableHandbook[[#This Row],[UDC]],TableOCEDHE[],7,FALSE),"")</f>
        <v/>
      </c>
      <c r="U78" s="271" t="str">
        <f>IFERROR(VLOOKUP(TableHandbook[[#This Row],[UDC]],TableOCEDUCS1[],7,FALSE),"")</f>
        <v/>
      </c>
      <c r="V78" s="187" t="str">
        <f>IFERROR(VLOOKUP(TableHandbook[[#This Row],[UDC]],TableOCEDUC[],7,FALSE),"")</f>
        <v/>
      </c>
      <c r="W78" s="187" t="str">
        <f>IFERROR(VLOOKUP(TableHandbook[[#This Row],[UDC]],TableOGEDUC[],7,FALSE),"")</f>
        <v/>
      </c>
      <c r="X78" s="187" t="str">
        <f>IFERROR(VLOOKUP(TableHandbook[[#This Row],[UDC]],TableOUMPEDUPR[],7,FALSE),"")</f>
        <v/>
      </c>
      <c r="Y78" s="187" t="str">
        <f>IFERROR(VLOOKUP(TableHandbook[[#This Row],[UDC]],TableOUMPEDUSC[],7,FALSE),"")</f>
        <v/>
      </c>
      <c r="Z78" s="187" t="str">
        <f>IFERROR(VLOOKUP(TableHandbook[[#This Row],[UDC]],TableOMEDUC[],7,FALSE),"")</f>
        <v/>
      </c>
      <c r="AA78" s="187" t="str">
        <f>IFERROR(VLOOKUP(TableHandbook[[#This Row],[UDC]],TableOSEPCULIN[],7,FALSE),"")</f>
        <v/>
      </c>
      <c r="AB78" s="187" t="str">
        <f>IFERROR(VLOOKUP(TableHandbook[[#This Row],[UDC]],TableOSEPLNTCH[],7,FALSE),"")</f>
        <v/>
      </c>
      <c r="AC78" s="272" t="str">
        <f>IFERROR(VLOOKUP(TableHandbook[[#This Row],[UDC]],TableOSEPSTEME[],7,FALSE),"")</f>
        <v/>
      </c>
    </row>
    <row r="79" spans="1:29" x14ac:dyDescent="0.25">
      <c r="A79" s="3" t="s">
        <v>290</v>
      </c>
      <c r="B79" s="4"/>
      <c r="C79" s="3"/>
      <c r="D79" s="3" t="s">
        <v>481</v>
      </c>
      <c r="E79" s="4"/>
      <c r="F79" s="188"/>
      <c r="G79" s="120" t="str">
        <f>IFERROR(IF(VLOOKUP(TableHandbook[[#This Row],[UDC]],TableAvailabilities[],2,FALSE)&gt;0,"Y",""),"")</f>
        <v/>
      </c>
      <c r="H79" s="121" t="str">
        <f>IFERROR(IF(VLOOKUP(TableHandbook[[#This Row],[UDC]],TableAvailabilities[],3,FALSE)&gt;0,"Y",""),"")</f>
        <v/>
      </c>
      <c r="I79" s="121" t="str">
        <f>IFERROR(IF(VLOOKUP(TableHandbook[[#This Row],[UDC]],TableAvailabilities[],4,FALSE)&gt;0,"Y",""),"")</f>
        <v/>
      </c>
      <c r="J79" s="172" t="str">
        <f>IFERROR(IF(VLOOKUP(TableHandbook[[#This Row],[UDC]],TableAvailabilities[],5,FALSE)&gt;0,"Y",""),"")</f>
        <v/>
      </c>
      <c r="K79" s="249"/>
      <c r="L79" s="269" t="str">
        <f>IFERROR(VLOOKUP(TableHandbook[[#This Row],[UDC]],TableOMTEACH1[],7,FALSE),"")</f>
        <v/>
      </c>
      <c r="M79" s="130" t="str">
        <f>IFERROR(VLOOKUP(TableHandbook[[#This Row],[UDC]],TableOUMPTCHEC[],7,FALSE),"")</f>
        <v/>
      </c>
      <c r="N79" s="130" t="str">
        <f>IFERROR(VLOOKUP(TableHandbook[[#This Row],[UDC]],TableOUMPTCHPE[],7,FALSE),"")</f>
        <v/>
      </c>
      <c r="O79" s="270" t="str">
        <f>IFERROR(VLOOKUP(TableHandbook[[#This Row],[UDC]],TableOUMPTCHSE[],7,FALSE),"")</f>
        <v/>
      </c>
      <c r="P79" s="271" t="str">
        <f>IFERROR(VLOOKUP(TableHandbook[[#This Row],[UDC]],TableOCTESOL1[],7,FALSE),"")</f>
        <v/>
      </c>
      <c r="Q79" s="187" t="str">
        <f>IFERROR(VLOOKUP(TableHandbook[[#This Row],[UDC]],TableOCTESOL[],7,FALSE),"")</f>
        <v/>
      </c>
      <c r="R79" s="272" t="str">
        <f>IFERROR(VLOOKUP(TableHandbook[[#This Row],[UDC]],TableOMAPLING[],7,FALSE),"")</f>
        <v/>
      </c>
      <c r="S79" s="271" t="str">
        <f>IFERROR(VLOOKUP(TableHandbook[[#This Row],[UDC]],TableOCEDHE1[],7,FALSE),"")</f>
        <v/>
      </c>
      <c r="T79" s="272" t="str">
        <f>IFERROR(VLOOKUP(TableHandbook[[#This Row],[UDC]],TableOCEDHE[],7,FALSE),"")</f>
        <v/>
      </c>
      <c r="U79" s="271" t="str">
        <f>IFERROR(VLOOKUP(TableHandbook[[#This Row],[UDC]],TableOCEDUCS1[],7,FALSE),"")</f>
        <v/>
      </c>
      <c r="V79" s="187" t="str">
        <f>IFERROR(VLOOKUP(TableHandbook[[#This Row],[UDC]],TableOCEDUC[],7,FALSE),"")</f>
        <v/>
      </c>
      <c r="W79" s="187" t="str">
        <f>IFERROR(VLOOKUP(TableHandbook[[#This Row],[UDC]],TableOGEDUC[],7,FALSE),"")</f>
        <v/>
      </c>
      <c r="X79" s="187" t="str">
        <f>IFERROR(VLOOKUP(TableHandbook[[#This Row],[UDC]],TableOUMPEDUPR[],7,FALSE),"")</f>
        <v/>
      </c>
      <c r="Y79" s="187" t="str">
        <f>IFERROR(VLOOKUP(TableHandbook[[#This Row],[UDC]],TableOUMPEDUSC[],7,FALSE),"")</f>
        <v/>
      </c>
      <c r="Z79" s="187" t="str">
        <f>IFERROR(VLOOKUP(TableHandbook[[#This Row],[UDC]],TableOMEDUC[],7,FALSE),"")</f>
        <v/>
      </c>
      <c r="AA79" s="187" t="str">
        <f>IFERROR(VLOOKUP(TableHandbook[[#This Row],[UDC]],TableOSEPCULIN[],7,FALSE),"")</f>
        <v/>
      </c>
      <c r="AB79" s="187" t="str">
        <f>IFERROR(VLOOKUP(TableHandbook[[#This Row],[UDC]],TableOSEPLNTCH[],7,FALSE),"")</f>
        <v/>
      </c>
      <c r="AC79" s="272" t="str">
        <f>IFERROR(VLOOKUP(TableHandbook[[#This Row],[UDC]],TableOSEPSTEME[],7,FALSE),"")</f>
        <v/>
      </c>
    </row>
    <row r="80" spans="1:29" x14ac:dyDescent="0.25">
      <c r="A80" s="3" t="s">
        <v>262</v>
      </c>
      <c r="B80" s="4"/>
      <c r="C80" s="3"/>
      <c r="D80" s="3" t="s">
        <v>482</v>
      </c>
      <c r="E80" s="4">
        <v>25</v>
      </c>
      <c r="F80" s="188" t="s">
        <v>330</v>
      </c>
      <c r="G80" s="120" t="str">
        <f>IFERROR(IF(VLOOKUP(TableHandbook[[#This Row],[UDC]],TableAvailabilities[],2,FALSE)&gt;0,"Y",""),"")</f>
        <v/>
      </c>
      <c r="H80" s="121" t="str">
        <f>IFERROR(IF(VLOOKUP(TableHandbook[[#This Row],[UDC]],TableAvailabilities[],3,FALSE)&gt;0,"Y",""),"")</f>
        <v/>
      </c>
      <c r="I80" s="121" t="str">
        <f>IFERROR(IF(VLOOKUP(TableHandbook[[#This Row],[UDC]],TableAvailabilities[],4,FALSE)&gt;0,"Y",""),"")</f>
        <v/>
      </c>
      <c r="J80" s="172" t="str">
        <f>IFERROR(IF(VLOOKUP(TableHandbook[[#This Row],[UDC]],TableAvailabilities[],5,FALSE)&gt;0,"Y",""),"")</f>
        <v/>
      </c>
      <c r="K80" s="249"/>
      <c r="L80" s="269" t="str">
        <f>IFERROR(VLOOKUP(TableHandbook[[#This Row],[UDC]],TableOMTEACH1[],7,FALSE),"")</f>
        <v/>
      </c>
      <c r="M80" s="130" t="str">
        <f>IFERROR(VLOOKUP(TableHandbook[[#This Row],[UDC]],TableOUMPTCHEC[],7,FALSE),"")</f>
        <v/>
      </c>
      <c r="N80" s="130" t="str">
        <f>IFERROR(VLOOKUP(TableHandbook[[#This Row],[UDC]],TableOUMPTCHPE[],7,FALSE),"")</f>
        <v/>
      </c>
      <c r="O80" s="270" t="str">
        <f>IFERROR(VLOOKUP(TableHandbook[[#This Row],[UDC]],TableOUMPTCHSE[],7,FALSE),"")</f>
        <v/>
      </c>
      <c r="P80" s="271" t="str">
        <f>IFERROR(VLOOKUP(TableHandbook[[#This Row],[UDC]],TableOCTESOL1[],7,FALSE),"")</f>
        <v/>
      </c>
      <c r="Q80" s="187" t="str">
        <f>IFERROR(VLOOKUP(TableHandbook[[#This Row],[UDC]],TableOCTESOL[],7,FALSE),"")</f>
        <v/>
      </c>
      <c r="R80" s="272" t="str">
        <f>IFERROR(VLOOKUP(TableHandbook[[#This Row],[UDC]],TableOMAPLING[],7,FALSE),"")</f>
        <v/>
      </c>
      <c r="S80" s="271" t="str">
        <f>IFERROR(VLOOKUP(TableHandbook[[#This Row],[UDC]],TableOCEDHE1[],7,FALSE),"")</f>
        <v/>
      </c>
      <c r="T80" s="272" t="str">
        <f>IFERROR(VLOOKUP(TableHandbook[[#This Row],[UDC]],TableOCEDHE[],7,FALSE),"")</f>
        <v/>
      </c>
      <c r="U80" s="271" t="str">
        <f>IFERROR(VLOOKUP(TableHandbook[[#This Row],[UDC]],TableOCEDUCS1[],7,FALSE),"")</f>
        <v/>
      </c>
      <c r="V80" s="187" t="str">
        <f>IFERROR(VLOOKUP(TableHandbook[[#This Row],[UDC]],TableOCEDUC[],7,FALSE),"")</f>
        <v/>
      </c>
      <c r="W80" s="187" t="str">
        <f>IFERROR(VLOOKUP(TableHandbook[[#This Row],[UDC]],TableOGEDUC[],7,FALSE),"")</f>
        <v/>
      </c>
      <c r="X80" s="187" t="str">
        <f>IFERROR(VLOOKUP(TableHandbook[[#This Row],[UDC]],TableOUMPEDUPR[],7,FALSE),"")</f>
        <v/>
      </c>
      <c r="Y80" s="187" t="str">
        <f>IFERROR(VLOOKUP(TableHandbook[[#This Row],[UDC]],TableOUMPEDUSC[],7,FALSE),"")</f>
        <v/>
      </c>
      <c r="Z80" s="187" t="str">
        <f>IFERROR(VLOOKUP(TableHandbook[[#This Row],[UDC]],TableOMEDUC[],7,FALSE),"")</f>
        <v/>
      </c>
      <c r="AA80" s="187" t="str">
        <f>IFERROR(VLOOKUP(TableHandbook[[#This Row],[UDC]],TableOSEPCULIN[],7,FALSE),"")</f>
        <v/>
      </c>
      <c r="AB80" s="187" t="str">
        <f>IFERROR(VLOOKUP(TableHandbook[[#This Row],[UDC]],TableOSEPLNTCH[],7,FALSE),"")</f>
        <v/>
      </c>
      <c r="AC80" s="272" t="str">
        <f>IFERROR(VLOOKUP(TableHandbook[[#This Row],[UDC]],TableOSEPSTEME[],7,FALSE),"")</f>
        <v/>
      </c>
    </row>
    <row r="81" spans="1:29" x14ac:dyDescent="0.25">
      <c r="A81" s="3" t="s">
        <v>280</v>
      </c>
      <c r="B81" s="4"/>
      <c r="C81" s="3"/>
      <c r="D81" s="225" t="s">
        <v>483</v>
      </c>
      <c r="E81" s="4">
        <v>25</v>
      </c>
      <c r="F81" s="188" t="s">
        <v>330</v>
      </c>
      <c r="G81" s="120" t="str">
        <f>IFERROR(IF(VLOOKUP(TableHandbook[[#This Row],[UDC]],TableAvailabilities[],2,FALSE)&gt;0,"Y",""),"")</f>
        <v/>
      </c>
      <c r="H81" s="121" t="str">
        <f>IFERROR(IF(VLOOKUP(TableHandbook[[#This Row],[UDC]],TableAvailabilities[],3,FALSE)&gt;0,"Y",""),"")</f>
        <v/>
      </c>
      <c r="I81" s="121" t="str">
        <f>IFERROR(IF(VLOOKUP(TableHandbook[[#This Row],[UDC]],TableAvailabilities[],4,FALSE)&gt;0,"Y",""),"")</f>
        <v/>
      </c>
      <c r="J81" s="172" t="str">
        <f>IFERROR(IF(VLOOKUP(TableHandbook[[#This Row],[UDC]],TableAvailabilities[],5,FALSE)&gt;0,"Y",""),"")</f>
        <v/>
      </c>
      <c r="K81" s="249"/>
      <c r="L81" s="269" t="str">
        <f>IFERROR(VLOOKUP(TableHandbook[[#This Row],[UDC]],TableOMTEACH1[],7,FALSE),"")</f>
        <v/>
      </c>
      <c r="M81" s="130" t="str">
        <f>IFERROR(VLOOKUP(TableHandbook[[#This Row],[UDC]],TableOUMPTCHEC[],7,FALSE),"")</f>
        <v/>
      </c>
      <c r="N81" s="130" t="str">
        <f>IFERROR(VLOOKUP(TableHandbook[[#This Row],[UDC]],TableOUMPTCHPE[],7,FALSE),"")</f>
        <v/>
      </c>
      <c r="O81" s="270" t="str">
        <f>IFERROR(VLOOKUP(TableHandbook[[#This Row],[UDC]],TableOUMPTCHSE[],7,FALSE),"")</f>
        <v/>
      </c>
      <c r="P81" s="271" t="str">
        <f>IFERROR(VLOOKUP(TableHandbook[[#This Row],[UDC]],TableOCTESOL1[],7,FALSE),"")</f>
        <v/>
      </c>
      <c r="Q81" s="187" t="str">
        <f>IFERROR(VLOOKUP(TableHandbook[[#This Row],[UDC]],TableOCTESOL[],7,FALSE),"")</f>
        <v/>
      </c>
      <c r="R81" s="272" t="str">
        <f>IFERROR(VLOOKUP(TableHandbook[[#This Row],[UDC]],TableOMAPLING[],7,FALSE),"")</f>
        <v/>
      </c>
      <c r="S81" s="271" t="str">
        <f>IFERROR(VLOOKUP(TableHandbook[[#This Row],[UDC]],TableOCEDHE1[],7,FALSE),"")</f>
        <v/>
      </c>
      <c r="T81" s="272" t="str">
        <f>IFERROR(VLOOKUP(TableHandbook[[#This Row],[UDC]],TableOCEDHE[],7,FALSE),"")</f>
        <v/>
      </c>
      <c r="U81" s="271" t="str">
        <f>IFERROR(VLOOKUP(TableHandbook[[#This Row],[UDC]],TableOCEDUCS1[],7,FALSE),"")</f>
        <v/>
      </c>
      <c r="V81" s="187" t="str">
        <f>IFERROR(VLOOKUP(TableHandbook[[#This Row],[UDC]],TableOCEDUC[],7,FALSE),"")</f>
        <v/>
      </c>
      <c r="W81" s="187" t="str">
        <f>IFERROR(VLOOKUP(TableHandbook[[#This Row],[UDC]],TableOGEDUC[],7,FALSE),"")</f>
        <v/>
      </c>
      <c r="X81" s="187" t="str">
        <f>IFERROR(VLOOKUP(TableHandbook[[#This Row],[UDC]],TableOUMPEDUPR[],7,FALSE),"")</f>
        <v/>
      </c>
      <c r="Y81" s="187" t="str">
        <f>IFERROR(VLOOKUP(TableHandbook[[#This Row],[UDC]],TableOUMPEDUSC[],7,FALSE),"")</f>
        <v/>
      </c>
      <c r="Z81" s="187" t="str">
        <f>IFERROR(VLOOKUP(TableHandbook[[#This Row],[UDC]],TableOMEDUC[],7,FALSE),"")</f>
        <v/>
      </c>
      <c r="AA81" s="187" t="str">
        <f>IFERROR(VLOOKUP(TableHandbook[[#This Row],[UDC]],TableOSEPCULIN[],7,FALSE),"")</f>
        <v/>
      </c>
      <c r="AB81" s="187" t="str">
        <f>IFERROR(VLOOKUP(TableHandbook[[#This Row],[UDC]],TableOSEPLNTCH[],7,FALSE),"")</f>
        <v/>
      </c>
      <c r="AC81" s="272" t="str">
        <f>IFERROR(VLOOKUP(TableHandbook[[#This Row],[UDC]],TableOSEPSTEME[],7,FALSE),"")</f>
        <v/>
      </c>
    </row>
    <row r="82" spans="1:29" x14ac:dyDescent="0.25">
      <c r="A82" s="3" t="s">
        <v>322</v>
      </c>
      <c r="B82" s="4"/>
      <c r="C82" s="3"/>
      <c r="D82" s="3" t="s">
        <v>484</v>
      </c>
      <c r="E82" s="4">
        <v>25</v>
      </c>
      <c r="F82" s="188" t="s">
        <v>330</v>
      </c>
      <c r="G82" s="120" t="str">
        <f>IFERROR(IF(VLOOKUP(TableHandbook[[#This Row],[UDC]],TableAvailabilities[],2,FALSE)&gt;0,"Y",""),"")</f>
        <v/>
      </c>
      <c r="H82" s="121" t="str">
        <f>IFERROR(IF(VLOOKUP(TableHandbook[[#This Row],[UDC]],TableAvailabilities[],3,FALSE)&gt;0,"Y",""),"")</f>
        <v/>
      </c>
      <c r="I82" s="121" t="str">
        <f>IFERROR(IF(VLOOKUP(TableHandbook[[#This Row],[UDC]],TableAvailabilities[],4,FALSE)&gt;0,"Y",""),"")</f>
        <v/>
      </c>
      <c r="J82" s="172" t="str">
        <f>IFERROR(IF(VLOOKUP(TableHandbook[[#This Row],[UDC]],TableAvailabilities[],5,FALSE)&gt;0,"Y",""),"")</f>
        <v/>
      </c>
      <c r="K82" s="249"/>
      <c r="L82" s="269" t="str">
        <f>IFERROR(VLOOKUP(TableHandbook[[#This Row],[UDC]],TableOMTEACH1[],7,FALSE),"")</f>
        <v/>
      </c>
      <c r="M82" s="130" t="str">
        <f>IFERROR(VLOOKUP(TableHandbook[[#This Row],[UDC]],TableOUMPTCHEC[],7,FALSE),"")</f>
        <v/>
      </c>
      <c r="N82" s="130" t="str">
        <f>IFERROR(VLOOKUP(TableHandbook[[#This Row],[UDC]],TableOUMPTCHPE[],7,FALSE),"")</f>
        <v/>
      </c>
      <c r="O82" s="270" t="str">
        <f>IFERROR(VLOOKUP(TableHandbook[[#This Row],[UDC]],TableOUMPTCHSE[],7,FALSE),"")</f>
        <v/>
      </c>
      <c r="P82" s="271" t="str">
        <f>IFERROR(VLOOKUP(TableHandbook[[#This Row],[UDC]],TableOCTESOL1[],7,FALSE),"")</f>
        <v/>
      </c>
      <c r="Q82" s="187" t="str">
        <f>IFERROR(VLOOKUP(TableHandbook[[#This Row],[UDC]],TableOCTESOL[],7,FALSE),"")</f>
        <v/>
      </c>
      <c r="R82" s="272" t="str">
        <f>IFERROR(VLOOKUP(TableHandbook[[#This Row],[UDC]],TableOMAPLING[],7,FALSE),"")</f>
        <v/>
      </c>
      <c r="S82" s="271" t="str">
        <f>IFERROR(VLOOKUP(TableHandbook[[#This Row],[UDC]],TableOCEDHE1[],7,FALSE),"")</f>
        <v/>
      </c>
      <c r="T82" s="272" t="str">
        <f>IFERROR(VLOOKUP(TableHandbook[[#This Row],[UDC]],TableOCEDHE[],7,FALSE),"")</f>
        <v/>
      </c>
      <c r="U82" s="271" t="str">
        <f>IFERROR(VLOOKUP(TableHandbook[[#This Row],[UDC]],TableOCEDUCS1[],7,FALSE),"")</f>
        <v/>
      </c>
      <c r="V82" s="187" t="str">
        <f>IFERROR(VLOOKUP(TableHandbook[[#This Row],[UDC]],TableOCEDUC[],7,FALSE),"")</f>
        <v/>
      </c>
      <c r="W82" s="187" t="str">
        <f>IFERROR(VLOOKUP(TableHandbook[[#This Row],[UDC]],TableOGEDUC[],7,FALSE),"")</f>
        <v/>
      </c>
      <c r="X82" s="187" t="str">
        <f>IFERROR(VLOOKUP(TableHandbook[[#This Row],[UDC]],TableOUMPEDUPR[],7,FALSE),"")</f>
        <v/>
      </c>
      <c r="Y82" s="187" t="str">
        <f>IFERROR(VLOOKUP(TableHandbook[[#This Row],[UDC]],TableOUMPEDUSC[],7,FALSE),"")</f>
        <v/>
      </c>
      <c r="Z82" s="187" t="str">
        <f>IFERROR(VLOOKUP(TableHandbook[[#This Row],[UDC]],TableOMEDUC[],7,FALSE),"")</f>
        <v/>
      </c>
      <c r="AA82" s="187" t="str">
        <f>IFERROR(VLOOKUP(TableHandbook[[#This Row],[UDC]],TableOSEPCULIN[],7,FALSE),"")</f>
        <v/>
      </c>
      <c r="AB82" s="187" t="str">
        <f>IFERROR(VLOOKUP(TableHandbook[[#This Row],[UDC]],TableOSEPLNTCH[],7,FALSE),"")</f>
        <v/>
      </c>
      <c r="AC82" s="272" t="str">
        <f>IFERROR(VLOOKUP(TableHandbook[[#This Row],[UDC]],TableOSEPSTEME[],7,FALSE),"")</f>
        <v/>
      </c>
    </row>
    <row r="83" spans="1:29" x14ac:dyDescent="0.25">
      <c r="A83" s="3" t="s">
        <v>323</v>
      </c>
      <c r="B83" s="4"/>
      <c r="C83" s="3"/>
      <c r="D83" s="3" t="s">
        <v>485</v>
      </c>
      <c r="E83" s="4">
        <v>25</v>
      </c>
      <c r="F83" s="188" t="s">
        <v>330</v>
      </c>
      <c r="G83" s="120" t="str">
        <f>IFERROR(IF(VLOOKUP(TableHandbook[[#This Row],[UDC]],TableAvailabilities[],2,FALSE)&gt;0,"Y",""),"")</f>
        <v/>
      </c>
      <c r="H83" s="121" t="str">
        <f>IFERROR(IF(VLOOKUP(TableHandbook[[#This Row],[UDC]],TableAvailabilities[],3,FALSE)&gt;0,"Y",""),"")</f>
        <v/>
      </c>
      <c r="I83" s="121" t="str">
        <f>IFERROR(IF(VLOOKUP(TableHandbook[[#This Row],[UDC]],TableAvailabilities[],4,FALSE)&gt;0,"Y",""),"")</f>
        <v/>
      </c>
      <c r="J83" s="172" t="str">
        <f>IFERROR(IF(VLOOKUP(TableHandbook[[#This Row],[UDC]],TableAvailabilities[],5,FALSE)&gt;0,"Y",""),"")</f>
        <v/>
      </c>
      <c r="K83" s="249"/>
      <c r="L83" s="269" t="str">
        <f>IFERROR(VLOOKUP(TableHandbook[[#This Row],[UDC]],TableOMTEACH1[],7,FALSE),"")</f>
        <v/>
      </c>
      <c r="M83" s="130" t="str">
        <f>IFERROR(VLOOKUP(TableHandbook[[#This Row],[UDC]],TableOUMPTCHEC[],7,FALSE),"")</f>
        <v/>
      </c>
      <c r="N83" s="130" t="str">
        <f>IFERROR(VLOOKUP(TableHandbook[[#This Row],[UDC]],TableOUMPTCHPE[],7,FALSE),"")</f>
        <v/>
      </c>
      <c r="O83" s="270" t="str">
        <f>IFERROR(VLOOKUP(TableHandbook[[#This Row],[UDC]],TableOUMPTCHSE[],7,FALSE),"")</f>
        <v/>
      </c>
      <c r="P83" s="271" t="str">
        <f>IFERROR(VLOOKUP(TableHandbook[[#This Row],[UDC]],TableOCTESOL1[],7,FALSE),"")</f>
        <v/>
      </c>
      <c r="Q83" s="187" t="str">
        <f>IFERROR(VLOOKUP(TableHandbook[[#This Row],[UDC]],TableOCTESOL[],7,FALSE),"")</f>
        <v/>
      </c>
      <c r="R83" s="272" t="str">
        <f>IFERROR(VLOOKUP(TableHandbook[[#This Row],[UDC]],TableOMAPLING[],7,FALSE),"")</f>
        <v/>
      </c>
      <c r="S83" s="271" t="str">
        <f>IFERROR(VLOOKUP(TableHandbook[[#This Row],[UDC]],TableOCEDHE1[],7,FALSE),"")</f>
        <v/>
      </c>
      <c r="T83" s="272" t="str">
        <f>IFERROR(VLOOKUP(TableHandbook[[#This Row],[UDC]],TableOCEDHE[],7,FALSE),"")</f>
        <v/>
      </c>
      <c r="U83" s="271" t="str">
        <f>IFERROR(VLOOKUP(TableHandbook[[#This Row],[UDC]],TableOCEDUCS1[],7,FALSE),"")</f>
        <v/>
      </c>
      <c r="V83" s="187" t="str">
        <f>IFERROR(VLOOKUP(TableHandbook[[#This Row],[UDC]],TableOCEDUC[],7,FALSE),"")</f>
        <v/>
      </c>
      <c r="W83" s="187" t="str">
        <f>IFERROR(VLOOKUP(TableHandbook[[#This Row],[UDC]],TableOGEDUC[],7,FALSE),"")</f>
        <v/>
      </c>
      <c r="X83" s="187" t="str">
        <f>IFERROR(VLOOKUP(TableHandbook[[#This Row],[UDC]],TableOUMPEDUPR[],7,FALSE),"")</f>
        <v/>
      </c>
      <c r="Y83" s="187" t="str">
        <f>IFERROR(VLOOKUP(TableHandbook[[#This Row],[UDC]],TableOUMPEDUSC[],7,FALSE),"")</f>
        <v/>
      </c>
      <c r="Z83" s="187" t="str">
        <f>IFERROR(VLOOKUP(TableHandbook[[#This Row],[UDC]],TableOMEDUC[],7,FALSE),"")</f>
        <v/>
      </c>
      <c r="AA83" s="187" t="str">
        <f>IFERROR(VLOOKUP(TableHandbook[[#This Row],[UDC]],TableOSEPCULIN[],7,FALSE),"")</f>
        <v/>
      </c>
      <c r="AB83" s="187" t="str">
        <f>IFERROR(VLOOKUP(TableHandbook[[#This Row],[UDC]],TableOSEPLNTCH[],7,FALSE),"")</f>
        <v/>
      </c>
      <c r="AC83" s="272" t="str">
        <f>IFERROR(VLOOKUP(TableHandbook[[#This Row],[UDC]],TableOSEPSTEME[],7,FALSE),"")</f>
        <v/>
      </c>
    </row>
    <row r="84" spans="1:29" x14ac:dyDescent="0.25">
      <c r="A84" s="3" t="s">
        <v>180</v>
      </c>
      <c r="B84" s="4">
        <v>1</v>
      </c>
      <c r="C84" s="3" t="s">
        <v>486</v>
      </c>
      <c r="D84" s="3" t="s">
        <v>487</v>
      </c>
      <c r="E84" s="4">
        <v>25</v>
      </c>
      <c r="F84" s="188" t="s">
        <v>333</v>
      </c>
      <c r="G84" s="120" t="str">
        <f>IFERROR(IF(VLOOKUP(TableHandbook[[#This Row],[UDC]],TableAvailabilities[],2,FALSE)&gt;0,"Y",""),"")</f>
        <v>Y</v>
      </c>
      <c r="H84" s="121" t="str">
        <f>IFERROR(IF(VLOOKUP(TableHandbook[[#This Row],[UDC]],TableAvailabilities[],3,FALSE)&gt;0,"Y",""),"")</f>
        <v/>
      </c>
      <c r="I84" s="121" t="str">
        <f>IFERROR(IF(VLOOKUP(TableHandbook[[#This Row],[UDC]],TableAvailabilities[],4,FALSE)&gt;0,"Y",""),"")</f>
        <v>Y</v>
      </c>
      <c r="J84" s="172" t="str">
        <f>IFERROR(IF(VLOOKUP(TableHandbook[[#This Row],[UDC]],TableAvailabilities[],5,FALSE)&gt;0,"Y",""),"")</f>
        <v/>
      </c>
      <c r="K84" s="249"/>
      <c r="L84" s="269" t="str">
        <f>IFERROR(VLOOKUP(TableHandbook[[#This Row],[UDC]],TableOMTEACH1[],7,FALSE),"")</f>
        <v/>
      </c>
      <c r="M84" s="130" t="str">
        <f>IFERROR(VLOOKUP(TableHandbook[[#This Row],[UDC]],TableOUMPTCHEC[],7,FALSE),"")</f>
        <v/>
      </c>
      <c r="N84" s="130" t="str">
        <f>IFERROR(VLOOKUP(TableHandbook[[#This Row],[UDC]],TableOUMPTCHPE[],7,FALSE),"")</f>
        <v/>
      </c>
      <c r="O84" s="270" t="str">
        <f>IFERROR(VLOOKUP(TableHandbook[[#This Row],[UDC]],TableOUMPTCHSE[],7,FALSE),"")</f>
        <v/>
      </c>
      <c r="P84" s="271" t="str">
        <f>IFERROR(VLOOKUP(TableHandbook[[#This Row],[UDC]],TableOCTESOL1[],7,FALSE),"")</f>
        <v/>
      </c>
      <c r="Q84" s="187" t="str">
        <f>IFERROR(VLOOKUP(TableHandbook[[#This Row],[UDC]],TableOCTESOL[],7,FALSE),"")</f>
        <v/>
      </c>
      <c r="R84" s="272" t="str">
        <f>IFERROR(VLOOKUP(TableHandbook[[#This Row],[UDC]],TableOMAPLING[],7,FALSE),"")</f>
        <v>Core</v>
      </c>
      <c r="S84" s="271" t="str">
        <f>IFERROR(VLOOKUP(TableHandbook[[#This Row],[UDC]],TableOCEDHE1[],7,FALSE),"")</f>
        <v/>
      </c>
      <c r="T84" s="272" t="str">
        <f>IFERROR(VLOOKUP(TableHandbook[[#This Row],[UDC]],TableOCEDHE[],7,FALSE),"")</f>
        <v/>
      </c>
      <c r="U84" s="271" t="str">
        <f>IFERROR(VLOOKUP(TableHandbook[[#This Row],[UDC]],TableOCEDUCS1[],7,FALSE),"")</f>
        <v/>
      </c>
      <c r="V84" s="187" t="str">
        <f>IFERROR(VLOOKUP(TableHandbook[[#This Row],[UDC]],TableOCEDUC[],7,FALSE),"")</f>
        <v/>
      </c>
      <c r="W84" s="187" t="str">
        <f>IFERROR(VLOOKUP(TableHandbook[[#This Row],[UDC]],TableOGEDUC[],7,FALSE),"")</f>
        <v/>
      </c>
      <c r="X84" s="187" t="str">
        <f>IFERROR(VLOOKUP(TableHandbook[[#This Row],[UDC]],TableOUMPEDUPR[],7,FALSE),"")</f>
        <v/>
      </c>
      <c r="Y84" s="187" t="str">
        <f>IFERROR(VLOOKUP(TableHandbook[[#This Row],[UDC]],TableOUMPEDUSC[],7,FALSE),"")</f>
        <v/>
      </c>
      <c r="Z84" s="187" t="str">
        <f>IFERROR(VLOOKUP(TableHandbook[[#This Row],[UDC]],TableOMEDUC[],7,FALSE),"")</f>
        <v>Option</v>
      </c>
      <c r="AA84" s="187" t="str">
        <f>IFERROR(VLOOKUP(TableHandbook[[#This Row],[UDC]],TableOSEPCULIN[],7,FALSE),"")</f>
        <v>Core</v>
      </c>
      <c r="AB84" s="187" t="str">
        <f>IFERROR(VLOOKUP(TableHandbook[[#This Row],[UDC]],TableOSEPLNTCH[],7,FALSE),"")</f>
        <v/>
      </c>
      <c r="AC84" s="272" t="str">
        <f>IFERROR(VLOOKUP(TableHandbook[[#This Row],[UDC]],TableOSEPSTEME[],7,FALSE),"")</f>
        <v/>
      </c>
    </row>
    <row r="85" spans="1:29" x14ac:dyDescent="0.25">
      <c r="A85" s="3" t="s">
        <v>226</v>
      </c>
      <c r="B85" s="4">
        <v>1</v>
      </c>
      <c r="C85" s="3" t="s">
        <v>488</v>
      </c>
      <c r="D85" s="3" t="s">
        <v>489</v>
      </c>
      <c r="E85" s="4">
        <v>25</v>
      </c>
      <c r="F85" s="188" t="s">
        <v>333</v>
      </c>
      <c r="G85" s="120" t="str">
        <f>IFERROR(IF(VLOOKUP(TableHandbook[[#This Row],[UDC]],TableAvailabilities[],2,FALSE)&gt;0,"Y",""),"")</f>
        <v>Y</v>
      </c>
      <c r="H85" s="121" t="str">
        <f>IFERROR(IF(VLOOKUP(TableHandbook[[#This Row],[UDC]],TableAvailabilities[],3,FALSE)&gt;0,"Y",""),"")</f>
        <v/>
      </c>
      <c r="I85" s="121" t="str">
        <f>IFERROR(IF(VLOOKUP(TableHandbook[[#This Row],[UDC]],TableAvailabilities[],4,FALSE)&gt;0,"Y",""),"")</f>
        <v/>
      </c>
      <c r="J85" s="172" t="str">
        <f>IFERROR(IF(VLOOKUP(TableHandbook[[#This Row],[UDC]],TableAvailabilities[],5,FALSE)&gt;0,"Y",""),"")</f>
        <v/>
      </c>
      <c r="K85" s="249"/>
      <c r="L85" s="269" t="str">
        <f>IFERROR(VLOOKUP(TableHandbook[[#This Row],[UDC]],TableOMTEACH1[],7,FALSE),"")</f>
        <v/>
      </c>
      <c r="M85" s="130" t="str">
        <f>IFERROR(VLOOKUP(TableHandbook[[#This Row],[UDC]],TableOUMPTCHEC[],7,FALSE),"")</f>
        <v/>
      </c>
      <c r="N85" s="130" t="str">
        <f>IFERROR(VLOOKUP(TableHandbook[[#This Row],[UDC]],TableOUMPTCHPE[],7,FALSE),"")</f>
        <v/>
      </c>
      <c r="O85" s="270" t="str">
        <f>IFERROR(VLOOKUP(TableHandbook[[#This Row],[UDC]],TableOUMPTCHSE[],7,FALSE),"")</f>
        <v/>
      </c>
      <c r="P85" s="271" t="str">
        <f>IFERROR(VLOOKUP(TableHandbook[[#This Row],[UDC]],TableOCTESOL1[],7,FALSE),"")</f>
        <v/>
      </c>
      <c r="Q85" s="187" t="str">
        <f>IFERROR(VLOOKUP(TableHandbook[[#This Row],[UDC]],TableOCTESOL[],7,FALSE),"")</f>
        <v/>
      </c>
      <c r="R85" s="272" t="str">
        <f>IFERROR(VLOOKUP(TableHandbook[[#This Row],[UDC]],TableOMAPLING[],7,FALSE),"")</f>
        <v>Core</v>
      </c>
      <c r="S85" s="271" t="str">
        <f>IFERROR(VLOOKUP(TableHandbook[[#This Row],[UDC]],TableOCEDHE1[],7,FALSE),"")</f>
        <v/>
      </c>
      <c r="T85" s="272" t="str">
        <f>IFERROR(VLOOKUP(TableHandbook[[#This Row],[UDC]],TableOCEDHE[],7,FALSE),"")</f>
        <v/>
      </c>
      <c r="U85" s="271" t="str">
        <f>IFERROR(VLOOKUP(TableHandbook[[#This Row],[UDC]],TableOCEDUCS1[],7,FALSE),"")</f>
        <v/>
      </c>
      <c r="V85" s="187" t="str">
        <f>IFERROR(VLOOKUP(TableHandbook[[#This Row],[UDC]],TableOCEDUC[],7,FALSE),"")</f>
        <v/>
      </c>
      <c r="W85" s="187" t="str">
        <f>IFERROR(VLOOKUP(TableHandbook[[#This Row],[UDC]],TableOGEDUC[],7,FALSE),"")</f>
        <v/>
      </c>
      <c r="X85" s="187" t="str">
        <f>IFERROR(VLOOKUP(TableHandbook[[#This Row],[UDC]],TableOUMPEDUPR[],7,FALSE),"")</f>
        <v/>
      </c>
      <c r="Y85" s="187" t="str">
        <f>IFERROR(VLOOKUP(TableHandbook[[#This Row],[UDC]],TableOUMPEDUSC[],7,FALSE),"")</f>
        <v/>
      </c>
      <c r="Z85" s="187" t="str">
        <f>IFERROR(VLOOKUP(TableHandbook[[#This Row],[UDC]],TableOMEDUC[],7,FALSE),"")</f>
        <v/>
      </c>
      <c r="AA85" s="187" t="str">
        <f>IFERROR(VLOOKUP(TableHandbook[[#This Row],[UDC]],TableOSEPCULIN[],7,FALSE),"")</f>
        <v/>
      </c>
      <c r="AB85" s="187" t="str">
        <f>IFERROR(VLOOKUP(TableHandbook[[#This Row],[UDC]],TableOSEPLNTCH[],7,FALSE),"")</f>
        <v/>
      </c>
      <c r="AC85" s="272" t="str">
        <f>IFERROR(VLOOKUP(TableHandbook[[#This Row],[UDC]],TableOSEPSTEME[],7,FALSE),"")</f>
        <v/>
      </c>
    </row>
    <row r="86" spans="1:29" x14ac:dyDescent="0.25">
      <c r="A86" s="3" t="s">
        <v>490</v>
      </c>
      <c r="B86" s="4"/>
      <c r="C86" s="3"/>
      <c r="D86" s="3" t="s">
        <v>491</v>
      </c>
      <c r="E86" s="4">
        <v>100</v>
      </c>
      <c r="F86" s="188"/>
      <c r="G86" s="120" t="str">
        <f>IFERROR(IF(VLOOKUP(TableHandbook[[#This Row],[UDC]],TableAvailabilities[],2,FALSE)&gt;0,"Y",""),"")</f>
        <v/>
      </c>
      <c r="H86" s="121" t="str">
        <f>IFERROR(IF(VLOOKUP(TableHandbook[[#This Row],[UDC]],TableAvailabilities[],3,FALSE)&gt;0,"Y",""),"")</f>
        <v/>
      </c>
      <c r="I86" s="121" t="str">
        <f>IFERROR(IF(VLOOKUP(TableHandbook[[#This Row],[UDC]],TableAvailabilities[],4,FALSE)&gt;0,"Y",""),"")</f>
        <v/>
      </c>
      <c r="J86" s="172" t="str">
        <f>IFERROR(IF(VLOOKUP(TableHandbook[[#This Row],[UDC]],TableAvailabilities[],5,FALSE)&gt;0,"Y",""),"")</f>
        <v/>
      </c>
      <c r="K86" s="249"/>
      <c r="L86" s="269" t="str">
        <f>IFERROR(VLOOKUP(TableHandbook[[#This Row],[UDC]],TableOMTEACH1[],7,FALSE),"")</f>
        <v/>
      </c>
      <c r="M86" s="130" t="str">
        <f>IFERROR(VLOOKUP(TableHandbook[[#This Row],[UDC]],TableOUMPTCHEC[],7,FALSE),"")</f>
        <v/>
      </c>
      <c r="N86" s="130" t="str">
        <f>IFERROR(VLOOKUP(TableHandbook[[#This Row],[UDC]],TableOUMPTCHPE[],7,FALSE),"")</f>
        <v/>
      </c>
      <c r="O86" s="270" t="str">
        <f>IFERROR(VLOOKUP(TableHandbook[[#This Row],[UDC]],TableOUMPTCHSE[],7,FALSE),"")</f>
        <v/>
      </c>
      <c r="P86" s="271" t="str">
        <f>IFERROR(VLOOKUP(TableHandbook[[#This Row],[UDC]],TableOCTESOL1[],7,FALSE),"")</f>
        <v/>
      </c>
      <c r="Q86" s="187" t="str">
        <f>IFERROR(VLOOKUP(TableHandbook[[#This Row],[UDC]],TableOCTESOL[],7,FALSE),"")</f>
        <v/>
      </c>
      <c r="R86" s="272" t="str">
        <f>IFERROR(VLOOKUP(TableHandbook[[#This Row],[UDC]],TableOMAPLING[],7,FALSE),"")</f>
        <v/>
      </c>
      <c r="S86" s="271" t="str">
        <f>IFERROR(VLOOKUP(TableHandbook[[#This Row],[UDC]],TableOCEDHE1[],7,FALSE),"")</f>
        <v/>
      </c>
      <c r="T86" s="272" t="str">
        <f>IFERROR(VLOOKUP(TableHandbook[[#This Row],[UDC]],TableOCEDHE[],7,FALSE),"")</f>
        <v/>
      </c>
      <c r="U86" s="271" t="str">
        <f>IFERROR(VLOOKUP(TableHandbook[[#This Row],[UDC]],TableOCEDUCS1[],7,FALSE),"")</f>
        <v>Option</v>
      </c>
      <c r="V86" s="187" t="str">
        <f>IFERROR(VLOOKUP(TableHandbook[[#This Row],[UDC]],TableOCEDUC[],7,FALSE),"")</f>
        <v>Option</v>
      </c>
      <c r="W86" s="187" t="str">
        <f>IFERROR(VLOOKUP(TableHandbook[[#This Row],[UDC]],TableOGEDUC[],7,FALSE),"")</f>
        <v/>
      </c>
      <c r="X86" s="187" t="str">
        <f>IFERROR(VLOOKUP(TableHandbook[[#This Row],[UDC]],TableOUMPEDUPR[],7,FALSE),"")</f>
        <v/>
      </c>
      <c r="Y86" s="187" t="str">
        <f>IFERROR(VLOOKUP(TableHandbook[[#This Row],[UDC]],TableOUMPEDUSC[],7,FALSE),"")</f>
        <v/>
      </c>
      <c r="Z86" s="187" t="str">
        <f>IFERROR(VLOOKUP(TableHandbook[[#This Row],[UDC]],TableOMEDUC[],7,FALSE),"")</f>
        <v/>
      </c>
      <c r="AA86" s="187" t="str">
        <f>IFERROR(VLOOKUP(TableHandbook[[#This Row],[UDC]],TableOSEPCULIN[],7,FALSE),"")</f>
        <v/>
      </c>
      <c r="AB86" s="187" t="str">
        <f>IFERROR(VLOOKUP(TableHandbook[[#This Row],[UDC]],TableOSEPLNTCH[],7,FALSE),"")</f>
        <v/>
      </c>
      <c r="AC86" s="272" t="str">
        <f>IFERROR(VLOOKUP(TableHandbook[[#This Row],[UDC]],TableOSEPSTEME[],7,FALSE),"")</f>
        <v/>
      </c>
    </row>
    <row r="87" spans="1:29" x14ac:dyDescent="0.25">
      <c r="A87" s="297" t="s">
        <v>492</v>
      </c>
      <c r="B87" s="4"/>
      <c r="C87" s="3"/>
      <c r="D87" s="297" t="s">
        <v>493</v>
      </c>
      <c r="E87" s="4" t="s">
        <v>494</v>
      </c>
      <c r="F87" s="188"/>
      <c r="G87" s="120" t="str">
        <f>IFERROR(IF(VLOOKUP(TableHandbook[[#This Row],[UDC]],TableAvailabilities[],2,FALSE)&gt;0,"Y",""),"")</f>
        <v/>
      </c>
      <c r="H87" s="121" t="str">
        <f>IFERROR(IF(VLOOKUP(TableHandbook[[#This Row],[UDC]],TableAvailabilities[],3,FALSE)&gt;0,"Y",""),"")</f>
        <v/>
      </c>
      <c r="I87" s="121" t="str">
        <f>IFERROR(IF(VLOOKUP(TableHandbook[[#This Row],[UDC]],TableAvailabilities[],4,FALSE)&gt;0,"Y",""),"")</f>
        <v/>
      </c>
      <c r="J87" s="172" t="str">
        <f>IFERROR(IF(VLOOKUP(TableHandbook[[#This Row],[UDC]],TableAvailabilities[],5,FALSE)&gt;0,"Y",""),"")</f>
        <v/>
      </c>
      <c r="K87" s="249"/>
      <c r="L87" s="269" t="str">
        <f>IFERROR(VLOOKUP(TableHandbook[[#This Row],[UDC]],TableOMTEACH1[],7,FALSE),"")</f>
        <v/>
      </c>
      <c r="M87" s="130" t="str">
        <f>IFERROR(VLOOKUP(TableHandbook[[#This Row],[UDC]],TableOUMPTCHEC[],7,FALSE),"")</f>
        <v/>
      </c>
      <c r="N87" s="130" t="str">
        <f>IFERROR(VLOOKUP(TableHandbook[[#This Row],[UDC]],TableOUMPTCHPE[],7,FALSE),"")</f>
        <v/>
      </c>
      <c r="O87" s="270" t="str">
        <f>IFERROR(VLOOKUP(TableHandbook[[#This Row],[UDC]],TableOUMPTCHSE[],7,FALSE),"")</f>
        <v/>
      </c>
      <c r="P87" s="271" t="str">
        <f>IFERROR(VLOOKUP(TableHandbook[[#This Row],[UDC]],TableOCTESOL1[],7,FALSE),"")</f>
        <v/>
      </c>
      <c r="Q87" s="187" t="str">
        <f>IFERROR(VLOOKUP(TableHandbook[[#This Row],[UDC]],TableOCTESOL[],7,FALSE),"")</f>
        <v/>
      </c>
      <c r="R87" s="272" t="str">
        <f>IFERROR(VLOOKUP(TableHandbook[[#This Row],[UDC]],TableOMAPLING[],7,FALSE),"")</f>
        <v/>
      </c>
      <c r="S87" s="271" t="str">
        <f>IFERROR(VLOOKUP(TableHandbook[[#This Row],[UDC]],TableOCEDHE1[],7,FALSE),"")</f>
        <v/>
      </c>
      <c r="T87" s="272" t="str">
        <f>IFERROR(VLOOKUP(TableHandbook[[#This Row],[UDC]],TableOCEDHE[],7,FALSE),"")</f>
        <v/>
      </c>
      <c r="U87" s="271" t="str">
        <f>IFERROR(VLOOKUP(TableHandbook[[#This Row],[UDC]],TableOCEDUCS1[],7,FALSE),"")</f>
        <v/>
      </c>
      <c r="V87" s="187" t="str">
        <f>IFERROR(VLOOKUP(TableHandbook[[#This Row],[UDC]],TableOCEDUC[],7,FALSE),"")</f>
        <v/>
      </c>
      <c r="W87" s="187" t="str">
        <f>IFERROR(VLOOKUP(TableHandbook[[#This Row],[UDC]],TableOGEDUC[],7,FALSE),"")</f>
        <v/>
      </c>
      <c r="X87" s="187" t="str">
        <f>IFERROR(VLOOKUP(TableHandbook[[#This Row],[UDC]],TableOUMPEDUPR[],7,FALSE),"")</f>
        <v/>
      </c>
      <c r="Y87" s="187" t="str">
        <f>IFERROR(VLOOKUP(TableHandbook[[#This Row],[UDC]],TableOUMPEDUSC[],7,FALSE),"")</f>
        <v/>
      </c>
      <c r="Z87" s="187" t="str">
        <f>IFERROR(VLOOKUP(TableHandbook[[#This Row],[UDC]],TableOMEDUC[],7,FALSE),"")</f>
        <v/>
      </c>
      <c r="AA87" s="187" t="str">
        <f>IFERROR(VLOOKUP(TableHandbook[[#This Row],[UDC]],TableOSEPCULIN[],7,FALSE),"")</f>
        <v/>
      </c>
      <c r="AB87" s="187" t="str">
        <f>IFERROR(VLOOKUP(TableHandbook[[#This Row],[UDC]],TableOSEPLNTCH[],7,FALSE),"")</f>
        <v/>
      </c>
      <c r="AC87" s="272" t="str">
        <f>IFERROR(VLOOKUP(TableHandbook[[#This Row],[UDC]],TableOSEPSTEME[],7,FALSE),"")</f>
        <v/>
      </c>
    </row>
    <row r="88" spans="1:29" x14ac:dyDescent="0.25">
      <c r="A88" s="3" t="s">
        <v>202</v>
      </c>
      <c r="B88" s="4">
        <v>1</v>
      </c>
      <c r="C88" s="3"/>
      <c r="D88" s="3" t="s">
        <v>201</v>
      </c>
      <c r="E88" s="4">
        <v>100</v>
      </c>
      <c r="F88" s="188"/>
      <c r="G88" s="120" t="str">
        <f>IFERROR(IF(VLOOKUP(TableHandbook[[#This Row],[UDC]],TableAvailabilities[],2,FALSE)&gt;0,"Y",""),"")</f>
        <v/>
      </c>
      <c r="H88" s="121" t="str">
        <f>IFERROR(IF(VLOOKUP(TableHandbook[[#This Row],[UDC]],TableAvailabilities[],3,FALSE)&gt;0,"Y",""),"")</f>
        <v/>
      </c>
      <c r="I88" s="121" t="str">
        <f>IFERROR(IF(VLOOKUP(TableHandbook[[#This Row],[UDC]],TableAvailabilities[],4,FALSE)&gt;0,"Y",""),"")</f>
        <v/>
      </c>
      <c r="J88" s="172" t="str">
        <f>IFERROR(IF(VLOOKUP(TableHandbook[[#This Row],[UDC]],TableAvailabilities[],5,FALSE)&gt;0,"Y",""),"")</f>
        <v/>
      </c>
      <c r="K88" s="249"/>
      <c r="L88" s="269" t="str">
        <f>IFERROR(VLOOKUP(TableHandbook[[#This Row],[UDC]],TableOMTEACH1[],7,FALSE),"")</f>
        <v/>
      </c>
      <c r="M88" s="130" t="str">
        <f>IFERROR(VLOOKUP(TableHandbook[[#This Row],[UDC]],TableOUMPTCHEC[],7,FALSE),"")</f>
        <v/>
      </c>
      <c r="N88" s="130" t="str">
        <f>IFERROR(VLOOKUP(TableHandbook[[#This Row],[UDC]],TableOUMPTCHPE[],7,FALSE),"")</f>
        <v/>
      </c>
      <c r="O88" s="270" t="str">
        <f>IFERROR(VLOOKUP(TableHandbook[[#This Row],[UDC]],TableOUMPTCHSE[],7,FALSE),"")</f>
        <v/>
      </c>
      <c r="P88" s="271" t="str">
        <f>IFERROR(VLOOKUP(TableHandbook[[#This Row],[UDC]],TableOCTESOL1[],7,FALSE),"")</f>
        <v/>
      </c>
      <c r="Q88" s="187" t="str">
        <f>IFERROR(VLOOKUP(TableHandbook[[#This Row],[UDC]],TableOCTESOL[],7,FALSE),"")</f>
        <v/>
      </c>
      <c r="R88" s="272" t="str">
        <f>IFERROR(VLOOKUP(TableHandbook[[#This Row],[UDC]],TableOMAPLING[],7,FALSE),"")</f>
        <v/>
      </c>
      <c r="S88" s="271" t="str">
        <f>IFERROR(VLOOKUP(TableHandbook[[#This Row],[UDC]],TableOCEDHE1[],7,FALSE),"")</f>
        <v/>
      </c>
      <c r="T88" s="272" t="str">
        <f>IFERROR(VLOOKUP(TableHandbook[[#This Row],[UDC]],TableOCEDHE[],7,FALSE),"")</f>
        <v/>
      </c>
      <c r="U88" s="271" t="str">
        <f>IFERROR(VLOOKUP(TableHandbook[[#This Row],[UDC]],TableOCEDUCS1[],7,FALSE),"")</f>
        <v/>
      </c>
      <c r="V88" s="187" t="str">
        <f>IFERROR(VLOOKUP(TableHandbook[[#This Row],[UDC]],TableOCEDUC[],7,FALSE),"")</f>
        <v/>
      </c>
      <c r="W88" s="187" t="str">
        <f>IFERROR(VLOOKUP(TableHandbook[[#This Row],[UDC]],TableOGEDUC[],7,FALSE),"")</f>
        <v/>
      </c>
      <c r="X88" s="187" t="str">
        <f>IFERROR(VLOOKUP(TableHandbook[[#This Row],[UDC]],TableOUMPEDUPR[],7,FALSE),"")</f>
        <v/>
      </c>
      <c r="Y88" s="187" t="str">
        <f>IFERROR(VLOOKUP(TableHandbook[[#This Row],[UDC]],TableOUMPEDUSC[],7,FALSE),"")</f>
        <v/>
      </c>
      <c r="Z88" s="187" t="str">
        <f>IFERROR(VLOOKUP(TableHandbook[[#This Row],[UDC]],TableOMEDUC[],7,FALSE),"")</f>
        <v>Option</v>
      </c>
      <c r="AA88" s="187" t="str">
        <f>IFERROR(VLOOKUP(TableHandbook[[#This Row],[UDC]],TableOSEPCULIN[],7,FALSE),"")</f>
        <v/>
      </c>
      <c r="AB88" s="187" t="str">
        <f>IFERROR(VLOOKUP(TableHandbook[[#This Row],[UDC]],TableOSEPLNTCH[],7,FALSE),"")</f>
        <v/>
      </c>
      <c r="AC88" s="272" t="str">
        <f>IFERROR(VLOOKUP(TableHandbook[[#This Row],[UDC]],TableOSEPSTEME[],7,FALSE),"")</f>
        <v/>
      </c>
    </row>
    <row r="89" spans="1:29" x14ac:dyDescent="0.25">
      <c r="A89" s="3" t="s">
        <v>205</v>
      </c>
      <c r="B89" s="4">
        <v>1</v>
      </c>
      <c r="C89" s="3"/>
      <c r="D89" s="3" t="s">
        <v>204</v>
      </c>
      <c r="E89" s="4">
        <v>100</v>
      </c>
      <c r="F89" s="188"/>
      <c r="G89" s="120" t="str">
        <f>IFERROR(IF(VLOOKUP(TableHandbook[[#This Row],[UDC]],TableAvailabilities[],2,FALSE)&gt;0,"Y",""),"")</f>
        <v/>
      </c>
      <c r="H89" s="121" t="str">
        <f>IFERROR(IF(VLOOKUP(TableHandbook[[#This Row],[UDC]],TableAvailabilities[],3,FALSE)&gt;0,"Y",""),"")</f>
        <v/>
      </c>
      <c r="I89" s="121" t="str">
        <f>IFERROR(IF(VLOOKUP(TableHandbook[[#This Row],[UDC]],TableAvailabilities[],4,FALSE)&gt;0,"Y",""),"")</f>
        <v/>
      </c>
      <c r="J89" s="172" t="str">
        <f>IFERROR(IF(VLOOKUP(TableHandbook[[#This Row],[UDC]],TableAvailabilities[],5,FALSE)&gt;0,"Y",""),"")</f>
        <v/>
      </c>
      <c r="K89" s="249"/>
      <c r="L89" s="269" t="str">
        <f>IFERROR(VLOOKUP(TableHandbook[[#This Row],[UDC]],TableOMTEACH1[],7,FALSE),"")</f>
        <v/>
      </c>
      <c r="M89" s="130" t="str">
        <f>IFERROR(VLOOKUP(TableHandbook[[#This Row],[UDC]],TableOUMPTCHEC[],7,FALSE),"")</f>
        <v/>
      </c>
      <c r="N89" s="130" t="str">
        <f>IFERROR(VLOOKUP(TableHandbook[[#This Row],[UDC]],TableOUMPTCHPE[],7,FALSE),"")</f>
        <v/>
      </c>
      <c r="O89" s="270" t="str">
        <f>IFERROR(VLOOKUP(TableHandbook[[#This Row],[UDC]],TableOUMPTCHSE[],7,FALSE),"")</f>
        <v/>
      </c>
      <c r="P89" s="271" t="str">
        <f>IFERROR(VLOOKUP(TableHandbook[[#This Row],[UDC]],TableOCTESOL1[],7,FALSE),"")</f>
        <v/>
      </c>
      <c r="Q89" s="187" t="str">
        <f>IFERROR(VLOOKUP(TableHandbook[[#This Row],[UDC]],TableOCTESOL[],7,FALSE),"")</f>
        <v/>
      </c>
      <c r="R89" s="272" t="str">
        <f>IFERROR(VLOOKUP(TableHandbook[[#This Row],[UDC]],TableOMAPLING[],7,FALSE),"")</f>
        <v/>
      </c>
      <c r="S89" s="271" t="str">
        <f>IFERROR(VLOOKUP(TableHandbook[[#This Row],[UDC]],TableOCEDHE1[],7,FALSE),"")</f>
        <v/>
      </c>
      <c r="T89" s="272" t="str">
        <f>IFERROR(VLOOKUP(TableHandbook[[#This Row],[UDC]],TableOCEDHE[],7,FALSE),"")</f>
        <v/>
      </c>
      <c r="U89" s="271" t="str">
        <f>IFERROR(VLOOKUP(TableHandbook[[#This Row],[UDC]],TableOCEDUCS1[],7,FALSE),"")</f>
        <v/>
      </c>
      <c r="V89" s="187" t="str">
        <f>IFERROR(VLOOKUP(TableHandbook[[#This Row],[UDC]],TableOCEDUC[],7,FALSE),"")</f>
        <v/>
      </c>
      <c r="W89" s="187" t="str">
        <f>IFERROR(VLOOKUP(TableHandbook[[#This Row],[UDC]],TableOGEDUC[],7,FALSE),"")</f>
        <v/>
      </c>
      <c r="X89" s="187" t="str">
        <f>IFERROR(VLOOKUP(TableHandbook[[#This Row],[UDC]],TableOUMPEDUPR[],7,FALSE),"")</f>
        <v/>
      </c>
      <c r="Y89" s="187" t="str">
        <f>IFERROR(VLOOKUP(TableHandbook[[#This Row],[UDC]],TableOUMPEDUSC[],7,FALSE),"")</f>
        <v/>
      </c>
      <c r="Z89" s="187" t="str">
        <f>IFERROR(VLOOKUP(TableHandbook[[#This Row],[UDC]],TableOMEDUC[],7,FALSE),"")</f>
        <v>Option</v>
      </c>
      <c r="AA89" s="187" t="str">
        <f>IFERROR(VLOOKUP(TableHandbook[[#This Row],[UDC]],TableOSEPCULIN[],7,FALSE),"")</f>
        <v/>
      </c>
      <c r="AB89" s="187" t="str">
        <f>IFERROR(VLOOKUP(TableHandbook[[#This Row],[UDC]],TableOSEPLNTCH[],7,FALSE),"")</f>
        <v/>
      </c>
      <c r="AC89" s="272" t="str">
        <f>IFERROR(VLOOKUP(TableHandbook[[#This Row],[UDC]],TableOSEPSTEME[],7,FALSE),"")</f>
        <v/>
      </c>
    </row>
    <row r="90" spans="1:29" x14ac:dyDescent="0.25">
      <c r="A90" s="3" t="s">
        <v>208</v>
      </c>
      <c r="B90" s="4">
        <v>1</v>
      </c>
      <c r="C90" s="3"/>
      <c r="D90" s="3" t="s">
        <v>207</v>
      </c>
      <c r="E90" s="4">
        <v>100</v>
      </c>
      <c r="F90" s="188"/>
      <c r="G90" s="120" t="str">
        <f>IFERROR(IF(VLOOKUP(TableHandbook[[#This Row],[UDC]],TableAvailabilities[],2,FALSE)&gt;0,"Y",""),"")</f>
        <v/>
      </c>
      <c r="H90" s="121" t="str">
        <f>IFERROR(IF(VLOOKUP(TableHandbook[[#This Row],[UDC]],TableAvailabilities[],3,FALSE)&gt;0,"Y",""),"")</f>
        <v/>
      </c>
      <c r="I90" s="121" t="str">
        <f>IFERROR(IF(VLOOKUP(TableHandbook[[#This Row],[UDC]],TableAvailabilities[],4,FALSE)&gt;0,"Y",""),"")</f>
        <v/>
      </c>
      <c r="J90" s="172" t="str">
        <f>IFERROR(IF(VLOOKUP(TableHandbook[[#This Row],[UDC]],TableAvailabilities[],5,FALSE)&gt;0,"Y",""),"")</f>
        <v/>
      </c>
      <c r="K90" s="249"/>
      <c r="L90" s="269" t="str">
        <f>IFERROR(VLOOKUP(TableHandbook[[#This Row],[UDC]],TableOMTEACH1[],7,FALSE),"")</f>
        <v/>
      </c>
      <c r="M90" s="130" t="str">
        <f>IFERROR(VLOOKUP(TableHandbook[[#This Row],[UDC]],TableOUMPTCHEC[],7,FALSE),"")</f>
        <v/>
      </c>
      <c r="N90" s="130" t="str">
        <f>IFERROR(VLOOKUP(TableHandbook[[#This Row],[UDC]],TableOUMPTCHPE[],7,FALSE),"")</f>
        <v/>
      </c>
      <c r="O90" s="270" t="str">
        <f>IFERROR(VLOOKUP(TableHandbook[[#This Row],[UDC]],TableOUMPTCHSE[],7,FALSE),"")</f>
        <v/>
      </c>
      <c r="P90" s="271" t="str">
        <f>IFERROR(VLOOKUP(TableHandbook[[#This Row],[UDC]],TableOCTESOL1[],7,FALSE),"")</f>
        <v/>
      </c>
      <c r="Q90" s="187" t="str">
        <f>IFERROR(VLOOKUP(TableHandbook[[#This Row],[UDC]],TableOCTESOL[],7,FALSE),"")</f>
        <v/>
      </c>
      <c r="R90" s="272" t="str">
        <f>IFERROR(VLOOKUP(TableHandbook[[#This Row],[UDC]],TableOMAPLING[],7,FALSE),"")</f>
        <v/>
      </c>
      <c r="S90" s="271" t="str">
        <f>IFERROR(VLOOKUP(TableHandbook[[#This Row],[UDC]],TableOCEDHE1[],7,FALSE),"")</f>
        <v/>
      </c>
      <c r="T90" s="272" t="str">
        <f>IFERROR(VLOOKUP(TableHandbook[[#This Row],[UDC]],TableOCEDHE[],7,FALSE),"")</f>
        <v/>
      </c>
      <c r="U90" s="271" t="str">
        <f>IFERROR(VLOOKUP(TableHandbook[[#This Row],[UDC]],TableOCEDUCS1[],7,FALSE),"")</f>
        <v/>
      </c>
      <c r="V90" s="187" t="str">
        <f>IFERROR(VLOOKUP(TableHandbook[[#This Row],[UDC]],TableOCEDUC[],7,FALSE),"")</f>
        <v/>
      </c>
      <c r="W90" s="187" t="str">
        <f>IFERROR(VLOOKUP(TableHandbook[[#This Row],[UDC]],TableOGEDUC[],7,FALSE),"")</f>
        <v/>
      </c>
      <c r="X90" s="187" t="str">
        <f>IFERROR(VLOOKUP(TableHandbook[[#This Row],[UDC]],TableOUMPEDUPR[],7,FALSE),"")</f>
        <v/>
      </c>
      <c r="Y90" s="187" t="str">
        <f>IFERROR(VLOOKUP(TableHandbook[[#This Row],[UDC]],TableOUMPEDUSC[],7,FALSE),"")</f>
        <v/>
      </c>
      <c r="Z90" s="187" t="str">
        <f>IFERROR(VLOOKUP(TableHandbook[[#This Row],[UDC]],TableOMEDUC[],7,FALSE),"")</f>
        <v>Option</v>
      </c>
      <c r="AA90" s="187" t="str">
        <f>IFERROR(VLOOKUP(TableHandbook[[#This Row],[UDC]],TableOSEPCULIN[],7,FALSE),"")</f>
        <v/>
      </c>
      <c r="AB90" s="187" t="str">
        <f>IFERROR(VLOOKUP(TableHandbook[[#This Row],[UDC]],TableOSEPLNTCH[],7,FALSE),"")</f>
        <v/>
      </c>
      <c r="AC90" s="272" t="str">
        <f>IFERROR(VLOOKUP(TableHandbook[[#This Row],[UDC]],TableOSEPSTEME[],7,FALSE),"")</f>
        <v/>
      </c>
    </row>
    <row r="91" spans="1:29" x14ac:dyDescent="0.25">
      <c r="A91" s="3" t="s">
        <v>189</v>
      </c>
      <c r="B91" s="4">
        <v>1</v>
      </c>
      <c r="C91" s="3"/>
      <c r="D91" s="3" t="s">
        <v>188</v>
      </c>
      <c r="E91" s="4">
        <v>200</v>
      </c>
      <c r="F91" s="188"/>
      <c r="G91" s="120" t="str">
        <f>IFERROR(IF(VLOOKUP(TableHandbook[[#This Row],[UDC]],TableAvailabilities[],2,FALSE)&gt;0,"Y",""),"")</f>
        <v/>
      </c>
      <c r="H91" s="121" t="str">
        <f>IFERROR(IF(VLOOKUP(TableHandbook[[#This Row],[UDC]],TableAvailabilities[],3,FALSE)&gt;0,"Y",""),"")</f>
        <v/>
      </c>
      <c r="I91" s="121" t="str">
        <f>IFERROR(IF(VLOOKUP(TableHandbook[[#This Row],[UDC]],TableAvailabilities[],4,FALSE)&gt;0,"Y",""),"")</f>
        <v/>
      </c>
      <c r="J91" s="172" t="str">
        <f>IFERROR(IF(VLOOKUP(TableHandbook[[#This Row],[UDC]],TableAvailabilities[],5,FALSE)&gt;0,"Y",""),"")</f>
        <v/>
      </c>
      <c r="K91" s="249"/>
      <c r="L91" s="269" t="str">
        <f>IFERROR(VLOOKUP(TableHandbook[[#This Row],[UDC]],TableOMTEACH1[],7,FALSE),"")</f>
        <v/>
      </c>
      <c r="M91" s="130" t="str">
        <f>IFERROR(VLOOKUP(TableHandbook[[#This Row],[UDC]],TableOUMPTCHEC[],7,FALSE),"")</f>
        <v/>
      </c>
      <c r="N91" s="130" t="str">
        <f>IFERROR(VLOOKUP(TableHandbook[[#This Row],[UDC]],TableOUMPTCHPE[],7,FALSE),"")</f>
        <v/>
      </c>
      <c r="O91" s="270" t="str">
        <f>IFERROR(VLOOKUP(TableHandbook[[#This Row],[UDC]],TableOUMPTCHSE[],7,FALSE),"")</f>
        <v/>
      </c>
      <c r="P91" s="271" t="str">
        <f>IFERROR(VLOOKUP(TableHandbook[[#This Row],[UDC]],TableOCTESOL1[],7,FALSE),"")</f>
        <v/>
      </c>
      <c r="Q91" s="187" t="str">
        <f>IFERROR(VLOOKUP(TableHandbook[[#This Row],[UDC]],TableOCTESOL[],7,FALSE),"")</f>
        <v/>
      </c>
      <c r="R91" s="272" t="str">
        <f>IFERROR(VLOOKUP(TableHandbook[[#This Row],[UDC]],TableOMAPLING[],7,FALSE),"")</f>
        <v/>
      </c>
      <c r="S91" s="271" t="str">
        <f>IFERROR(VLOOKUP(TableHandbook[[#This Row],[UDC]],TableOCEDHE1[],7,FALSE),"")</f>
        <v/>
      </c>
      <c r="T91" s="272" t="str">
        <f>IFERROR(VLOOKUP(TableHandbook[[#This Row],[UDC]],TableOCEDHE[],7,FALSE),"")</f>
        <v/>
      </c>
      <c r="U91" s="271" t="str">
        <f>IFERROR(VLOOKUP(TableHandbook[[#This Row],[UDC]],TableOCEDUCS1[],7,FALSE),"")</f>
        <v/>
      </c>
      <c r="V91" s="187" t="str">
        <f>IFERROR(VLOOKUP(TableHandbook[[#This Row],[UDC]],TableOCEDUC[],7,FALSE),"")</f>
        <v/>
      </c>
      <c r="W91" s="187" t="str">
        <f>IFERROR(VLOOKUP(TableHandbook[[#This Row],[UDC]],TableOGEDUC[],7,FALSE),"")</f>
        <v>AltCore</v>
      </c>
      <c r="X91" s="187" t="str">
        <f>IFERROR(VLOOKUP(TableHandbook[[#This Row],[UDC]],TableOUMPEDUPR[],7,FALSE),"")</f>
        <v/>
      </c>
      <c r="Y91" s="187" t="str">
        <f>IFERROR(VLOOKUP(TableHandbook[[#This Row],[UDC]],TableOUMPEDUSC[],7,FALSE),"")</f>
        <v/>
      </c>
      <c r="Z91" s="187" t="str">
        <f>IFERROR(VLOOKUP(TableHandbook[[#This Row],[UDC]],TableOMEDUC[],7,FALSE),"")</f>
        <v/>
      </c>
      <c r="AA91" s="187" t="str">
        <f>IFERROR(VLOOKUP(TableHandbook[[#This Row],[UDC]],TableOSEPCULIN[],7,FALSE),"")</f>
        <v/>
      </c>
      <c r="AB91" s="187" t="str">
        <f>IFERROR(VLOOKUP(TableHandbook[[#This Row],[UDC]],TableOSEPLNTCH[],7,FALSE),"")</f>
        <v/>
      </c>
      <c r="AC91" s="272" t="str">
        <f>IFERROR(VLOOKUP(TableHandbook[[#This Row],[UDC]],TableOSEPSTEME[],7,FALSE),"")</f>
        <v/>
      </c>
    </row>
    <row r="92" spans="1:29" x14ac:dyDescent="0.25">
      <c r="A92" s="3" t="s">
        <v>192</v>
      </c>
      <c r="B92" s="4">
        <v>1</v>
      </c>
      <c r="C92" s="3"/>
      <c r="D92" s="3" t="s">
        <v>191</v>
      </c>
      <c r="E92" s="4">
        <v>200</v>
      </c>
      <c r="F92" s="188"/>
      <c r="G92" s="120" t="str">
        <f>IFERROR(IF(VLOOKUP(TableHandbook[[#This Row],[UDC]],TableAvailabilities[],2,FALSE)&gt;0,"Y",""),"")</f>
        <v/>
      </c>
      <c r="H92" s="121" t="str">
        <f>IFERROR(IF(VLOOKUP(TableHandbook[[#This Row],[UDC]],TableAvailabilities[],3,FALSE)&gt;0,"Y",""),"")</f>
        <v/>
      </c>
      <c r="I92" s="121" t="str">
        <f>IFERROR(IF(VLOOKUP(TableHandbook[[#This Row],[UDC]],TableAvailabilities[],4,FALSE)&gt;0,"Y",""),"")</f>
        <v/>
      </c>
      <c r="J92" s="172" t="str">
        <f>IFERROR(IF(VLOOKUP(TableHandbook[[#This Row],[UDC]],TableAvailabilities[],5,FALSE)&gt;0,"Y",""),"")</f>
        <v/>
      </c>
      <c r="K92" s="249"/>
      <c r="L92" s="269" t="str">
        <f>IFERROR(VLOOKUP(TableHandbook[[#This Row],[UDC]],TableOMTEACH1[],7,FALSE),"")</f>
        <v/>
      </c>
      <c r="M92" s="130" t="str">
        <f>IFERROR(VLOOKUP(TableHandbook[[#This Row],[UDC]],TableOUMPTCHEC[],7,FALSE),"")</f>
        <v/>
      </c>
      <c r="N92" s="130" t="str">
        <f>IFERROR(VLOOKUP(TableHandbook[[#This Row],[UDC]],TableOUMPTCHPE[],7,FALSE),"")</f>
        <v/>
      </c>
      <c r="O92" s="270" t="str">
        <f>IFERROR(VLOOKUP(TableHandbook[[#This Row],[UDC]],TableOUMPTCHSE[],7,FALSE),"")</f>
        <v/>
      </c>
      <c r="P92" s="271" t="str">
        <f>IFERROR(VLOOKUP(TableHandbook[[#This Row],[UDC]],TableOCTESOL1[],7,FALSE),"")</f>
        <v/>
      </c>
      <c r="Q92" s="187" t="str">
        <f>IFERROR(VLOOKUP(TableHandbook[[#This Row],[UDC]],TableOCTESOL[],7,FALSE),"")</f>
        <v/>
      </c>
      <c r="R92" s="272" t="str">
        <f>IFERROR(VLOOKUP(TableHandbook[[#This Row],[UDC]],TableOMAPLING[],7,FALSE),"")</f>
        <v/>
      </c>
      <c r="S92" s="271" t="str">
        <f>IFERROR(VLOOKUP(TableHandbook[[#This Row],[UDC]],TableOCEDHE1[],7,FALSE),"")</f>
        <v/>
      </c>
      <c r="T92" s="272" t="str">
        <f>IFERROR(VLOOKUP(TableHandbook[[#This Row],[UDC]],TableOCEDHE[],7,FALSE),"")</f>
        <v/>
      </c>
      <c r="U92" s="271" t="str">
        <f>IFERROR(VLOOKUP(TableHandbook[[#This Row],[UDC]],TableOCEDUCS1[],7,FALSE),"")</f>
        <v/>
      </c>
      <c r="V92" s="187" t="str">
        <f>IFERROR(VLOOKUP(TableHandbook[[#This Row],[UDC]],TableOCEDUC[],7,FALSE),"")</f>
        <v/>
      </c>
      <c r="W92" s="187" t="str">
        <f>IFERROR(VLOOKUP(TableHandbook[[#This Row],[UDC]],TableOGEDUC[],7,FALSE),"")</f>
        <v>AltCore</v>
      </c>
      <c r="X92" s="187" t="str">
        <f>IFERROR(VLOOKUP(TableHandbook[[#This Row],[UDC]],TableOUMPEDUPR[],7,FALSE),"")</f>
        <v/>
      </c>
      <c r="Y92" s="187" t="str">
        <f>IFERROR(VLOOKUP(TableHandbook[[#This Row],[UDC]],TableOUMPEDUSC[],7,FALSE),"")</f>
        <v/>
      </c>
      <c r="Z92" s="187" t="str">
        <f>IFERROR(VLOOKUP(TableHandbook[[#This Row],[UDC]],TableOMEDUC[],7,FALSE),"")</f>
        <v/>
      </c>
      <c r="AA92" s="187" t="str">
        <f>IFERROR(VLOOKUP(TableHandbook[[#This Row],[UDC]],TableOSEPCULIN[],7,FALSE),"")</f>
        <v/>
      </c>
      <c r="AB92" s="187" t="str">
        <f>IFERROR(VLOOKUP(TableHandbook[[#This Row],[UDC]],TableOSEPLNTCH[],7,FALSE),"")</f>
        <v/>
      </c>
      <c r="AC92" s="272" t="str">
        <f>IFERROR(VLOOKUP(TableHandbook[[#This Row],[UDC]],TableOSEPSTEME[],7,FALSE),"")</f>
        <v/>
      </c>
    </row>
    <row r="93" spans="1:29" x14ac:dyDescent="0.25">
      <c r="A93" s="3" t="s">
        <v>177</v>
      </c>
      <c r="B93" s="4">
        <v>2</v>
      </c>
      <c r="C93" s="3"/>
      <c r="D93" s="3" t="s">
        <v>14</v>
      </c>
      <c r="E93" s="4">
        <v>400</v>
      </c>
      <c r="F93" s="188"/>
      <c r="G93" s="120" t="str">
        <f>IFERROR(IF(VLOOKUP(TableHandbook[[#This Row],[UDC]],TableAvailabilities[],2,FALSE)&gt;0,"Y",""),"")</f>
        <v/>
      </c>
      <c r="H93" s="121" t="str">
        <f>IFERROR(IF(VLOOKUP(TableHandbook[[#This Row],[UDC]],TableAvailabilities[],3,FALSE)&gt;0,"Y",""),"")</f>
        <v/>
      </c>
      <c r="I93" s="121" t="str">
        <f>IFERROR(IF(VLOOKUP(TableHandbook[[#This Row],[UDC]],TableAvailabilities[],4,FALSE)&gt;0,"Y",""),"")</f>
        <v/>
      </c>
      <c r="J93" s="172" t="str">
        <f>IFERROR(IF(VLOOKUP(TableHandbook[[#This Row],[UDC]],TableAvailabilities[],5,FALSE)&gt;0,"Y",""),"")</f>
        <v/>
      </c>
      <c r="K93" s="249"/>
      <c r="L93" s="269" t="str">
        <f>IFERROR(VLOOKUP(TableHandbook[[#This Row],[UDC]],TableOMTEACH1[],7,FALSE),"")</f>
        <v>AltCore</v>
      </c>
      <c r="M93" s="130" t="str">
        <f>IFERROR(VLOOKUP(TableHandbook[[#This Row],[UDC]],TableOUMPTCHEC[],7,FALSE),"")</f>
        <v/>
      </c>
      <c r="N93" s="130" t="str">
        <f>IFERROR(VLOOKUP(TableHandbook[[#This Row],[UDC]],TableOUMPTCHPE[],7,FALSE),"")</f>
        <v/>
      </c>
      <c r="O93" s="270" t="str">
        <f>IFERROR(VLOOKUP(TableHandbook[[#This Row],[UDC]],TableOUMPTCHSE[],7,FALSE),"")</f>
        <v/>
      </c>
      <c r="P93" s="271" t="str">
        <f>IFERROR(VLOOKUP(TableHandbook[[#This Row],[UDC]],TableOCTESOL1[],7,FALSE),"")</f>
        <v/>
      </c>
      <c r="Q93" s="187" t="str">
        <f>IFERROR(VLOOKUP(TableHandbook[[#This Row],[UDC]],TableOCTESOL[],7,FALSE),"")</f>
        <v/>
      </c>
      <c r="R93" s="272" t="str">
        <f>IFERROR(VLOOKUP(TableHandbook[[#This Row],[UDC]],TableOMAPLING[],7,FALSE),"")</f>
        <v/>
      </c>
      <c r="S93" s="271" t="str">
        <f>IFERROR(VLOOKUP(TableHandbook[[#This Row],[UDC]],TableOCEDHE1[],7,FALSE),"")</f>
        <v/>
      </c>
      <c r="T93" s="272" t="str">
        <f>IFERROR(VLOOKUP(TableHandbook[[#This Row],[UDC]],TableOCEDHE[],7,FALSE),"")</f>
        <v/>
      </c>
      <c r="U93" s="271" t="str">
        <f>IFERROR(VLOOKUP(TableHandbook[[#This Row],[UDC]],TableOCEDUCS1[],7,FALSE),"")</f>
        <v/>
      </c>
      <c r="V93" s="187" t="str">
        <f>IFERROR(VLOOKUP(TableHandbook[[#This Row],[UDC]],TableOCEDUC[],7,FALSE),"")</f>
        <v/>
      </c>
      <c r="W93" s="187" t="str">
        <f>IFERROR(VLOOKUP(TableHandbook[[#This Row],[UDC]],TableOGEDUC[],7,FALSE),"")</f>
        <v/>
      </c>
      <c r="X93" s="187" t="str">
        <f>IFERROR(VLOOKUP(TableHandbook[[#This Row],[UDC]],TableOUMPEDUPR[],7,FALSE),"")</f>
        <v/>
      </c>
      <c r="Y93" s="187" t="str">
        <f>IFERROR(VLOOKUP(TableHandbook[[#This Row],[UDC]],TableOUMPEDUSC[],7,FALSE),"")</f>
        <v/>
      </c>
      <c r="Z93" s="187" t="str">
        <f>IFERROR(VLOOKUP(TableHandbook[[#This Row],[UDC]],TableOMEDUC[],7,FALSE),"")</f>
        <v/>
      </c>
      <c r="AA93" s="187" t="str">
        <f>IFERROR(VLOOKUP(TableHandbook[[#This Row],[UDC]],TableOSEPCULIN[],7,FALSE),"")</f>
        <v/>
      </c>
      <c r="AB93" s="187" t="str">
        <f>IFERROR(VLOOKUP(TableHandbook[[#This Row],[UDC]],TableOSEPLNTCH[],7,FALSE),"")</f>
        <v/>
      </c>
      <c r="AC93" s="272" t="str">
        <f>IFERROR(VLOOKUP(TableHandbook[[#This Row],[UDC]],TableOSEPSTEME[],7,FALSE),"")</f>
        <v/>
      </c>
    </row>
    <row r="94" spans="1:29" x14ac:dyDescent="0.25">
      <c r="A94" s="3" t="s">
        <v>178</v>
      </c>
      <c r="B94" s="4">
        <v>2</v>
      </c>
      <c r="C94" s="3"/>
      <c r="D94" s="3" t="s">
        <v>36</v>
      </c>
      <c r="E94" s="4">
        <v>400</v>
      </c>
      <c r="F94" s="188"/>
      <c r="G94" s="120" t="str">
        <f>IFERROR(IF(VLOOKUP(TableHandbook[[#This Row],[UDC]],TableAvailabilities[],2,FALSE)&gt;0,"Y",""),"")</f>
        <v/>
      </c>
      <c r="H94" s="121" t="str">
        <f>IFERROR(IF(VLOOKUP(TableHandbook[[#This Row],[UDC]],TableAvailabilities[],3,FALSE)&gt;0,"Y",""),"")</f>
        <v/>
      </c>
      <c r="I94" s="121" t="str">
        <f>IFERROR(IF(VLOOKUP(TableHandbook[[#This Row],[UDC]],TableAvailabilities[],4,FALSE)&gt;0,"Y",""),"")</f>
        <v/>
      </c>
      <c r="J94" s="172" t="str">
        <f>IFERROR(IF(VLOOKUP(TableHandbook[[#This Row],[UDC]],TableAvailabilities[],5,FALSE)&gt;0,"Y",""),"")</f>
        <v/>
      </c>
      <c r="K94" s="249"/>
      <c r="L94" s="269" t="str">
        <f>IFERROR(VLOOKUP(TableHandbook[[#This Row],[UDC]],TableOMTEACH1[],7,FALSE),"")</f>
        <v>AltCore</v>
      </c>
      <c r="M94" s="130" t="str">
        <f>IFERROR(VLOOKUP(TableHandbook[[#This Row],[UDC]],TableOUMPTCHEC[],7,FALSE),"")</f>
        <v/>
      </c>
      <c r="N94" s="130" t="str">
        <f>IFERROR(VLOOKUP(TableHandbook[[#This Row],[UDC]],TableOUMPTCHPE[],7,FALSE),"")</f>
        <v/>
      </c>
      <c r="O94" s="270" t="str">
        <f>IFERROR(VLOOKUP(TableHandbook[[#This Row],[UDC]],TableOUMPTCHSE[],7,FALSE),"")</f>
        <v/>
      </c>
      <c r="P94" s="271" t="str">
        <f>IFERROR(VLOOKUP(TableHandbook[[#This Row],[UDC]],TableOCTESOL1[],7,FALSE),"")</f>
        <v/>
      </c>
      <c r="Q94" s="187" t="str">
        <f>IFERROR(VLOOKUP(TableHandbook[[#This Row],[UDC]],TableOCTESOL[],7,FALSE),"")</f>
        <v/>
      </c>
      <c r="R94" s="272" t="str">
        <f>IFERROR(VLOOKUP(TableHandbook[[#This Row],[UDC]],TableOMAPLING[],7,FALSE),"")</f>
        <v/>
      </c>
      <c r="S94" s="271" t="str">
        <f>IFERROR(VLOOKUP(TableHandbook[[#This Row],[UDC]],TableOCEDHE1[],7,FALSE),"")</f>
        <v/>
      </c>
      <c r="T94" s="272" t="str">
        <f>IFERROR(VLOOKUP(TableHandbook[[#This Row],[UDC]],TableOCEDHE[],7,FALSE),"")</f>
        <v/>
      </c>
      <c r="U94" s="271" t="str">
        <f>IFERROR(VLOOKUP(TableHandbook[[#This Row],[UDC]],TableOCEDUCS1[],7,FALSE),"")</f>
        <v/>
      </c>
      <c r="V94" s="187" t="str">
        <f>IFERROR(VLOOKUP(TableHandbook[[#This Row],[UDC]],TableOCEDUC[],7,FALSE),"")</f>
        <v/>
      </c>
      <c r="W94" s="187" t="str">
        <f>IFERROR(VLOOKUP(TableHandbook[[#This Row],[UDC]],TableOGEDUC[],7,FALSE),"")</f>
        <v/>
      </c>
      <c r="X94" s="187" t="str">
        <f>IFERROR(VLOOKUP(TableHandbook[[#This Row],[UDC]],TableOUMPEDUPR[],7,FALSE),"")</f>
        <v/>
      </c>
      <c r="Y94" s="187" t="str">
        <f>IFERROR(VLOOKUP(TableHandbook[[#This Row],[UDC]],TableOUMPEDUSC[],7,FALSE),"")</f>
        <v/>
      </c>
      <c r="Z94" s="187" t="str">
        <f>IFERROR(VLOOKUP(TableHandbook[[#This Row],[UDC]],TableOMEDUC[],7,FALSE),"")</f>
        <v/>
      </c>
      <c r="AA94" s="187" t="str">
        <f>IFERROR(VLOOKUP(TableHandbook[[#This Row],[UDC]],TableOSEPCULIN[],7,FALSE),"")</f>
        <v/>
      </c>
      <c r="AB94" s="187" t="str">
        <f>IFERROR(VLOOKUP(TableHandbook[[#This Row],[UDC]],TableOSEPLNTCH[],7,FALSE),"")</f>
        <v/>
      </c>
      <c r="AC94" s="272" t="str">
        <f>IFERROR(VLOOKUP(TableHandbook[[#This Row],[UDC]],TableOSEPSTEME[],7,FALSE),"")</f>
        <v/>
      </c>
    </row>
    <row r="95" spans="1:29" x14ac:dyDescent="0.25">
      <c r="A95" s="3" t="s">
        <v>183</v>
      </c>
      <c r="B95" s="4">
        <v>3</v>
      </c>
      <c r="C95" s="3"/>
      <c r="D95" s="3" t="s">
        <v>182</v>
      </c>
      <c r="E95" s="4">
        <v>400</v>
      </c>
      <c r="F95" s="188"/>
      <c r="G95" s="120" t="str">
        <f>IFERROR(IF(VLOOKUP(TableHandbook[[#This Row],[UDC]],TableAvailabilities[],2,FALSE)&gt;0,"Y",""),"")</f>
        <v/>
      </c>
      <c r="H95" s="121" t="str">
        <f>IFERROR(IF(VLOOKUP(TableHandbook[[#This Row],[UDC]],TableAvailabilities[],3,FALSE)&gt;0,"Y",""),"")</f>
        <v/>
      </c>
      <c r="I95" s="121" t="str">
        <f>IFERROR(IF(VLOOKUP(TableHandbook[[#This Row],[UDC]],TableAvailabilities[],4,FALSE)&gt;0,"Y",""),"")</f>
        <v/>
      </c>
      <c r="J95" s="172" t="str">
        <f>IFERROR(IF(VLOOKUP(TableHandbook[[#This Row],[UDC]],TableAvailabilities[],5,FALSE)&gt;0,"Y",""),"")</f>
        <v/>
      </c>
      <c r="K95" s="249"/>
      <c r="L95" s="269" t="str">
        <f>IFERROR(VLOOKUP(TableHandbook[[#This Row],[UDC]],TableOMTEACH1[],7,FALSE),"")</f>
        <v>AltCore</v>
      </c>
      <c r="M95" s="130" t="str">
        <f>IFERROR(VLOOKUP(TableHandbook[[#This Row],[UDC]],TableOUMPTCHEC[],7,FALSE),"")</f>
        <v/>
      </c>
      <c r="N95" s="130" t="str">
        <f>IFERROR(VLOOKUP(TableHandbook[[#This Row],[UDC]],TableOUMPTCHPE[],7,FALSE),"")</f>
        <v/>
      </c>
      <c r="O95" s="270" t="str">
        <f>IFERROR(VLOOKUP(TableHandbook[[#This Row],[UDC]],TableOUMPTCHSE[],7,FALSE),"")</f>
        <v/>
      </c>
      <c r="P95" s="271" t="str">
        <f>IFERROR(VLOOKUP(TableHandbook[[#This Row],[UDC]],TableOCTESOL1[],7,FALSE),"")</f>
        <v/>
      </c>
      <c r="Q95" s="187" t="str">
        <f>IFERROR(VLOOKUP(TableHandbook[[#This Row],[UDC]],TableOCTESOL[],7,FALSE),"")</f>
        <v/>
      </c>
      <c r="R95" s="272" t="str">
        <f>IFERROR(VLOOKUP(TableHandbook[[#This Row],[UDC]],TableOMAPLING[],7,FALSE),"")</f>
        <v/>
      </c>
      <c r="S95" s="271" t="str">
        <f>IFERROR(VLOOKUP(TableHandbook[[#This Row],[UDC]],TableOCEDHE1[],7,FALSE),"")</f>
        <v/>
      </c>
      <c r="T95" s="272" t="str">
        <f>IFERROR(VLOOKUP(TableHandbook[[#This Row],[UDC]],TableOCEDHE[],7,FALSE),"")</f>
        <v/>
      </c>
      <c r="U95" s="271" t="str">
        <f>IFERROR(VLOOKUP(TableHandbook[[#This Row],[UDC]],TableOCEDUCS1[],7,FALSE),"")</f>
        <v/>
      </c>
      <c r="V95" s="187" t="str">
        <f>IFERROR(VLOOKUP(TableHandbook[[#This Row],[UDC]],TableOCEDUC[],7,FALSE),"")</f>
        <v/>
      </c>
      <c r="W95" s="187" t="str">
        <f>IFERROR(VLOOKUP(TableHandbook[[#This Row],[UDC]],TableOGEDUC[],7,FALSE),"")</f>
        <v/>
      </c>
      <c r="X95" s="187" t="str">
        <f>IFERROR(VLOOKUP(TableHandbook[[#This Row],[UDC]],TableOUMPEDUPR[],7,FALSE),"")</f>
        <v/>
      </c>
      <c r="Y95" s="187" t="str">
        <f>IFERROR(VLOOKUP(TableHandbook[[#This Row],[UDC]],TableOUMPEDUSC[],7,FALSE),"")</f>
        <v/>
      </c>
      <c r="Z95" s="187" t="str">
        <f>IFERROR(VLOOKUP(TableHandbook[[#This Row],[UDC]],TableOMEDUC[],7,FALSE),"")</f>
        <v/>
      </c>
      <c r="AA95" s="187" t="str">
        <f>IFERROR(VLOOKUP(TableHandbook[[#This Row],[UDC]],TableOSEPCULIN[],7,FALSE),"")</f>
        <v/>
      </c>
      <c r="AB95" s="187" t="str">
        <f>IFERROR(VLOOKUP(TableHandbook[[#This Row],[UDC]],TableOSEPLNTCH[],7,FALSE),"")</f>
        <v/>
      </c>
      <c r="AC95" s="272" t="str">
        <f>IFERROR(VLOOKUP(TableHandbook[[#This Row],[UDC]],TableOSEPSTEME[],7,FALSE),"")</f>
        <v/>
      </c>
    </row>
    <row r="96" spans="1:29" x14ac:dyDescent="0.25">
      <c r="A96" s="3" t="s">
        <v>495</v>
      </c>
      <c r="B96" s="4"/>
      <c r="C96" s="3"/>
      <c r="D96" s="3" t="s">
        <v>480</v>
      </c>
      <c r="E96" s="4"/>
      <c r="F96" s="188"/>
      <c r="G96" s="120" t="str">
        <f>IFERROR(IF(VLOOKUP(TableHandbook[[#This Row],[UDC]],TableAvailabilities[],2,FALSE)&gt;0,"Y",""),"")</f>
        <v/>
      </c>
      <c r="H96" s="121" t="str">
        <f>IFERROR(IF(VLOOKUP(TableHandbook[[#This Row],[UDC]],TableAvailabilities[],3,FALSE)&gt;0,"Y",""),"")</f>
        <v/>
      </c>
      <c r="I96" s="121" t="str">
        <f>IFERROR(IF(VLOOKUP(TableHandbook[[#This Row],[UDC]],TableAvailabilities[],4,FALSE)&gt;0,"Y",""),"")</f>
        <v/>
      </c>
      <c r="J96" s="172" t="str">
        <f>IFERROR(IF(VLOOKUP(TableHandbook[[#This Row],[UDC]],TableAvailabilities[],5,FALSE)&gt;0,"Y",""),"")</f>
        <v/>
      </c>
      <c r="K96" s="249"/>
      <c r="L96" s="269" t="str">
        <f>IFERROR(VLOOKUP(TableHandbook[[#This Row],[UDC]],TableOMTEACH1[],7,FALSE),"")</f>
        <v/>
      </c>
      <c r="M96" s="130" t="str">
        <f>IFERROR(VLOOKUP(TableHandbook[[#This Row],[UDC]],TableOUMPTCHEC[],7,FALSE),"")</f>
        <v/>
      </c>
      <c r="N96" s="130" t="str">
        <f>IFERROR(VLOOKUP(TableHandbook[[#This Row],[UDC]],TableOUMPTCHPE[],7,FALSE),"")</f>
        <v/>
      </c>
      <c r="O96" s="270" t="str">
        <f>IFERROR(VLOOKUP(TableHandbook[[#This Row],[UDC]],TableOUMPTCHSE[],7,FALSE),"")</f>
        <v>Option</v>
      </c>
      <c r="P96" s="271" t="str">
        <f>IFERROR(VLOOKUP(TableHandbook[[#This Row],[UDC]],TableOCTESOL1[],7,FALSE),"")</f>
        <v/>
      </c>
      <c r="Q96" s="187" t="str">
        <f>IFERROR(VLOOKUP(TableHandbook[[#This Row],[UDC]],TableOCTESOL[],7,FALSE),"")</f>
        <v/>
      </c>
      <c r="R96" s="272" t="str">
        <f>IFERROR(VLOOKUP(TableHandbook[[#This Row],[UDC]],TableOMAPLING[],7,FALSE),"")</f>
        <v/>
      </c>
      <c r="S96" s="271" t="str">
        <f>IFERROR(VLOOKUP(TableHandbook[[#This Row],[UDC]],TableOCEDHE1[],7,FALSE),"")</f>
        <v/>
      </c>
      <c r="T96" s="272" t="str">
        <f>IFERROR(VLOOKUP(TableHandbook[[#This Row],[UDC]],TableOCEDHE[],7,FALSE),"")</f>
        <v/>
      </c>
      <c r="U96" s="271" t="str">
        <f>IFERROR(VLOOKUP(TableHandbook[[#This Row],[UDC]],TableOCEDUCS1[],7,FALSE),"")</f>
        <v/>
      </c>
      <c r="V96" s="187" t="str">
        <f>IFERROR(VLOOKUP(TableHandbook[[#This Row],[UDC]],TableOCEDUC[],7,FALSE),"")</f>
        <v/>
      </c>
      <c r="W96" s="187" t="str">
        <f>IFERROR(VLOOKUP(TableHandbook[[#This Row],[UDC]],TableOGEDUC[],7,FALSE),"")</f>
        <v/>
      </c>
      <c r="X96" s="187" t="str">
        <f>IFERROR(VLOOKUP(TableHandbook[[#This Row],[UDC]],TableOUMPEDUPR[],7,FALSE),"")</f>
        <v/>
      </c>
      <c r="Y96" s="187" t="str">
        <f>IFERROR(VLOOKUP(TableHandbook[[#This Row],[UDC]],TableOUMPEDUSC[],7,FALSE),"")</f>
        <v/>
      </c>
      <c r="Z96" s="187" t="str">
        <f>IFERROR(VLOOKUP(TableHandbook[[#This Row],[UDC]],TableOMEDUC[],7,FALSE),"")</f>
        <v/>
      </c>
      <c r="AA96" s="187" t="str">
        <f>IFERROR(VLOOKUP(TableHandbook[[#This Row],[UDC]],TableOSEPCULIN[],7,FALSE),"")</f>
        <v/>
      </c>
      <c r="AB96" s="187" t="str">
        <f>IFERROR(VLOOKUP(TableHandbook[[#This Row],[UDC]],TableOSEPLNTCH[],7,FALSE),"")</f>
        <v/>
      </c>
      <c r="AC96" s="272" t="str">
        <f>IFERROR(VLOOKUP(TableHandbook[[#This Row],[UDC]],TableOSEPSTEME[],7,FALSE),"")</f>
        <v/>
      </c>
    </row>
    <row r="97" spans="1:29" x14ac:dyDescent="0.25">
      <c r="A97" s="3" t="s">
        <v>168</v>
      </c>
      <c r="B97" s="4"/>
      <c r="C97" s="3"/>
      <c r="D97" s="3" t="s">
        <v>496</v>
      </c>
      <c r="E97" s="4">
        <v>25</v>
      </c>
      <c r="F97" s="188" t="s">
        <v>330</v>
      </c>
      <c r="G97" s="120" t="str">
        <f>IFERROR(IF(VLOOKUP(TableHandbook[[#This Row],[UDC]],TableAvailabilities[],2,FALSE)&gt;0,"Y",""),"")</f>
        <v/>
      </c>
      <c r="H97" s="121" t="str">
        <f>IFERROR(IF(VLOOKUP(TableHandbook[[#This Row],[UDC]],TableAvailabilities[],3,FALSE)&gt;0,"Y",""),"")</f>
        <v/>
      </c>
      <c r="I97" s="121" t="str">
        <f>IFERROR(IF(VLOOKUP(TableHandbook[[#This Row],[UDC]],TableAvailabilities[],4,FALSE)&gt;0,"Y",""),"")</f>
        <v/>
      </c>
      <c r="J97" s="172" t="str">
        <f>IFERROR(IF(VLOOKUP(TableHandbook[[#This Row],[UDC]],TableAvailabilities[],5,FALSE)&gt;0,"Y",""),"")</f>
        <v/>
      </c>
      <c r="K97" s="249"/>
      <c r="L97" s="269" t="str">
        <f>IFERROR(VLOOKUP(TableHandbook[[#This Row],[UDC]],TableOMTEACH1[],7,FALSE),"")</f>
        <v/>
      </c>
      <c r="M97" s="130" t="str">
        <f>IFERROR(VLOOKUP(TableHandbook[[#This Row],[UDC]],TableOUMPTCHEC[],7,FALSE),"")</f>
        <v/>
      </c>
      <c r="N97" s="130" t="str">
        <f>IFERROR(VLOOKUP(TableHandbook[[#This Row],[UDC]],TableOUMPTCHPE[],7,FALSE),"")</f>
        <v/>
      </c>
      <c r="O97" s="270" t="str">
        <f>IFERROR(VLOOKUP(TableHandbook[[#This Row],[UDC]],TableOUMPTCHSE[],7,FALSE),"")</f>
        <v/>
      </c>
      <c r="P97" s="271" t="str">
        <f>IFERROR(VLOOKUP(TableHandbook[[#This Row],[UDC]],TableOCTESOL1[],7,FALSE),"")</f>
        <v/>
      </c>
      <c r="Q97" s="187" t="str">
        <f>IFERROR(VLOOKUP(TableHandbook[[#This Row],[UDC]],TableOCTESOL[],7,FALSE),"")</f>
        <v/>
      </c>
      <c r="R97" s="272" t="str">
        <f>IFERROR(VLOOKUP(TableHandbook[[#This Row],[UDC]],TableOMAPLING[],7,FALSE),"")</f>
        <v/>
      </c>
      <c r="S97" s="271" t="str">
        <f>IFERROR(VLOOKUP(TableHandbook[[#This Row],[UDC]],TableOCEDHE1[],7,FALSE),"")</f>
        <v/>
      </c>
      <c r="T97" s="272" t="str">
        <f>IFERROR(VLOOKUP(TableHandbook[[#This Row],[UDC]],TableOCEDHE[],7,FALSE),"")</f>
        <v/>
      </c>
      <c r="U97" s="271" t="str">
        <f>IFERROR(VLOOKUP(TableHandbook[[#This Row],[UDC]],TableOCEDUCS1[],7,FALSE),"")</f>
        <v/>
      </c>
      <c r="V97" s="187" t="str">
        <f>IFERROR(VLOOKUP(TableHandbook[[#This Row],[UDC]],TableOCEDUC[],7,FALSE),"")</f>
        <v/>
      </c>
      <c r="W97" s="187" t="str">
        <f>IFERROR(VLOOKUP(TableHandbook[[#This Row],[UDC]],TableOGEDUC[],7,FALSE),"")</f>
        <v/>
      </c>
      <c r="X97" s="187" t="str">
        <f>IFERROR(VLOOKUP(TableHandbook[[#This Row],[UDC]],TableOUMPEDUPR[],7,FALSE),"")</f>
        <v/>
      </c>
      <c r="Y97" s="187" t="str">
        <f>IFERROR(VLOOKUP(TableHandbook[[#This Row],[UDC]],TableOUMPEDUSC[],7,FALSE),"")</f>
        <v/>
      </c>
      <c r="Z97" s="187" t="str">
        <f>IFERROR(VLOOKUP(TableHandbook[[#This Row],[UDC]],TableOMEDUC[],7,FALSE),"")</f>
        <v/>
      </c>
      <c r="AA97" s="187" t="str">
        <f>IFERROR(VLOOKUP(TableHandbook[[#This Row],[UDC]],TableOSEPCULIN[],7,FALSE),"")</f>
        <v/>
      </c>
      <c r="AB97" s="187" t="str">
        <f>IFERROR(VLOOKUP(TableHandbook[[#This Row],[UDC]],TableOSEPLNTCH[],7,FALSE),"")</f>
        <v/>
      </c>
      <c r="AC97" s="272" t="str">
        <f>IFERROR(VLOOKUP(TableHandbook[[#This Row],[UDC]],TableOSEPSTEME[],7,FALSE),"")</f>
        <v/>
      </c>
    </row>
    <row r="98" spans="1:29" x14ac:dyDescent="0.25">
      <c r="A98" s="3" t="s">
        <v>306</v>
      </c>
      <c r="B98" s="4"/>
      <c r="C98" s="3"/>
      <c r="D98" s="3" t="s">
        <v>497</v>
      </c>
      <c r="E98" s="4"/>
      <c r="F98" s="188"/>
      <c r="G98" s="120" t="str">
        <f>IFERROR(IF(VLOOKUP(TableHandbook[[#This Row],[UDC]],TableAvailabilities[],2,FALSE)&gt;0,"Y",""),"")</f>
        <v/>
      </c>
      <c r="H98" s="121" t="str">
        <f>IFERROR(IF(VLOOKUP(TableHandbook[[#This Row],[UDC]],TableAvailabilities[],3,FALSE)&gt;0,"Y",""),"")</f>
        <v/>
      </c>
      <c r="I98" s="121" t="str">
        <f>IFERROR(IF(VLOOKUP(TableHandbook[[#This Row],[UDC]],TableAvailabilities[],4,FALSE)&gt;0,"Y",""),"")</f>
        <v/>
      </c>
      <c r="J98" s="172" t="str">
        <f>IFERROR(IF(VLOOKUP(TableHandbook[[#This Row],[UDC]],TableAvailabilities[],5,FALSE)&gt;0,"Y",""),"")</f>
        <v/>
      </c>
      <c r="K98" s="249"/>
      <c r="L98" s="269" t="str">
        <f>IFERROR(VLOOKUP(TableHandbook[[#This Row],[UDC]],TableOMTEACH1[],7,FALSE),"")</f>
        <v/>
      </c>
      <c r="M98" s="130" t="str">
        <f>IFERROR(VLOOKUP(TableHandbook[[#This Row],[UDC]],TableOUMPTCHEC[],7,FALSE),"")</f>
        <v/>
      </c>
      <c r="N98" s="130" t="str">
        <f>IFERROR(VLOOKUP(TableHandbook[[#This Row],[UDC]],TableOUMPTCHPE[],7,FALSE),"")</f>
        <v/>
      </c>
      <c r="O98" s="270" t="str">
        <f>IFERROR(VLOOKUP(TableHandbook[[#This Row],[UDC]],TableOUMPTCHSE[],7,FALSE),"")</f>
        <v/>
      </c>
      <c r="P98" s="271" t="str">
        <f>IFERROR(VLOOKUP(TableHandbook[[#This Row],[UDC]],TableOCTESOL1[],7,FALSE),"")</f>
        <v/>
      </c>
      <c r="Q98" s="187" t="str">
        <f>IFERROR(VLOOKUP(TableHandbook[[#This Row],[UDC]],TableOCTESOL[],7,FALSE),"")</f>
        <v/>
      </c>
      <c r="R98" s="272" t="str">
        <f>IFERROR(VLOOKUP(TableHandbook[[#This Row],[UDC]],TableOMAPLING[],7,FALSE),"")</f>
        <v/>
      </c>
      <c r="S98" s="271" t="str">
        <f>IFERROR(VLOOKUP(TableHandbook[[#This Row],[UDC]],TableOCEDHE1[],7,FALSE),"")</f>
        <v/>
      </c>
      <c r="T98" s="272" t="str">
        <f>IFERROR(VLOOKUP(TableHandbook[[#This Row],[UDC]],TableOCEDHE[],7,FALSE),"")</f>
        <v/>
      </c>
      <c r="U98" s="271" t="str">
        <f>IFERROR(VLOOKUP(TableHandbook[[#This Row],[UDC]],TableOCEDUCS1[],7,FALSE),"")</f>
        <v/>
      </c>
      <c r="V98" s="187" t="str">
        <f>IFERROR(VLOOKUP(TableHandbook[[#This Row],[UDC]],TableOCEDUC[],7,FALSE),"")</f>
        <v/>
      </c>
      <c r="W98" s="187" t="str">
        <f>IFERROR(VLOOKUP(TableHandbook[[#This Row],[UDC]],TableOGEDUC[],7,FALSE),"")</f>
        <v/>
      </c>
      <c r="X98" s="187" t="str">
        <f>IFERROR(VLOOKUP(TableHandbook[[#This Row],[UDC]],TableOUMPEDUPR[],7,FALSE),"")</f>
        <v/>
      </c>
      <c r="Y98" s="187" t="str">
        <f>IFERROR(VLOOKUP(TableHandbook[[#This Row],[UDC]],TableOUMPEDUSC[],7,FALSE),"")</f>
        <v/>
      </c>
      <c r="Z98" s="187" t="str">
        <f>IFERROR(VLOOKUP(TableHandbook[[#This Row],[UDC]],TableOMEDUC[],7,FALSE),"")</f>
        <v/>
      </c>
      <c r="AA98" s="187" t="str">
        <f>IFERROR(VLOOKUP(TableHandbook[[#This Row],[UDC]],TableOSEPCULIN[],7,FALSE),"")</f>
        <v/>
      </c>
      <c r="AB98" s="187" t="str">
        <f>IFERROR(VLOOKUP(TableHandbook[[#This Row],[UDC]],TableOSEPLNTCH[],7,FALSE),"")</f>
        <v/>
      </c>
      <c r="AC98" s="272" t="str">
        <f>IFERROR(VLOOKUP(TableHandbook[[#This Row],[UDC]],TableOSEPSTEME[],7,FALSE),"")</f>
        <v/>
      </c>
    </row>
    <row r="99" spans="1:29" x14ac:dyDescent="0.25">
      <c r="A99" s="3" t="s">
        <v>270</v>
      </c>
      <c r="B99" s="4"/>
      <c r="C99" s="3"/>
      <c r="D99" s="3" t="s">
        <v>498</v>
      </c>
      <c r="E99" s="4">
        <v>25</v>
      </c>
      <c r="F99" s="188" t="s">
        <v>330</v>
      </c>
      <c r="G99" s="120" t="str">
        <f>IFERROR(IF(VLOOKUP(TableHandbook[[#This Row],[UDC]],TableAvailabilities[],2,FALSE)&gt;0,"Y",""),"")</f>
        <v/>
      </c>
      <c r="H99" s="121" t="str">
        <f>IFERROR(IF(VLOOKUP(TableHandbook[[#This Row],[UDC]],TableAvailabilities[],3,FALSE)&gt;0,"Y",""),"")</f>
        <v/>
      </c>
      <c r="I99" s="121" t="str">
        <f>IFERROR(IF(VLOOKUP(TableHandbook[[#This Row],[UDC]],TableAvailabilities[],4,FALSE)&gt;0,"Y",""),"")</f>
        <v/>
      </c>
      <c r="J99" s="172" t="str">
        <f>IFERROR(IF(VLOOKUP(TableHandbook[[#This Row],[UDC]],TableAvailabilities[],5,FALSE)&gt;0,"Y",""),"")</f>
        <v/>
      </c>
      <c r="K99" s="249"/>
      <c r="L99" s="269" t="str">
        <f>IFERROR(VLOOKUP(TableHandbook[[#This Row],[UDC]],TableOMTEACH1[],7,FALSE),"")</f>
        <v/>
      </c>
      <c r="M99" s="130" t="str">
        <f>IFERROR(VLOOKUP(TableHandbook[[#This Row],[UDC]],TableOUMPTCHEC[],7,FALSE),"")</f>
        <v/>
      </c>
      <c r="N99" s="130" t="str">
        <f>IFERROR(VLOOKUP(TableHandbook[[#This Row],[UDC]],TableOUMPTCHPE[],7,FALSE),"")</f>
        <v/>
      </c>
      <c r="O99" s="270" t="str">
        <f>IFERROR(VLOOKUP(TableHandbook[[#This Row],[UDC]],TableOUMPTCHSE[],7,FALSE),"")</f>
        <v/>
      </c>
      <c r="P99" s="271" t="str">
        <f>IFERROR(VLOOKUP(TableHandbook[[#This Row],[UDC]],TableOCTESOL1[],7,FALSE),"")</f>
        <v/>
      </c>
      <c r="Q99" s="187" t="str">
        <f>IFERROR(VLOOKUP(TableHandbook[[#This Row],[UDC]],TableOCTESOL[],7,FALSE),"")</f>
        <v/>
      </c>
      <c r="R99" s="272" t="str">
        <f>IFERROR(VLOOKUP(TableHandbook[[#This Row],[UDC]],TableOMAPLING[],7,FALSE),"")</f>
        <v/>
      </c>
      <c r="S99" s="271" t="str">
        <f>IFERROR(VLOOKUP(TableHandbook[[#This Row],[UDC]],TableOCEDHE1[],7,FALSE),"")</f>
        <v/>
      </c>
      <c r="T99" s="272" t="str">
        <f>IFERROR(VLOOKUP(TableHandbook[[#This Row],[UDC]],TableOCEDHE[],7,FALSE),"")</f>
        <v/>
      </c>
      <c r="U99" s="271" t="str">
        <f>IFERROR(VLOOKUP(TableHandbook[[#This Row],[UDC]],TableOCEDUCS1[],7,FALSE),"")</f>
        <v/>
      </c>
      <c r="V99" s="187" t="str">
        <f>IFERROR(VLOOKUP(TableHandbook[[#This Row],[UDC]],TableOCEDUC[],7,FALSE),"")</f>
        <v/>
      </c>
      <c r="W99" s="187" t="str">
        <f>IFERROR(VLOOKUP(TableHandbook[[#This Row],[UDC]],TableOGEDUC[],7,FALSE),"")</f>
        <v/>
      </c>
      <c r="X99" s="187" t="str">
        <f>IFERROR(VLOOKUP(TableHandbook[[#This Row],[UDC]],TableOUMPEDUPR[],7,FALSE),"")</f>
        <v/>
      </c>
      <c r="Y99" s="187" t="str">
        <f>IFERROR(VLOOKUP(TableHandbook[[#This Row],[UDC]],TableOUMPEDUSC[],7,FALSE),"")</f>
        <v/>
      </c>
      <c r="Z99" s="187" t="str">
        <f>IFERROR(VLOOKUP(TableHandbook[[#This Row],[UDC]],TableOMEDUC[],7,FALSE),"")</f>
        <v/>
      </c>
      <c r="AA99" s="187" t="str">
        <f>IFERROR(VLOOKUP(TableHandbook[[#This Row],[UDC]],TableOSEPCULIN[],7,FALSE),"")</f>
        <v/>
      </c>
      <c r="AB99" s="187" t="str">
        <f>IFERROR(VLOOKUP(TableHandbook[[#This Row],[UDC]],TableOSEPLNTCH[],7,FALSE),"")</f>
        <v/>
      </c>
      <c r="AC99" s="272" t="str">
        <f>IFERROR(VLOOKUP(TableHandbook[[#This Row],[UDC]],TableOSEPSTEME[],7,FALSE),"")</f>
        <v/>
      </c>
    </row>
    <row r="100" spans="1:29" x14ac:dyDescent="0.25">
      <c r="A100" s="3" t="s">
        <v>284</v>
      </c>
      <c r="B100" s="4"/>
      <c r="C100" s="3"/>
      <c r="D100" s="225" t="s">
        <v>499</v>
      </c>
      <c r="E100" s="4">
        <v>25</v>
      </c>
      <c r="F100" s="188" t="s">
        <v>330</v>
      </c>
      <c r="G100" s="120" t="str">
        <f>IFERROR(IF(VLOOKUP(TableHandbook[[#This Row],[UDC]],TableAvailabilities[],2,FALSE)&gt;0,"Y",""),"")</f>
        <v/>
      </c>
      <c r="H100" s="121" t="str">
        <f>IFERROR(IF(VLOOKUP(TableHandbook[[#This Row],[UDC]],TableAvailabilities[],3,FALSE)&gt;0,"Y",""),"")</f>
        <v/>
      </c>
      <c r="I100" s="121" t="str">
        <f>IFERROR(IF(VLOOKUP(TableHandbook[[#This Row],[UDC]],TableAvailabilities[],4,FALSE)&gt;0,"Y",""),"")</f>
        <v/>
      </c>
      <c r="J100" s="172" t="str">
        <f>IFERROR(IF(VLOOKUP(TableHandbook[[#This Row],[UDC]],TableAvailabilities[],5,FALSE)&gt;0,"Y",""),"")</f>
        <v/>
      </c>
      <c r="K100" s="249"/>
      <c r="L100" s="269" t="str">
        <f>IFERROR(VLOOKUP(TableHandbook[[#This Row],[UDC]],TableOMTEACH1[],7,FALSE),"")</f>
        <v/>
      </c>
      <c r="M100" s="130" t="str">
        <f>IFERROR(VLOOKUP(TableHandbook[[#This Row],[UDC]],TableOUMPTCHEC[],7,FALSE),"")</f>
        <v/>
      </c>
      <c r="N100" s="130" t="str">
        <f>IFERROR(VLOOKUP(TableHandbook[[#This Row],[UDC]],TableOUMPTCHPE[],7,FALSE),"")</f>
        <v/>
      </c>
      <c r="O100" s="270" t="str">
        <f>IFERROR(VLOOKUP(TableHandbook[[#This Row],[UDC]],TableOUMPTCHSE[],7,FALSE),"")</f>
        <v/>
      </c>
      <c r="P100" s="271" t="str">
        <f>IFERROR(VLOOKUP(TableHandbook[[#This Row],[UDC]],TableOCTESOL1[],7,FALSE),"")</f>
        <v/>
      </c>
      <c r="Q100" s="187" t="str">
        <f>IFERROR(VLOOKUP(TableHandbook[[#This Row],[UDC]],TableOCTESOL[],7,FALSE),"")</f>
        <v/>
      </c>
      <c r="R100" s="272" t="str">
        <f>IFERROR(VLOOKUP(TableHandbook[[#This Row],[UDC]],TableOMAPLING[],7,FALSE),"")</f>
        <v/>
      </c>
      <c r="S100" s="271" t="str">
        <f>IFERROR(VLOOKUP(TableHandbook[[#This Row],[UDC]],TableOCEDHE1[],7,FALSE),"")</f>
        <v/>
      </c>
      <c r="T100" s="272" t="str">
        <f>IFERROR(VLOOKUP(TableHandbook[[#This Row],[UDC]],TableOCEDHE[],7,FALSE),"")</f>
        <v/>
      </c>
      <c r="U100" s="271" t="str">
        <f>IFERROR(VLOOKUP(TableHandbook[[#This Row],[UDC]],TableOCEDUCS1[],7,FALSE),"")</f>
        <v/>
      </c>
      <c r="V100" s="187" t="str">
        <f>IFERROR(VLOOKUP(TableHandbook[[#This Row],[UDC]],TableOCEDUC[],7,FALSE),"")</f>
        <v/>
      </c>
      <c r="W100" s="187" t="str">
        <f>IFERROR(VLOOKUP(TableHandbook[[#This Row],[UDC]],TableOGEDUC[],7,FALSE),"")</f>
        <v/>
      </c>
      <c r="X100" s="187" t="str">
        <f>IFERROR(VLOOKUP(TableHandbook[[#This Row],[UDC]],TableOUMPEDUPR[],7,FALSE),"")</f>
        <v/>
      </c>
      <c r="Y100" s="187" t="str">
        <f>IFERROR(VLOOKUP(TableHandbook[[#This Row],[UDC]],TableOUMPEDUSC[],7,FALSE),"")</f>
        <v/>
      </c>
      <c r="Z100" s="187" t="str">
        <f>IFERROR(VLOOKUP(TableHandbook[[#This Row],[UDC]],TableOMEDUC[],7,FALSE),"")</f>
        <v/>
      </c>
      <c r="AA100" s="187" t="str">
        <f>IFERROR(VLOOKUP(TableHandbook[[#This Row],[UDC]],TableOSEPCULIN[],7,FALSE),"")</f>
        <v/>
      </c>
      <c r="AB100" s="187" t="str">
        <f>IFERROR(VLOOKUP(TableHandbook[[#This Row],[UDC]],TableOSEPLNTCH[],7,FALSE),"")</f>
        <v/>
      </c>
      <c r="AC100" s="272" t="str">
        <f>IFERROR(VLOOKUP(TableHandbook[[#This Row],[UDC]],TableOSEPSTEME[],7,FALSE),"")</f>
        <v/>
      </c>
    </row>
  </sheetData>
  <sortState ref="A24:D38">
    <sortCondition ref="A24"/>
  </sortState>
  <conditionalFormatting sqref="A4:A100">
    <cfRule type="duplicateValues" dxfId="282" priority="175"/>
  </conditionalFormatting>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229"/>
  <sheetViews>
    <sheetView zoomScale="70" zoomScaleNormal="70" workbookViewId="0">
      <pane ySplit="1" topLeftCell="A2" activePane="bottomLeft" state="frozen"/>
      <selection activeCell="D7" sqref="D7"/>
      <selection pane="bottomLeft" activeCell="D7" sqref="D7"/>
    </sheetView>
  </sheetViews>
  <sheetFormatPr defaultRowHeight="15.75" x14ac:dyDescent="0.25"/>
  <cols>
    <col min="1" max="1" width="13.5" customWidth="1"/>
    <col min="2" max="2" width="12.375" style="1" bestFit="1" customWidth="1"/>
    <col min="3" max="3" width="12" bestFit="1" customWidth="1"/>
    <col min="4" max="4" width="63.75" customWidth="1"/>
    <col min="5" max="5" width="8.625" style="1" bestFit="1" customWidth="1"/>
    <col min="6" max="6" width="6.5" bestFit="1" customWidth="1"/>
    <col min="7" max="7" width="18.5" bestFit="1" customWidth="1"/>
    <col min="8" max="8" width="12" bestFit="1" customWidth="1"/>
    <col min="9" max="9" width="14.5" bestFit="1" customWidth="1"/>
    <col min="10" max="10" width="27" bestFit="1" customWidth="1"/>
    <col min="11" max="11" width="6.25" bestFit="1" customWidth="1"/>
    <col min="12" max="12" width="42.375" bestFit="1" customWidth="1"/>
    <col min="13" max="13" width="14.375" bestFit="1" customWidth="1"/>
    <col min="14" max="14" width="11.25" bestFit="1" customWidth="1"/>
    <col min="15" max="15" width="10.875" bestFit="1" customWidth="1"/>
    <col min="17" max="17" width="13.75" customWidth="1"/>
    <col min="18" max="18" width="11.5" bestFit="1" customWidth="1"/>
  </cols>
  <sheetData>
    <row r="1" spans="1:18" x14ac:dyDescent="0.25">
      <c r="A1" s="80" t="s">
        <v>500</v>
      </c>
    </row>
    <row r="2" spans="1:18" x14ac:dyDescent="0.25">
      <c r="B2"/>
      <c r="E2"/>
      <c r="F2" s="115"/>
      <c r="G2" s="116" t="s">
        <v>501</v>
      </c>
      <c r="H2" s="277">
        <v>44562</v>
      </c>
      <c r="J2" s="276" t="s">
        <v>126</v>
      </c>
      <c r="K2" s="118" t="s">
        <v>105</v>
      </c>
      <c r="L2" s="175" t="s">
        <v>502</v>
      </c>
      <c r="M2" s="116"/>
      <c r="N2" s="116" t="s">
        <v>503</v>
      </c>
      <c r="O2" s="296">
        <v>45302</v>
      </c>
    </row>
    <row r="3" spans="1:18" x14ac:dyDescent="0.25">
      <c r="A3" t="s">
        <v>0</v>
      </c>
      <c r="B3" s="1" t="s">
        <v>79</v>
      </c>
      <c r="C3" t="s">
        <v>21</v>
      </c>
      <c r="D3" t="s">
        <v>3</v>
      </c>
      <c r="E3" s="119" t="s">
        <v>504</v>
      </c>
      <c r="F3" t="s">
        <v>505</v>
      </c>
      <c r="G3" t="s">
        <v>506</v>
      </c>
      <c r="H3" t="s">
        <v>507</v>
      </c>
      <c r="I3" t="s">
        <v>22</v>
      </c>
      <c r="J3" t="s">
        <v>508</v>
      </c>
      <c r="K3" t="s">
        <v>1</v>
      </c>
      <c r="L3" t="s">
        <v>62</v>
      </c>
      <c r="M3" t="s">
        <v>80</v>
      </c>
      <c r="N3" s="274" t="s">
        <v>509</v>
      </c>
      <c r="O3" s="274" t="s">
        <v>510</v>
      </c>
      <c r="Q3" t="s">
        <v>511</v>
      </c>
      <c r="R3" t="s">
        <v>512</v>
      </c>
    </row>
    <row r="4" spans="1:18" x14ac:dyDescent="0.25">
      <c r="A4" t="str">
        <f>TableOMTEACH1[[#This Row],[Study Package Code]]</f>
        <v/>
      </c>
      <c r="B4" s="1">
        <f>TableOMTEACH1[[#This Row],[Ver]]</f>
        <v>0</v>
      </c>
      <c r="D4" t="str">
        <f>TableOMTEACH1[[#This Row],[Structure Line]]</f>
        <v>Master of Teaching Major List</v>
      </c>
      <c r="E4" s="119">
        <f>TableOMTEACH1[[#This Row],[Credit Points]]</f>
        <v>400</v>
      </c>
      <c r="F4">
        <v>1</v>
      </c>
      <c r="G4" t="s">
        <v>513</v>
      </c>
      <c r="H4">
        <v>1</v>
      </c>
      <c r="I4" t="s">
        <v>514</v>
      </c>
      <c r="J4" t="s">
        <v>494</v>
      </c>
      <c r="K4">
        <v>0</v>
      </c>
      <c r="L4" t="s">
        <v>515</v>
      </c>
      <c r="M4">
        <v>400</v>
      </c>
      <c r="N4" s="275"/>
      <c r="O4" s="275"/>
      <c r="Q4" t="s">
        <v>494</v>
      </c>
      <c r="R4">
        <v>0</v>
      </c>
    </row>
    <row r="5" spans="1:18" x14ac:dyDescent="0.25">
      <c r="A5" t="str">
        <f>TableOMTEACH1[[#This Row],[Study Package Code]]</f>
        <v>OUMP-TCHEC</v>
      </c>
      <c r="B5" s="1">
        <f>TableOMTEACH1[[#This Row],[Ver]]</f>
        <v>2</v>
      </c>
      <c r="D5" t="str">
        <f>TableOMTEACH1[[#This Row],[Structure Line]]</f>
        <v>Early Childhood Education Major (MTeach OpenUnis)</v>
      </c>
      <c r="E5" s="119">
        <f>TableOMTEACH1[[#This Row],[Credit Points]]</f>
        <v>400</v>
      </c>
      <c r="G5" t="s">
        <v>513</v>
      </c>
      <c r="J5" t="s">
        <v>177</v>
      </c>
      <c r="K5">
        <v>2</v>
      </c>
      <c r="L5" t="s">
        <v>14</v>
      </c>
      <c r="M5">
        <v>400</v>
      </c>
      <c r="N5" s="275">
        <v>44562</v>
      </c>
      <c r="O5" s="275"/>
      <c r="Q5" t="s">
        <v>177</v>
      </c>
      <c r="R5">
        <v>2</v>
      </c>
    </row>
    <row r="6" spans="1:18" x14ac:dyDescent="0.25">
      <c r="A6" t="str">
        <f>TableOMTEACH1[[#This Row],[Study Package Code]]</f>
        <v>OUMP-TCHPE</v>
      </c>
      <c r="B6" s="1">
        <f>TableOMTEACH1[[#This Row],[Ver]]</f>
        <v>2</v>
      </c>
      <c r="D6" t="str">
        <f>TableOMTEACH1[[#This Row],[Structure Line]]</f>
        <v>Primary Education Major (MTeach OpenUnis)</v>
      </c>
      <c r="E6" s="119">
        <f>TableOMTEACH1[[#This Row],[Credit Points]]</f>
        <v>400</v>
      </c>
      <c r="G6" t="s">
        <v>513</v>
      </c>
      <c r="J6" t="s">
        <v>178</v>
      </c>
      <c r="K6">
        <v>2</v>
      </c>
      <c r="L6" t="s">
        <v>36</v>
      </c>
      <c r="M6">
        <v>400</v>
      </c>
      <c r="N6" s="275">
        <v>44562</v>
      </c>
      <c r="O6" s="275"/>
      <c r="Q6" t="s">
        <v>178</v>
      </c>
      <c r="R6">
        <v>2</v>
      </c>
    </row>
    <row r="7" spans="1:18" x14ac:dyDescent="0.25">
      <c r="A7" t="str">
        <f>TableOMTEACH1[[#This Row],[Study Package Code]]</f>
        <v>OUMP-TCHSE</v>
      </c>
      <c r="B7" s="1">
        <f>TableOMTEACH1[[#This Row],[Ver]]</f>
        <v>3</v>
      </c>
      <c r="D7" t="str">
        <f>TableOMTEACH1[[#This Row],[Structure Line]]</f>
        <v>Secondary Education Major (MTeach OpenUnis)</v>
      </c>
      <c r="E7" s="119">
        <f>TableOMTEACH1[[#This Row],[Credit Points]]</f>
        <v>400</v>
      </c>
      <c r="G7" t="s">
        <v>513</v>
      </c>
      <c r="J7" t="s">
        <v>183</v>
      </c>
      <c r="K7">
        <v>3</v>
      </c>
      <c r="L7" t="s">
        <v>182</v>
      </c>
      <c r="M7">
        <v>400</v>
      </c>
      <c r="N7" s="275">
        <v>44562</v>
      </c>
      <c r="O7" s="275"/>
      <c r="Q7" t="s">
        <v>183</v>
      </c>
      <c r="R7">
        <v>3</v>
      </c>
    </row>
    <row r="8" spans="1:18" x14ac:dyDescent="0.25">
      <c r="B8"/>
      <c r="E8"/>
      <c r="F8" s="115"/>
      <c r="G8" s="116" t="s">
        <v>501</v>
      </c>
      <c r="H8" s="277">
        <v>44562</v>
      </c>
      <c r="J8" s="276" t="s">
        <v>177</v>
      </c>
      <c r="K8" s="118" t="s">
        <v>105</v>
      </c>
      <c r="L8" s="175" t="s">
        <v>14</v>
      </c>
      <c r="N8" s="116" t="s">
        <v>503</v>
      </c>
      <c r="O8" s="296">
        <v>45302</v>
      </c>
    </row>
    <row r="9" spans="1:18" x14ac:dyDescent="0.25">
      <c r="A9" t="s">
        <v>0</v>
      </c>
      <c r="B9" s="1" t="s">
        <v>79</v>
      </c>
      <c r="C9" t="s">
        <v>21</v>
      </c>
      <c r="D9" t="s">
        <v>3</v>
      </c>
      <c r="E9" s="119" t="s">
        <v>504</v>
      </c>
      <c r="F9" t="s">
        <v>505</v>
      </c>
      <c r="G9" t="s">
        <v>506</v>
      </c>
      <c r="H9" t="s">
        <v>507</v>
      </c>
      <c r="I9" t="s">
        <v>22</v>
      </c>
      <c r="J9" t="s">
        <v>508</v>
      </c>
      <c r="K9" t="s">
        <v>1</v>
      </c>
      <c r="L9" t="s">
        <v>62</v>
      </c>
      <c r="M9" t="s">
        <v>80</v>
      </c>
      <c r="N9" s="274" t="s">
        <v>509</v>
      </c>
      <c r="O9" s="274" t="s">
        <v>510</v>
      </c>
      <c r="Q9" t="s">
        <v>511</v>
      </c>
      <c r="R9" t="s">
        <v>512</v>
      </c>
    </row>
    <row r="10" spans="1:18" x14ac:dyDescent="0.25">
      <c r="A10" t="str">
        <f>TableOUMPTCHEC[[#This Row],[Study Package Code]]</f>
        <v>EDUC5032</v>
      </c>
      <c r="B10" s="1">
        <f>TableOUMPTCHEC[[#This Row],[Ver]]</f>
        <v>1</v>
      </c>
      <c r="C10" t="str">
        <f>LEFT(TableOUMPTCHEC[[#This Row],[Structure Line]], FIND(" ", TableOUMPTCHEC[[#This Row],[Structure Line]])-1)</f>
        <v>MTC510</v>
      </c>
      <c r="D10" t="str">
        <f>MID(TableOUMPTCHEC[[#This Row],[Structure Line]],FIND(" ",TableOUMPTCHEC[[#This Row],[Structure Line]])+1,LEN(TableOUMPTCHEC[[#This Row],[Structure Line]]))</f>
        <v>Introduction to English: Reading</v>
      </c>
      <c r="E10" s="119">
        <f>TableOUMPTCHEC[[#This Row],[Credit Points]]</f>
        <v>25</v>
      </c>
      <c r="F10">
        <v>1</v>
      </c>
      <c r="G10" t="s">
        <v>516</v>
      </c>
      <c r="H10">
        <v>1</v>
      </c>
      <c r="I10" t="s">
        <v>514</v>
      </c>
      <c r="J10" t="s">
        <v>71</v>
      </c>
      <c r="K10">
        <v>1</v>
      </c>
      <c r="L10" t="s">
        <v>517</v>
      </c>
      <c r="M10">
        <v>25</v>
      </c>
      <c r="N10" s="275">
        <v>44562</v>
      </c>
      <c r="O10" s="275"/>
      <c r="Q10" t="s">
        <v>71</v>
      </c>
      <c r="R10">
        <v>1</v>
      </c>
    </row>
    <row r="11" spans="1:18" x14ac:dyDescent="0.25">
      <c r="A11" t="str">
        <f>TableOUMPTCHEC[[#This Row],[Study Package Code]]</f>
        <v>EDEC5013</v>
      </c>
      <c r="B11" s="1">
        <f>TableOUMPTCHEC[[#This Row],[Ver]]</f>
        <v>1</v>
      </c>
      <c r="C11" t="str">
        <f>LEFT(TableOUMPTCHEC[[#This Row],[Structure Line]], FIND(" ", TableOUMPTCHEC[[#This Row],[Structure Line]])-1)</f>
        <v>MTEC501</v>
      </c>
      <c r="D11" t="str">
        <f>MID(TableOUMPTCHEC[[#This Row],[Structure Line]],FIND(" ",TableOUMPTCHEC[[#This Row],[Structure Line]])+1,LEN(TableOUMPTCHEC[[#This Row],[Structure Line]]))</f>
        <v>Early Childhood Professional Experience 1: Planning and Documentation</v>
      </c>
      <c r="E11" s="119">
        <f>TableOUMPTCHEC[[#This Row],[Credit Points]]</f>
        <v>25</v>
      </c>
      <c r="F11">
        <v>2</v>
      </c>
      <c r="G11" t="s">
        <v>516</v>
      </c>
      <c r="H11">
        <v>1</v>
      </c>
      <c r="I11" t="s">
        <v>514</v>
      </c>
      <c r="J11" t="s">
        <v>88</v>
      </c>
      <c r="K11">
        <v>1</v>
      </c>
      <c r="L11" t="s">
        <v>518</v>
      </c>
      <c r="M11">
        <v>25</v>
      </c>
      <c r="N11" s="275">
        <v>43101</v>
      </c>
      <c r="O11" s="275"/>
      <c r="Q11" t="s">
        <v>88</v>
      </c>
      <c r="R11">
        <v>1</v>
      </c>
    </row>
    <row r="12" spans="1:18" x14ac:dyDescent="0.25">
      <c r="A12" t="str">
        <f>TableOUMPTCHEC[[#This Row],[Study Package Code]]</f>
        <v>EDEC5015</v>
      </c>
      <c r="B12" s="1">
        <f>TableOUMPTCHEC[[#This Row],[Ver]]</f>
        <v>2</v>
      </c>
      <c r="C12" t="str">
        <f>LEFT(TableOUMPTCHEC[[#This Row],[Structure Line]], FIND(" ", TableOUMPTCHEC[[#This Row],[Structure Line]])-1)</f>
        <v>MTEC502</v>
      </c>
      <c r="D12" t="str">
        <f>MID(TableOUMPTCHEC[[#This Row],[Structure Line]],FIND(" ",TableOUMPTCHEC[[#This Row],[Structure Line]])+1,LEN(TableOUMPTCHEC[[#This Row],[Structure Line]]))</f>
        <v>Early Childhood Professional Experience 2: Planning for Writing, Assessment and Reporting</v>
      </c>
      <c r="E12" s="119">
        <f>TableOUMPTCHEC[[#This Row],[Credit Points]]</f>
        <v>25</v>
      </c>
      <c r="F12">
        <v>3</v>
      </c>
      <c r="G12" t="s">
        <v>516</v>
      </c>
      <c r="H12">
        <v>1</v>
      </c>
      <c r="I12" t="s">
        <v>514</v>
      </c>
      <c r="J12" t="s">
        <v>97</v>
      </c>
      <c r="K12">
        <v>2</v>
      </c>
      <c r="L12" t="s">
        <v>519</v>
      </c>
      <c r="M12">
        <v>25</v>
      </c>
      <c r="N12" s="275">
        <v>44562</v>
      </c>
      <c r="O12" s="275"/>
      <c r="Q12" t="s">
        <v>97</v>
      </c>
      <c r="R12">
        <v>2</v>
      </c>
    </row>
    <row r="13" spans="1:18" x14ac:dyDescent="0.25">
      <c r="A13" t="str">
        <f>TableOUMPTCHEC[[#This Row],[Study Package Code]]</f>
        <v>EDEC5016</v>
      </c>
      <c r="B13" s="1">
        <f>TableOUMPTCHEC[[#This Row],[Ver]]</f>
        <v>1</v>
      </c>
      <c r="C13" t="str">
        <f>LEFT(TableOUMPTCHEC[[#This Row],[Structure Line]], FIND(" ", TableOUMPTCHEC[[#This Row],[Structure Line]])-1)</f>
        <v>MTEC503</v>
      </c>
      <c r="D13" t="str">
        <f>MID(TableOUMPTCHEC[[#This Row],[Structure Line]],FIND(" ",TableOUMPTCHEC[[#This Row],[Structure Line]])+1,LEN(TableOUMPTCHEC[[#This Row],[Structure Line]]))</f>
        <v>Numeracy for 5 to 8 Year-Olds</v>
      </c>
      <c r="E13" s="119">
        <f>TableOUMPTCHEC[[#This Row],[Credit Points]]</f>
        <v>25</v>
      </c>
      <c r="F13">
        <v>4</v>
      </c>
      <c r="G13" t="s">
        <v>516</v>
      </c>
      <c r="H13">
        <v>1</v>
      </c>
      <c r="I13" t="s">
        <v>514</v>
      </c>
      <c r="J13" t="s">
        <v>74</v>
      </c>
      <c r="K13">
        <v>1</v>
      </c>
      <c r="L13" t="s">
        <v>520</v>
      </c>
      <c r="M13">
        <v>25</v>
      </c>
      <c r="N13" s="275">
        <v>43101</v>
      </c>
      <c r="O13" s="275"/>
      <c r="Q13" t="s">
        <v>74</v>
      </c>
      <c r="R13">
        <v>1</v>
      </c>
    </row>
    <row r="14" spans="1:18" x14ac:dyDescent="0.25">
      <c r="A14" t="str">
        <f>TableOUMPTCHEC[[#This Row],[Study Package Code]]</f>
        <v>EDEC5020</v>
      </c>
      <c r="B14" s="1">
        <f>TableOUMPTCHEC[[#This Row],[Ver]]</f>
        <v>1</v>
      </c>
      <c r="C14" t="str">
        <f>LEFT(TableOUMPTCHEC[[#This Row],[Structure Line]], FIND(" ", TableOUMPTCHEC[[#This Row],[Structure Line]])-1)</f>
        <v>MTEC504</v>
      </c>
      <c r="D14" t="str">
        <f>MID(TableOUMPTCHEC[[#This Row],[Structure Line]],FIND(" ",TableOUMPTCHEC[[#This Row],[Structure Line]])+1,LEN(TableOUMPTCHEC[[#This Row],[Structure Line]]))</f>
        <v>Health, Safety and Physical Education in Early Childhood</v>
      </c>
      <c r="E14" s="119">
        <f>TableOUMPTCHEC[[#This Row],[Credit Points]]</f>
        <v>25</v>
      </c>
      <c r="F14">
        <v>5</v>
      </c>
      <c r="G14" t="s">
        <v>516</v>
      </c>
      <c r="H14">
        <v>1</v>
      </c>
      <c r="I14" t="s">
        <v>514</v>
      </c>
      <c r="J14" t="s">
        <v>75</v>
      </c>
      <c r="K14">
        <v>1</v>
      </c>
      <c r="L14" t="s">
        <v>521</v>
      </c>
      <c r="M14">
        <v>25</v>
      </c>
      <c r="N14" s="275">
        <v>43101</v>
      </c>
      <c r="O14" s="275"/>
      <c r="Q14" t="s">
        <v>75</v>
      </c>
      <c r="R14">
        <v>1</v>
      </c>
    </row>
    <row r="15" spans="1:18" x14ac:dyDescent="0.25">
      <c r="A15" t="str">
        <f>TableOUMPTCHEC[[#This Row],[Study Package Code]]</f>
        <v>EDEC5017</v>
      </c>
      <c r="B15" s="1">
        <f>TableOUMPTCHEC[[#This Row],[Ver]]</f>
        <v>1</v>
      </c>
      <c r="C15" t="str">
        <f>LEFT(TableOUMPTCHEC[[#This Row],[Structure Line]], FIND(" ", TableOUMPTCHEC[[#This Row],[Structure Line]])-1)</f>
        <v>MTEC507</v>
      </c>
      <c r="D15" t="str">
        <f>MID(TableOUMPTCHEC[[#This Row],[Structure Line]],FIND(" ",TableOUMPTCHEC[[#This Row],[Structure Line]])+1,LEN(TableOUMPTCHEC[[#This Row],[Structure Line]]))</f>
        <v>Family and Community Contexts</v>
      </c>
      <c r="E15" s="119">
        <f>TableOUMPTCHEC[[#This Row],[Credit Points]]</f>
        <v>25</v>
      </c>
      <c r="F15">
        <v>6</v>
      </c>
      <c r="G15" t="s">
        <v>516</v>
      </c>
      <c r="H15">
        <v>1</v>
      </c>
      <c r="I15" t="s">
        <v>514</v>
      </c>
      <c r="J15" t="s">
        <v>67</v>
      </c>
      <c r="K15">
        <v>1</v>
      </c>
      <c r="L15" t="s">
        <v>522</v>
      </c>
      <c r="M15">
        <v>25</v>
      </c>
      <c r="N15" s="275">
        <v>43101</v>
      </c>
      <c r="O15" s="275"/>
      <c r="Q15" t="s">
        <v>67</v>
      </c>
      <c r="R15">
        <v>1</v>
      </c>
    </row>
    <row r="16" spans="1:18" x14ac:dyDescent="0.25">
      <c r="A16" t="str">
        <f>TableOUMPTCHEC[[#This Row],[Study Package Code]]</f>
        <v>EDUC5013</v>
      </c>
      <c r="B16" s="1">
        <f>TableOUMPTCHEC[[#This Row],[Ver]]</f>
        <v>1</v>
      </c>
      <c r="C16" t="str">
        <f>LEFT(TableOUMPTCHEC[[#This Row],[Structure Line]], FIND(" ", TableOUMPTCHEC[[#This Row],[Structure Line]])-1)</f>
        <v>MTP503</v>
      </c>
      <c r="D16" t="str">
        <f>MID(TableOUMPTCHEC[[#This Row],[Structure Line]],FIND(" ",TableOUMPTCHEC[[#This Row],[Structure Line]])+1,LEN(TableOUMPTCHEC[[#This Row],[Structure Line]]))</f>
        <v>Developing Positive Learning Environments</v>
      </c>
      <c r="E16" s="119">
        <f>TableOUMPTCHEC[[#This Row],[Credit Points]]</f>
        <v>25</v>
      </c>
      <c r="F16">
        <v>7</v>
      </c>
      <c r="G16" t="s">
        <v>516</v>
      </c>
      <c r="H16">
        <v>1</v>
      </c>
      <c r="I16" t="s">
        <v>514</v>
      </c>
      <c r="J16" t="s">
        <v>70</v>
      </c>
      <c r="K16">
        <v>1</v>
      </c>
      <c r="L16" t="s">
        <v>523</v>
      </c>
      <c r="M16">
        <v>25</v>
      </c>
      <c r="N16" s="275">
        <v>42736</v>
      </c>
      <c r="O16" s="275"/>
      <c r="Q16" t="s">
        <v>70</v>
      </c>
      <c r="R16">
        <v>1</v>
      </c>
    </row>
    <row r="17" spans="1:18" x14ac:dyDescent="0.25">
      <c r="A17" t="str">
        <f>TableOUMPTCHEC[[#This Row],[Study Package Code]]</f>
        <v>EDUC5012</v>
      </c>
      <c r="B17" s="1">
        <f>TableOUMPTCHEC[[#This Row],[Ver]]</f>
        <v>2</v>
      </c>
      <c r="C17" t="str">
        <f>LEFT(TableOUMPTCHEC[[#This Row],[Structure Line]], FIND(" ", TableOUMPTCHEC[[#This Row],[Structure Line]])-1)</f>
        <v>MTPS500</v>
      </c>
      <c r="D17" t="str">
        <f>MID(TableOUMPTCHEC[[#This Row],[Structure Line]],FIND(" ",TableOUMPTCHEC[[#This Row],[Structure Line]])+1,LEN(TableOUMPTCHEC[[#This Row],[Structure Line]]))</f>
        <v>Theories of Development and Learning</v>
      </c>
      <c r="E17" s="119">
        <f>TableOUMPTCHEC[[#This Row],[Credit Points]]</f>
        <v>25</v>
      </c>
      <c r="F17">
        <v>8</v>
      </c>
      <c r="G17" t="s">
        <v>516</v>
      </c>
      <c r="H17">
        <v>1</v>
      </c>
      <c r="I17" t="s">
        <v>514</v>
      </c>
      <c r="J17" t="s">
        <v>65</v>
      </c>
      <c r="K17">
        <v>2</v>
      </c>
      <c r="L17" t="s">
        <v>524</v>
      </c>
      <c r="M17">
        <v>25</v>
      </c>
      <c r="N17" s="275">
        <v>44197</v>
      </c>
      <c r="O17" s="275"/>
      <c r="Q17" t="s">
        <v>65</v>
      </c>
      <c r="R17">
        <v>2</v>
      </c>
    </row>
    <row r="18" spans="1:18" x14ac:dyDescent="0.25">
      <c r="A18" t="str">
        <f>TableOUMPTCHEC[[#This Row],[Study Package Code]]</f>
        <v>EDUC6063</v>
      </c>
      <c r="B18" s="1">
        <f>TableOUMPTCHEC[[#This Row],[Ver]]</f>
        <v>1</v>
      </c>
      <c r="C18" t="str">
        <f>LEFT(TableOUMPTCHEC[[#This Row],[Structure Line]], FIND(" ", TableOUMPTCHEC[[#This Row],[Structure Line]])-1)</f>
        <v>MTC600</v>
      </c>
      <c r="D18" t="str">
        <f>MID(TableOUMPTCHEC[[#This Row],[Structure Line]],FIND(" ",TableOUMPTCHEC[[#This Row],[Structure Line]])+1,LEN(TableOUMPTCHEC[[#This Row],[Structure Line]]))</f>
        <v>Professional Experience 3: Using Data to Inform Teaching and Learning</v>
      </c>
      <c r="E18" s="119">
        <f>TableOUMPTCHEC[[#This Row],[Credit Points]]</f>
        <v>25</v>
      </c>
      <c r="F18">
        <v>9</v>
      </c>
      <c r="G18" t="s">
        <v>516</v>
      </c>
      <c r="H18">
        <v>2</v>
      </c>
      <c r="I18" t="s">
        <v>514</v>
      </c>
      <c r="J18" t="s">
        <v>119</v>
      </c>
      <c r="K18">
        <v>1</v>
      </c>
      <c r="L18" t="s">
        <v>525</v>
      </c>
      <c r="M18">
        <v>25</v>
      </c>
      <c r="N18" s="275">
        <v>44562</v>
      </c>
      <c r="O18" s="275"/>
      <c r="Q18" t="s">
        <v>119</v>
      </c>
      <c r="R18">
        <v>1</v>
      </c>
    </row>
    <row r="19" spans="1:18" x14ac:dyDescent="0.25">
      <c r="A19" t="str">
        <f>TableOUMPTCHEC[[#This Row],[Study Package Code]]</f>
        <v>EDUC6065</v>
      </c>
      <c r="B19" s="1">
        <f>TableOUMPTCHEC[[#This Row],[Ver]]</f>
        <v>1</v>
      </c>
      <c r="C19" t="str">
        <f>LEFT(TableOUMPTCHEC[[#This Row],[Structure Line]], FIND(" ", TableOUMPTCHEC[[#This Row],[Structure Line]])-1)</f>
        <v>MTC610</v>
      </c>
      <c r="D19" t="str">
        <f>MID(TableOUMPTCHEC[[#This Row],[Structure Line]],FIND(" ",TableOUMPTCHEC[[#This Row],[Structure Line]])+1,LEN(TableOUMPTCHEC[[#This Row],[Structure Line]]))</f>
        <v>Professional Experience 4: Transition into the Profession</v>
      </c>
      <c r="E19" s="119">
        <f>TableOUMPTCHEC[[#This Row],[Credit Points]]</f>
        <v>25</v>
      </c>
      <c r="F19">
        <v>10</v>
      </c>
      <c r="G19" t="s">
        <v>516</v>
      </c>
      <c r="H19">
        <v>2</v>
      </c>
      <c r="I19" t="s">
        <v>514</v>
      </c>
      <c r="J19" t="s">
        <v>129</v>
      </c>
      <c r="K19">
        <v>1</v>
      </c>
      <c r="L19" t="s">
        <v>526</v>
      </c>
      <c r="M19">
        <v>25</v>
      </c>
      <c r="N19" s="275">
        <v>44562</v>
      </c>
      <c r="O19" s="275"/>
      <c r="Q19" t="s">
        <v>129</v>
      </c>
      <c r="R19">
        <v>1</v>
      </c>
    </row>
    <row r="20" spans="1:18" x14ac:dyDescent="0.25">
      <c r="A20" t="str">
        <f>TableOUMPTCHEC[[#This Row],[Study Package Code]]</f>
        <v>EDEC5012</v>
      </c>
      <c r="B20" s="1">
        <f>TableOUMPTCHEC[[#This Row],[Ver]]</f>
        <v>1</v>
      </c>
      <c r="C20" t="str">
        <f>LEFT(TableOUMPTCHEC[[#This Row],[Structure Line]], FIND(" ", TableOUMPTCHEC[[#This Row],[Structure Line]])-1)</f>
        <v>MTEC506</v>
      </c>
      <c r="D20" t="str">
        <f>MID(TableOUMPTCHEC[[#This Row],[Structure Line]],FIND(" ",TableOUMPTCHEC[[#This Row],[Structure Line]])+1,LEN(TableOUMPTCHEC[[#This Row],[Structure Line]]))</f>
        <v>Numeracy for Birth to 4 Year-Olds</v>
      </c>
      <c r="E20" s="119">
        <f>TableOUMPTCHEC[[#This Row],[Credit Points]]</f>
        <v>25</v>
      </c>
      <c r="F20">
        <v>11</v>
      </c>
      <c r="G20" t="s">
        <v>516</v>
      </c>
      <c r="H20">
        <v>2</v>
      </c>
      <c r="I20" t="s">
        <v>514</v>
      </c>
      <c r="J20" t="s">
        <v>117</v>
      </c>
      <c r="K20">
        <v>1</v>
      </c>
      <c r="L20" t="s">
        <v>527</v>
      </c>
      <c r="M20">
        <v>25</v>
      </c>
      <c r="N20" s="275">
        <v>43101</v>
      </c>
      <c r="O20" s="275"/>
      <c r="Q20" t="s">
        <v>117</v>
      </c>
      <c r="R20">
        <v>1</v>
      </c>
    </row>
    <row r="21" spans="1:18" x14ac:dyDescent="0.25">
      <c r="A21" t="str">
        <f>TableOUMPTCHEC[[#This Row],[Study Package Code]]</f>
        <v>EDEC5019</v>
      </c>
      <c r="B21" s="1">
        <f>TableOUMPTCHEC[[#This Row],[Ver]]</f>
        <v>1</v>
      </c>
      <c r="C21" t="str">
        <f>LEFT(TableOUMPTCHEC[[#This Row],[Structure Line]], FIND(" ", TableOUMPTCHEC[[#This Row],[Structure Line]])-1)</f>
        <v>MTEC508</v>
      </c>
      <c r="D21" t="str">
        <f>MID(TableOUMPTCHEC[[#This Row],[Structure Line]],FIND(" ",TableOUMPTCHEC[[#This Row],[Structure Line]])+1,LEN(TableOUMPTCHEC[[#This Row],[Structure Line]]))</f>
        <v>Humanities and Science in Early Childhood</v>
      </c>
      <c r="E21" s="119">
        <f>TableOUMPTCHEC[[#This Row],[Credit Points]]</f>
        <v>25</v>
      </c>
      <c r="F21">
        <v>12</v>
      </c>
      <c r="G21" t="s">
        <v>516</v>
      </c>
      <c r="H21">
        <v>2</v>
      </c>
      <c r="I21" t="s">
        <v>514</v>
      </c>
      <c r="J21" t="s">
        <v>73</v>
      </c>
      <c r="K21">
        <v>1</v>
      </c>
      <c r="L21" t="s">
        <v>528</v>
      </c>
      <c r="M21">
        <v>25</v>
      </c>
      <c r="N21" s="275">
        <v>43101</v>
      </c>
      <c r="O21" s="275"/>
      <c r="Q21" t="s">
        <v>73</v>
      </c>
      <c r="R21">
        <v>1</v>
      </c>
    </row>
    <row r="22" spans="1:18" x14ac:dyDescent="0.25">
      <c r="A22" t="str">
        <f>TableOUMPTCHEC[[#This Row],[Study Package Code]]</f>
        <v>EDEC5018</v>
      </c>
      <c r="B22" s="1">
        <f>TableOUMPTCHEC[[#This Row],[Ver]]</f>
        <v>1</v>
      </c>
      <c r="C22" t="str">
        <f>LEFT(TableOUMPTCHEC[[#This Row],[Structure Line]], FIND(" ", TableOUMPTCHEC[[#This Row],[Structure Line]])-1)</f>
        <v>MTEC509</v>
      </c>
      <c r="D22" t="str">
        <f>MID(TableOUMPTCHEC[[#This Row],[Structure Line]],FIND(" ",TableOUMPTCHEC[[#This Row],[Structure Line]])+1,LEN(TableOUMPTCHEC[[#This Row],[Structure Line]]))</f>
        <v>Creative and Media Arts in Early Childhood</v>
      </c>
      <c r="E22" s="119">
        <f>TableOUMPTCHEC[[#This Row],[Credit Points]]</f>
        <v>25</v>
      </c>
      <c r="F22">
        <v>13</v>
      </c>
      <c r="G22" t="s">
        <v>516</v>
      </c>
      <c r="H22">
        <v>2</v>
      </c>
      <c r="I22" t="s">
        <v>514</v>
      </c>
      <c r="J22" t="s">
        <v>102</v>
      </c>
      <c r="K22">
        <v>1</v>
      </c>
      <c r="L22" t="s">
        <v>529</v>
      </c>
      <c r="M22">
        <v>25</v>
      </c>
      <c r="N22" s="275">
        <v>43101</v>
      </c>
      <c r="O22" s="275"/>
      <c r="Q22" t="s">
        <v>102</v>
      </c>
      <c r="R22">
        <v>1</v>
      </c>
    </row>
    <row r="23" spans="1:18" x14ac:dyDescent="0.25">
      <c r="A23" t="str">
        <f>TableOUMPTCHEC[[#This Row],[Study Package Code]]</f>
        <v>EDEC6002</v>
      </c>
      <c r="B23" s="1">
        <f>TableOUMPTCHEC[[#This Row],[Ver]]</f>
        <v>1</v>
      </c>
      <c r="C23" t="str">
        <f>LEFT(TableOUMPTCHEC[[#This Row],[Structure Line]], FIND(" ", TableOUMPTCHEC[[#This Row],[Structure Line]])-1)</f>
        <v>MTEC600</v>
      </c>
      <c r="D23" t="str">
        <f>MID(TableOUMPTCHEC[[#This Row],[Structure Line]],FIND(" ",TableOUMPTCHEC[[#This Row],[Structure Line]])+1,LEN(TableOUMPTCHEC[[#This Row],[Structure Line]]))</f>
        <v>Early Literacies and Play-Based Pedagogies</v>
      </c>
      <c r="E23" s="119">
        <f>TableOUMPTCHEC[[#This Row],[Credit Points]]</f>
        <v>25</v>
      </c>
      <c r="F23">
        <v>14</v>
      </c>
      <c r="G23" t="s">
        <v>516</v>
      </c>
      <c r="H23">
        <v>2</v>
      </c>
      <c r="I23" t="s">
        <v>514</v>
      </c>
      <c r="J23" t="s">
        <v>110</v>
      </c>
      <c r="K23">
        <v>1</v>
      </c>
      <c r="L23" t="s">
        <v>530</v>
      </c>
      <c r="M23">
        <v>25</v>
      </c>
      <c r="N23" s="275">
        <v>44562</v>
      </c>
      <c r="O23" s="275"/>
      <c r="Q23" t="s">
        <v>110</v>
      </c>
      <c r="R23">
        <v>1</v>
      </c>
    </row>
    <row r="24" spans="1:18" x14ac:dyDescent="0.25">
      <c r="A24" t="str">
        <f>TableOUMPTCHEC[[#This Row],[Study Package Code]]</f>
        <v>EDEC6004</v>
      </c>
      <c r="B24" s="1">
        <f>TableOUMPTCHEC[[#This Row],[Ver]]</f>
        <v>1</v>
      </c>
      <c r="C24" t="str">
        <f>LEFT(TableOUMPTCHEC[[#This Row],[Structure Line]], FIND(" ", TableOUMPTCHEC[[#This Row],[Structure Line]])-1)</f>
        <v>MTEC610</v>
      </c>
      <c r="D24" t="str">
        <f>MID(TableOUMPTCHEC[[#This Row],[Structure Line]],FIND(" ",TableOUMPTCHEC[[#This Row],[Structure Line]])+1,LEN(TableOUMPTCHEC[[#This Row],[Structure Line]]))</f>
        <v>Philosophy, Management and Leadership in Early Childhood Education and Care</v>
      </c>
      <c r="E24" s="119">
        <f>TableOUMPTCHEC[[#This Row],[Credit Points]]</f>
        <v>25</v>
      </c>
      <c r="F24">
        <v>15</v>
      </c>
      <c r="G24" t="s">
        <v>516</v>
      </c>
      <c r="H24">
        <v>2</v>
      </c>
      <c r="I24" t="s">
        <v>514</v>
      </c>
      <c r="J24" t="s">
        <v>118</v>
      </c>
      <c r="K24">
        <v>1</v>
      </c>
      <c r="L24" t="s">
        <v>531</v>
      </c>
      <c r="M24">
        <v>25</v>
      </c>
      <c r="N24" s="275">
        <v>44562</v>
      </c>
      <c r="O24" s="275"/>
      <c r="Q24" t="s">
        <v>118</v>
      </c>
      <c r="R24">
        <v>1</v>
      </c>
    </row>
    <row r="25" spans="1:18" x14ac:dyDescent="0.25">
      <c r="A25" t="str">
        <f>TableOUMPTCHEC[[#This Row],[Study Package Code]]</f>
        <v>EDUC5017</v>
      </c>
      <c r="B25" s="1">
        <f>TableOUMPTCHEC[[#This Row],[Ver]]</f>
        <v>1</v>
      </c>
      <c r="C25" t="str">
        <f>LEFT(TableOUMPTCHEC[[#This Row],[Structure Line]], FIND(" ", TableOUMPTCHEC[[#This Row],[Structure Line]])-1)</f>
        <v>MTPS504</v>
      </c>
      <c r="D25" t="str">
        <f>MID(TableOUMPTCHEC[[#This Row],[Structure Line]],FIND(" ",TableOUMPTCHEC[[#This Row],[Structure Line]])+1,LEN(TableOUMPTCHEC[[#This Row],[Structure Line]]))</f>
        <v>Creative Technologies</v>
      </c>
      <c r="E25" s="119">
        <f>TableOUMPTCHEC[[#This Row],[Credit Points]]</f>
        <v>25</v>
      </c>
      <c r="F25">
        <v>16</v>
      </c>
      <c r="G25" t="s">
        <v>516</v>
      </c>
      <c r="H25">
        <v>2</v>
      </c>
      <c r="I25" t="s">
        <v>514</v>
      </c>
      <c r="J25" t="s">
        <v>93</v>
      </c>
      <c r="K25">
        <v>1</v>
      </c>
      <c r="L25" t="s">
        <v>532</v>
      </c>
      <c r="M25">
        <v>25</v>
      </c>
      <c r="N25" s="275">
        <v>42736</v>
      </c>
      <c r="O25" s="275"/>
      <c r="Q25" t="s">
        <v>93</v>
      </c>
      <c r="R25">
        <v>1</v>
      </c>
    </row>
    <row r="26" spans="1:18" x14ac:dyDescent="0.25">
      <c r="B26"/>
      <c r="E26"/>
      <c r="F26" s="115"/>
      <c r="G26" s="116" t="s">
        <v>501</v>
      </c>
      <c r="H26" s="277">
        <v>44562</v>
      </c>
      <c r="J26" s="276" t="s">
        <v>178</v>
      </c>
      <c r="K26" s="118" t="s">
        <v>105</v>
      </c>
      <c r="L26" s="175" t="s">
        <v>36</v>
      </c>
      <c r="N26" s="116" t="s">
        <v>503</v>
      </c>
      <c r="O26" s="296">
        <v>45302</v>
      </c>
    </row>
    <row r="27" spans="1:18" x14ac:dyDescent="0.25">
      <c r="A27" t="s">
        <v>0</v>
      </c>
      <c r="B27" s="1" t="s">
        <v>79</v>
      </c>
      <c r="C27" t="s">
        <v>21</v>
      </c>
      <c r="D27" t="s">
        <v>3</v>
      </c>
      <c r="E27" s="119" t="s">
        <v>504</v>
      </c>
      <c r="F27" t="s">
        <v>505</v>
      </c>
      <c r="G27" t="s">
        <v>506</v>
      </c>
      <c r="H27" t="s">
        <v>507</v>
      </c>
      <c r="I27" t="s">
        <v>22</v>
      </c>
      <c r="J27" t="s">
        <v>508</v>
      </c>
      <c r="K27" t="s">
        <v>1</v>
      </c>
      <c r="L27" t="s">
        <v>62</v>
      </c>
      <c r="M27" t="s">
        <v>80</v>
      </c>
      <c r="N27" s="274" t="s">
        <v>509</v>
      </c>
      <c r="O27" s="274" t="s">
        <v>510</v>
      </c>
      <c r="Q27" t="s">
        <v>511</v>
      </c>
      <c r="R27" t="s">
        <v>512</v>
      </c>
    </row>
    <row r="28" spans="1:18" x14ac:dyDescent="0.25">
      <c r="A28" t="str">
        <f>TableOUMPTCHPE[[#This Row],[Study Package Code]]</f>
        <v>EDUC5032</v>
      </c>
      <c r="B28" s="1">
        <f>TableOUMPTCHPE[[#This Row],[Ver]]</f>
        <v>1</v>
      </c>
      <c r="C28" t="str">
        <f>LEFT(TableOUMPTCHPE[[#This Row],[Structure Line]], FIND(" ", TableOUMPTCHPE[[#This Row],[Structure Line]])-1)</f>
        <v>MTC510</v>
      </c>
      <c r="D28" t="str">
        <f>MID(TableOUMPTCHPE[[#This Row],[Structure Line]],FIND(" ",TableOUMPTCHPE[[#This Row],[Structure Line]])+1,LEN(TableOUMPTCHPE[[#This Row],[Structure Line]]))</f>
        <v>Introduction to English: Reading</v>
      </c>
      <c r="E28" s="119">
        <f>TableOUMPTCHPE[[#This Row],[Credit Points]]</f>
        <v>25</v>
      </c>
      <c r="F28">
        <v>1</v>
      </c>
      <c r="G28" t="s">
        <v>516</v>
      </c>
      <c r="H28">
        <v>1</v>
      </c>
      <c r="I28" t="s">
        <v>514</v>
      </c>
      <c r="J28" t="s">
        <v>71</v>
      </c>
      <c r="K28">
        <v>1</v>
      </c>
      <c r="L28" t="s">
        <v>517</v>
      </c>
      <c r="M28">
        <v>25</v>
      </c>
      <c r="N28" s="275">
        <v>44562</v>
      </c>
      <c r="O28" s="275"/>
      <c r="Q28" t="s">
        <v>71</v>
      </c>
      <c r="R28">
        <v>1</v>
      </c>
    </row>
    <row r="29" spans="1:18" x14ac:dyDescent="0.25">
      <c r="A29" t="str">
        <f>TableOUMPTCHPE[[#This Row],[Study Package Code]]</f>
        <v>EDPR5010</v>
      </c>
      <c r="B29" s="1">
        <f>TableOUMPTCHPE[[#This Row],[Ver]]</f>
        <v>1</v>
      </c>
      <c r="C29" t="str">
        <f>LEFT(TableOUMPTCHPE[[#This Row],[Structure Line]], FIND(" ", TableOUMPTCHPE[[#This Row],[Structure Line]])-1)</f>
        <v>MTP501</v>
      </c>
      <c r="D29" t="str">
        <f>MID(TableOUMPTCHPE[[#This Row],[Structure Line]],FIND(" ",TableOUMPTCHPE[[#This Row],[Structure Line]])+1,LEN(TableOUMPTCHPE[[#This Row],[Structure Line]]))</f>
        <v>Teaching Number, Algebra and Probability in the Primary Years</v>
      </c>
      <c r="E29" s="119">
        <f>TableOUMPTCHPE[[#This Row],[Credit Points]]</f>
        <v>25</v>
      </c>
      <c r="F29">
        <v>2</v>
      </c>
      <c r="G29" t="s">
        <v>516</v>
      </c>
      <c r="H29">
        <v>1</v>
      </c>
      <c r="I29" t="s">
        <v>514</v>
      </c>
      <c r="J29" t="s">
        <v>77</v>
      </c>
      <c r="K29">
        <v>1</v>
      </c>
      <c r="L29" t="s">
        <v>533</v>
      </c>
      <c r="M29">
        <v>25</v>
      </c>
      <c r="N29" s="275">
        <v>42736</v>
      </c>
      <c r="O29" s="275"/>
      <c r="Q29" t="s">
        <v>77</v>
      </c>
      <c r="R29">
        <v>1</v>
      </c>
    </row>
    <row r="30" spans="1:18" x14ac:dyDescent="0.25">
      <c r="A30" t="str">
        <f>TableOUMPTCHPE[[#This Row],[Study Package Code]]</f>
        <v>EDPR5011</v>
      </c>
      <c r="B30" s="1">
        <f>TableOUMPTCHPE[[#This Row],[Ver]]</f>
        <v>3</v>
      </c>
      <c r="C30" t="str">
        <f>LEFT(TableOUMPTCHPE[[#This Row],[Structure Line]], FIND(" ", TableOUMPTCHPE[[#This Row],[Structure Line]])-1)</f>
        <v>MTP502</v>
      </c>
      <c r="D30" t="str">
        <f>MID(TableOUMPTCHPE[[#This Row],[Structure Line]],FIND(" ",TableOUMPTCHPE[[#This Row],[Structure Line]])+1,LEN(TableOUMPTCHPE[[#This Row],[Structure Line]]))</f>
        <v>Primary Professional Experience 1: Planning for Writing</v>
      </c>
      <c r="E30" s="119">
        <f>TableOUMPTCHPE[[#This Row],[Credit Points]]</f>
        <v>25</v>
      </c>
      <c r="F30">
        <v>3</v>
      </c>
      <c r="G30" t="s">
        <v>516</v>
      </c>
      <c r="H30">
        <v>1</v>
      </c>
      <c r="I30" t="s">
        <v>514</v>
      </c>
      <c r="J30" t="s">
        <v>89</v>
      </c>
      <c r="K30">
        <v>3</v>
      </c>
      <c r="L30" t="s">
        <v>534</v>
      </c>
      <c r="M30">
        <v>25</v>
      </c>
      <c r="N30" s="275">
        <v>44562</v>
      </c>
      <c r="O30" s="275"/>
      <c r="Q30" t="s">
        <v>89</v>
      </c>
      <c r="R30">
        <v>3</v>
      </c>
    </row>
    <row r="31" spans="1:18" x14ac:dyDescent="0.25">
      <c r="A31" t="str">
        <f>TableOUMPTCHPE[[#This Row],[Study Package Code]]</f>
        <v>EDUC5013</v>
      </c>
      <c r="B31" s="1">
        <f>TableOUMPTCHPE[[#This Row],[Ver]]</f>
        <v>1</v>
      </c>
      <c r="C31" t="str">
        <f>LEFT(TableOUMPTCHPE[[#This Row],[Structure Line]], FIND(" ", TableOUMPTCHPE[[#This Row],[Structure Line]])-1)</f>
        <v>MTP503</v>
      </c>
      <c r="D31" t="str">
        <f>MID(TableOUMPTCHPE[[#This Row],[Structure Line]],FIND(" ",TableOUMPTCHPE[[#This Row],[Structure Line]])+1,LEN(TableOUMPTCHPE[[#This Row],[Structure Line]]))</f>
        <v>Developing Positive Learning Environments</v>
      </c>
      <c r="E31" s="119">
        <f>TableOUMPTCHPE[[#This Row],[Credit Points]]</f>
        <v>25</v>
      </c>
      <c r="F31">
        <v>4</v>
      </c>
      <c r="G31" t="s">
        <v>516</v>
      </c>
      <c r="H31">
        <v>1</v>
      </c>
      <c r="I31" t="s">
        <v>514</v>
      </c>
      <c r="J31" t="s">
        <v>70</v>
      </c>
      <c r="K31">
        <v>1</v>
      </c>
      <c r="L31" t="s">
        <v>523</v>
      </c>
      <c r="M31">
        <v>25</v>
      </c>
      <c r="N31" s="275">
        <v>42736</v>
      </c>
      <c r="O31" s="275"/>
      <c r="Q31" t="s">
        <v>70</v>
      </c>
      <c r="R31">
        <v>1</v>
      </c>
    </row>
    <row r="32" spans="1:18" x14ac:dyDescent="0.25">
      <c r="A32" t="str">
        <f>TableOUMPTCHPE[[#This Row],[Study Package Code]]</f>
        <v>EDPR5012</v>
      </c>
      <c r="B32" s="1">
        <f>TableOUMPTCHPE[[#This Row],[Ver]]</f>
        <v>1</v>
      </c>
      <c r="C32" t="str">
        <f>LEFT(TableOUMPTCHPE[[#This Row],[Structure Line]], FIND(" ", TableOUMPTCHPE[[#This Row],[Structure Line]])-1)</f>
        <v>MTP505</v>
      </c>
      <c r="D32" t="str">
        <f>MID(TableOUMPTCHPE[[#This Row],[Structure Line]],FIND(" ",TableOUMPTCHPE[[#This Row],[Structure Line]])+1,LEN(TableOUMPTCHPE[[#This Row],[Structure Line]]))</f>
        <v>Teaching Science in the Primary Years</v>
      </c>
      <c r="E32" s="119">
        <f>TableOUMPTCHPE[[#This Row],[Credit Points]]</f>
        <v>25</v>
      </c>
      <c r="F32">
        <v>5</v>
      </c>
      <c r="G32" t="s">
        <v>516</v>
      </c>
      <c r="H32">
        <v>1</v>
      </c>
      <c r="I32" t="s">
        <v>514</v>
      </c>
      <c r="J32" t="s">
        <v>76</v>
      </c>
      <c r="K32">
        <v>1</v>
      </c>
      <c r="L32" t="s">
        <v>535</v>
      </c>
      <c r="M32">
        <v>25</v>
      </c>
      <c r="N32" s="275">
        <v>42736</v>
      </c>
      <c r="O32" s="275"/>
      <c r="Q32" t="s">
        <v>76</v>
      </c>
      <c r="R32">
        <v>1</v>
      </c>
    </row>
    <row r="33" spans="1:18" x14ac:dyDescent="0.25">
      <c r="A33" t="str">
        <f>TableOUMPTCHPE[[#This Row],[Study Package Code]]</f>
        <v>EDPR5013</v>
      </c>
      <c r="B33" s="1">
        <f>TableOUMPTCHPE[[#This Row],[Ver]]</f>
        <v>1</v>
      </c>
      <c r="C33" t="str">
        <f>LEFT(TableOUMPTCHPE[[#This Row],[Structure Line]], FIND(" ", TableOUMPTCHPE[[#This Row],[Structure Line]])-1)</f>
        <v>MTP506</v>
      </c>
      <c r="D33" t="str">
        <f>MID(TableOUMPTCHPE[[#This Row],[Structure Line]],FIND(" ",TableOUMPTCHPE[[#This Row],[Structure Line]])+1,LEN(TableOUMPTCHPE[[#This Row],[Structure Line]]))</f>
        <v>Primary Professional Experience 2: Assessment and Reporting</v>
      </c>
      <c r="E33" s="119">
        <f>TableOUMPTCHPE[[#This Row],[Credit Points]]</f>
        <v>25</v>
      </c>
      <c r="F33">
        <v>6</v>
      </c>
      <c r="G33" t="s">
        <v>516</v>
      </c>
      <c r="H33">
        <v>1</v>
      </c>
      <c r="I33" t="s">
        <v>514</v>
      </c>
      <c r="J33" t="s">
        <v>98</v>
      </c>
      <c r="K33">
        <v>1</v>
      </c>
      <c r="L33" t="s">
        <v>536</v>
      </c>
      <c r="M33">
        <v>25</v>
      </c>
      <c r="N33" s="275">
        <v>42736</v>
      </c>
      <c r="O33" s="275"/>
      <c r="Q33" t="s">
        <v>98</v>
      </c>
      <c r="R33">
        <v>1</v>
      </c>
    </row>
    <row r="34" spans="1:18" x14ac:dyDescent="0.25">
      <c r="A34" t="str">
        <f>TableOUMPTCHPE[[#This Row],[Study Package Code]]</f>
        <v>EDUC5012</v>
      </c>
      <c r="B34" s="1">
        <f>TableOUMPTCHPE[[#This Row],[Ver]]</f>
        <v>2</v>
      </c>
      <c r="C34" t="str">
        <f>LEFT(TableOUMPTCHPE[[#This Row],[Structure Line]], FIND(" ", TableOUMPTCHPE[[#This Row],[Structure Line]])-1)</f>
        <v>MTPS500</v>
      </c>
      <c r="D34" t="str">
        <f>MID(TableOUMPTCHPE[[#This Row],[Structure Line]],FIND(" ",TableOUMPTCHPE[[#This Row],[Structure Line]])+1,LEN(TableOUMPTCHPE[[#This Row],[Structure Line]]))</f>
        <v>Theories of Development and Learning</v>
      </c>
      <c r="E34" s="119">
        <f>TableOUMPTCHPE[[#This Row],[Credit Points]]</f>
        <v>25</v>
      </c>
      <c r="F34">
        <v>7</v>
      </c>
      <c r="G34" t="s">
        <v>516</v>
      </c>
      <c r="H34">
        <v>1</v>
      </c>
      <c r="I34" t="s">
        <v>514</v>
      </c>
      <c r="J34" t="s">
        <v>65</v>
      </c>
      <c r="K34">
        <v>2</v>
      </c>
      <c r="L34" t="s">
        <v>524</v>
      </c>
      <c r="M34">
        <v>25</v>
      </c>
      <c r="N34" s="275">
        <v>44197</v>
      </c>
      <c r="O34" s="275"/>
      <c r="Q34" t="s">
        <v>65</v>
      </c>
      <c r="R34">
        <v>2</v>
      </c>
    </row>
    <row r="35" spans="1:18" x14ac:dyDescent="0.25">
      <c r="A35" t="str">
        <f>TableOUMPTCHPE[[#This Row],[Study Package Code]]</f>
        <v>EDUC5017</v>
      </c>
      <c r="B35" s="1">
        <f>TableOUMPTCHPE[[#This Row],[Ver]]</f>
        <v>1</v>
      </c>
      <c r="C35" t="str">
        <f>LEFT(TableOUMPTCHPE[[#This Row],[Structure Line]], FIND(" ", TableOUMPTCHPE[[#This Row],[Structure Line]])-1)</f>
        <v>MTPS504</v>
      </c>
      <c r="D35" t="str">
        <f>MID(TableOUMPTCHPE[[#This Row],[Structure Line]],FIND(" ",TableOUMPTCHPE[[#This Row],[Structure Line]])+1,LEN(TableOUMPTCHPE[[#This Row],[Structure Line]]))</f>
        <v>Creative Technologies</v>
      </c>
      <c r="E35" s="119">
        <f>TableOUMPTCHPE[[#This Row],[Credit Points]]</f>
        <v>25</v>
      </c>
      <c r="F35">
        <v>8</v>
      </c>
      <c r="G35" t="s">
        <v>516</v>
      </c>
      <c r="H35">
        <v>1</v>
      </c>
      <c r="I35" t="s">
        <v>514</v>
      </c>
      <c r="J35" t="s">
        <v>93</v>
      </c>
      <c r="K35">
        <v>1</v>
      </c>
      <c r="L35" t="s">
        <v>532</v>
      </c>
      <c r="M35">
        <v>25</v>
      </c>
      <c r="N35" s="275">
        <v>42736</v>
      </c>
      <c r="O35" s="275"/>
      <c r="Q35" t="s">
        <v>93</v>
      </c>
      <c r="R35">
        <v>1</v>
      </c>
    </row>
    <row r="36" spans="1:18" x14ac:dyDescent="0.25">
      <c r="A36" t="str">
        <f>TableOUMPTCHPE[[#This Row],[Study Package Code]]</f>
        <v>EDUC6063</v>
      </c>
      <c r="B36" s="1">
        <f>TableOUMPTCHPE[[#This Row],[Ver]]</f>
        <v>1</v>
      </c>
      <c r="C36" t="str">
        <f>LEFT(TableOUMPTCHPE[[#This Row],[Structure Line]], FIND(" ", TableOUMPTCHPE[[#This Row],[Structure Line]])-1)</f>
        <v>MTC600</v>
      </c>
      <c r="D36" t="str">
        <f>MID(TableOUMPTCHPE[[#This Row],[Structure Line]],FIND(" ",TableOUMPTCHPE[[#This Row],[Structure Line]])+1,LEN(TableOUMPTCHPE[[#This Row],[Structure Line]]))</f>
        <v>Professional Experience 3: Using Data to Inform Teaching and Learning</v>
      </c>
      <c r="E36" s="119">
        <f>TableOUMPTCHPE[[#This Row],[Credit Points]]</f>
        <v>25</v>
      </c>
      <c r="F36">
        <v>9</v>
      </c>
      <c r="G36" t="s">
        <v>516</v>
      </c>
      <c r="H36">
        <v>2</v>
      </c>
      <c r="I36" t="s">
        <v>514</v>
      </c>
      <c r="J36" t="s">
        <v>119</v>
      </c>
      <c r="K36">
        <v>1</v>
      </c>
      <c r="L36" t="s">
        <v>525</v>
      </c>
      <c r="M36">
        <v>25</v>
      </c>
      <c r="N36" s="275">
        <v>44562</v>
      </c>
      <c r="O36" s="275"/>
      <c r="Q36" t="s">
        <v>119</v>
      </c>
      <c r="R36">
        <v>1</v>
      </c>
    </row>
    <row r="37" spans="1:18" x14ac:dyDescent="0.25">
      <c r="A37" t="str">
        <f>TableOUMPTCHPE[[#This Row],[Study Package Code]]</f>
        <v>EDUC6065</v>
      </c>
      <c r="B37" s="1">
        <f>TableOUMPTCHPE[[#This Row],[Ver]]</f>
        <v>1</v>
      </c>
      <c r="C37" t="str">
        <f>LEFT(TableOUMPTCHPE[[#This Row],[Structure Line]], FIND(" ", TableOUMPTCHPE[[#This Row],[Structure Line]])-1)</f>
        <v>MTC610</v>
      </c>
      <c r="D37" t="str">
        <f>MID(TableOUMPTCHPE[[#This Row],[Structure Line]],FIND(" ",TableOUMPTCHPE[[#This Row],[Structure Line]])+1,LEN(TableOUMPTCHPE[[#This Row],[Structure Line]]))</f>
        <v>Professional Experience 4: Transition into the Profession</v>
      </c>
      <c r="E37" s="119">
        <f>TableOUMPTCHPE[[#This Row],[Credit Points]]</f>
        <v>25</v>
      </c>
      <c r="F37">
        <v>10</v>
      </c>
      <c r="G37" t="s">
        <v>516</v>
      </c>
      <c r="H37">
        <v>2</v>
      </c>
      <c r="I37" t="s">
        <v>514</v>
      </c>
      <c r="J37" t="s">
        <v>129</v>
      </c>
      <c r="K37">
        <v>1</v>
      </c>
      <c r="L37" t="s">
        <v>526</v>
      </c>
      <c r="M37">
        <v>25</v>
      </c>
      <c r="N37" s="275">
        <v>44562</v>
      </c>
      <c r="O37" s="275"/>
      <c r="Q37" t="s">
        <v>129</v>
      </c>
      <c r="R37">
        <v>1</v>
      </c>
    </row>
    <row r="38" spans="1:18" x14ac:dyDescent="0.25">
      <c r="A38" t="str">
        <f>TableOUMPTCHPE[[#This Row],[Study Package Code]]</f>
        <v>EDUC6067</v>
      </c>
      <c r="B38" s="1">
        <f>TableOUMPTCHPE[[#This Row],[Ver]]</f>
        <v>1</v>
      </c>
      <c r="C38" t="str">
        <f>LEFT(TableOUMPTCHPE[[#This Row],[Structure Line]], FIND(" ", TableOUMPTCHPE[[#This Row],[Structure Line]])-1)</f>
        <v>MTC620</v>
      </c>
      <c r="D38" t="str">
        <f>MID(TableOUMPTCHPE[[#This Row],[Structure Line]],FIND(" ",TableOUMPTCHPE[[#This Row],[Structure Line]])+1,LEN(TableOUMPTCHPE[[#This Row],[Structure Line]]))</f>
        <v>Schooling and Australian Society</v>
      </c>
      <c r="E38" s="119">
        <f>TableOUMPTCHPE[[#This Row],[Credit Points]]</f>
        <v>25</v>
      </c>
      <c r="F38">
        <v>11</v>
      </c>
      <c r="G38" t="s">
        <v>516</v>
      </c>
      <c r="H38">
        <v>2</v>
      </c>
      <c r="I38" t="s">
        <v>514</v>
      </c>
      <c r="J38" t="s">
        <v>121</v>
      </c>
      <c r="K38">
        <v>1</v>
      </c>
      <c r="L38" t="s">
        <v>537</v>
      </c>
      <c r="M38">
        <v>25</v>
      </c>
      <c r="N38" s="275">
        <v>44562</v>
      </c>
      <c r="O38" s="275"/>
      <c r="Q38" t="s">
        <v>121</v>
      </c>
      <c r="R38">
        <v>1</v>
      </c>
    </row>
    <row r="39" spans="1:18" x14ac:dyDescent="0.25">
      <c r="A39" t="str">
        <f>TableOUMPTCHPE[[#This Row],[Study Package Code]]</f>
        <v>EDPR5017</v>
      </c>
      <c r="B39" s="1">
        <f>TableOUMPTCHPE[[#This Row],[Ver]]</f>
        <v>1</v>
      </c>
      <c r="C39" t="str">
        <f>LEFT(TableOUMPTCHPE[[#This Row],[Structure Line]], FIND(" ", TableOUMPTCHPE[[#This Row],[Structure Line]])-1)</f>
        <v>MTP504</v>
      </c>
      <c r="D39" t="str">
        <f>MID(TableOUMPTCHPE[[#This Row],[Structure Line]],FIND(" ",TableOUMPTCHPE[[#This Row],[Structure Line]])+1,LEN(TableOUMPTCHPE[[#This Row],[Structure Line]]))</f>
        <v>Teaching Humanities and Social Sciences in the Primary Years</v>
      </c>
      <c r="E39" s="119">
        <f>TableOUMPTCHPE[[#This Row],[Credit Points]]</f>
        <v>25</v>
      </c>
      <c r="F39">
        <v>12</v>
      </c>
      <c r="G39" t="s">
        <v>516</v>
      </c>
      <c r="H39">
        <v>2</v>
      </c>
      <c r="I39" t="s">
        <v>514</v>
      </c>
      <c r="J39" t="s">
        <v>103</v>
      </c>
      <c r="K39">
        <v>1</v>
      </c>
      <c r="L39" t="s">
        <v>538</v>
      </c>
      <c r="M39">
        <v>25</v>
      </c>
      <c r="N39" s="275">
        <v>42736</v>
      </c>
      <c r="O39" s="275"/>
      <c r="Q39" t="s">
        <v>103</v>
      </c>
      <c r="R39">
        <v>1</v>
      </c>
    </row>
    <row r="40" spans="1:18" x14ac:dyDescent="0.25">
      <c r="A40" t="str">
        <f>TableOUMPTCHPE[[#This Row],[Study Package Code]]</f>
        <v>EDPR5015</v>
      </c>
      <c r="B40" s="1">
        <f>TableOUMPTCHPE[[#This Row],[Ver]]</f>
        <v>2</v>
      </c>
      <c r="C40" t="str">
        <f>LEFT(TableOUMPTCHPE[[#This Row],[Structure Line]], FIND(" ", TableOUMPTCHPE[[#This Row],[Structure Line]])-1)</f>
        <v>MTP508</v>
      </c>
      <c r="D40" t="str">
        <f>MID(TableOUMPTCHPE[[#This Row],[Structure Line]],FIND(" ",TableOUMPTCHPE[[#This Row],[Structure Line]])+1,LEN(TableOUMPTCHPE[[#This Row],[Structure Line]]))</f>
        <v>Statistics for Educators</v>
      </c>
      <c r="E40" s="119">
        <f>TableOUMPTCHPE[[#This Row],[Credit Points]]</f>
        <v>25</v>
      </c>
      <c r="F40">
        <v>13</v>
      </c>
      <c r="G40" t="s">
        <v>516</v>
      </c>
      <c r="H40">
        <v>2</v>
      </c>
      <c r="I40" t="s">
        <v>514</v>
      </c>
      <c r="J40" t="s">
        <v>112</v>
      </c>
      <c r="K40">
        <v>2</v>
      </c>
      <c r="L40" t="s">
        <v>539</v>
      </c>
      <c r="M40">
        <v>25</v>
      </c>
      <c r="N40" s="275">
        <v>45292</v>
      </c>
      <c r="O40" s="275"/>
      <c r="Q40" t="s">
        <v>112</v>
      </c>
      <c r="R40">
        <v>1</v>
      </c>
    </row>
    <row r="41" spans="1:18" x14ac:dyDescent="0.25">
      <c r="A41" t="str">
        <f>TableOUMPTCHPE[[#This Row],[Study Package Code]]</f>
        <v>EDPR5016</v>
      </c>
      <c r="B41" s="1">
        <f>TableOUMPTCHPE[[#This Row],[Ver]]</f>
        <v>1</v>
      </c>
      <c r="C41" t="str">
        <f>LEFT(TableOUMPTCHPE[[#This Row],[Structure Line]], FIND(" ", TableOUMPTCHPE[[#This Row],[Structure Line]])-1)</f>
        <v>MTP509</v>
      </c>
      <c r="D41" t="str">
        <f>MID(TableOUMPTCHPE[[#This Row],[Structure Line]],FIND(" ",TableOUMPTCHPE[[#This Row],[Structure Line]])+1,LEN(TableOUMPTCHPE[[#This Row],[Structure Line]]))</f>
        <v>Teaching Arts in the Primary Years</v>
      </c>
      <c r="E41" s="119">
        <f>TableOUMPTCHPE[[#This Row],[Credit Points]]</f>
        <v>25</v>
      </c>
      <c r="F41">
        <v>14</v>
      </c>
      <c r="G41" t="s">
        <v>516</v>
      </c>
      <c r="H41">
        <v>2</v>
      </c>
      <c r="I41" t="s">
        <v>514</v>
      </c>
      <c r="J41" t="s">
        <v>111</v>
      </c>
      <c r="K41">
        <v>1</v>
      </c>
      <c r="L41" t="s">
        <v>540</v>
      </c>
      <c r="M41">
        <v>25</v>
      </c>
      <c r="N41" s="275">
        <v>42736</v>
      </c>
      <c r="O41" s="275"/>
      <c r="Q41" t="s">
        <v>111</v>
      </c>
      <c r="R41">
        <v>1</v>
      </c>
    </row>
    <row r="42" spans="1:18" x14ac:dyDescent="0.25">
      <c r="A42" t="str">
        <f>TableOUMPTCHPE[[#This Row],[Study Package Code]]</f>
        <v>EDPR6001</v>
      </c>
      <c r="B42" s="1">
        <f>TableOUMPTCHPE[[#This Row],[Ver]]</f>
        <v>1</v>
      </c>
      <c r="C42" t="str">
        <f>LEFT(TableOUMPTCHPE[[#This Row],[Structure Line]], FIND(" ", TableOUMPTCHPE[[#This Row],[Structure Line]])-1)</f>
        <v>MTP600</v>
      </c>
      <c r="D42" t="str">
        <f>MID(TableOUMPTCHPE[[#This Row],[Structure Line]],FIND(" ",TableOUMPTCHPE[[#This Row],[Structure Line]])+1,LEN(TableOUMPTCHPE[[#This Row],[Structure Line]]))</f>
        <v>Extending English in the Primary Years</v>
      </c>
      <c r="E42" s="119">
        <f>TableOUMPTCHPE[[#This Row],[Credit Points]]</f>
        <v>25</v>
      </c>
      <c r="F42">
        <v>15</v>
      </c>
      <c r="G42" t="s">
        <v>516</v>
      </c>
      <c r="H42">
        <v>2</v>
      </c>
      <c r="I42" t="s">
        <v>514</v>
      </c>
      <c r="J42" t="s">
        <v>120</v>
      </c>
      <c r="K42">
        <v>1</v>
      </c>
      <c r="L42" t="s">
        <v>541</v>
      </c>
      <c r="M42">
        <v>25</v>
      </c>
      <c r="N42" s="275">
        <v>44562</v>
      </c>
      <c r="O42" s="275"/>
      <c r="Q42" t="s">
        <v>120</v>
      </c>
      <c r="R42">
        <v>1</v>
      </c>
    </row>
    <row r="43" spans="1:18" x14ac:dyDescent="0.25">
      <c r="A43" t="str">
        <f>TableOUMPTCHPE[[#This Row],[Study Package Code]]</f>
        <v>EDUC5014</v>
      </c>
      <c r="B43" s="1">
        <f>TableOUMPTCHPE[[#This Row],[Ver]]</f>
        <v>1</v>
      </c>
      <c r="C43" t="str">
        <f>LEFT(TableOUMPTCHPE[[#This Row],[Structure Line]], FIND(" ", TableOUMPTCHPE[[#This Row],[Structure Line]])-1)</f>
        <v>MTPS501</v>
      </c>
      <c r="D43" t="str">
        <f>MID(TableOUMPTCHPE[[#This Row],[Structure Line]],FIND(" ",TableOUMPTCHPE[[#This Row],[Structure Line]])+1,LEN(TableOUMPTCHPE[[#This Row],[Structure Line]]))</f>
        <v>Pedagogies for Diversity</v>
      </c>
      <c r="E43" s="119">
        <f>TableOUMPTCHPE[[#This Row],[Credit Points]]</f>
        <v>25</v>
      </c>
      <c r="F43">
        <v>16</v>
      </c>
      <c r="G43" t="s">
        <v>516</v>
      </c>
      <c r="H43">
        <v>2</v>
      </c>
      <c r="I43" t="s">
        <v>514</v>
      </c>
      <c r="J43" t="s">
        <v>94</v>
      </c>
      <c r="K43">
        <v>1</v>
      </c>
      <c r="L43" t="s">
        <v>542</v>
      </c>
      <c r="M43">
        <v>25</v>
      </c>
      <c r="N43" s="275">
        <v>42736</v>
      </c>
      <c r="O43" s="275"/>
      <c r="Q43" t="s">
        <v>94</v>
      </c>
      <c r="R43">
        <v>1</v>
      </c>
    </row>
    <row r="44" spans="1:18" x14ac:dyDescent="0.25">
      <c r="B44"/>
      <c r="E44"/>
      <c r="F44" s="115"/>
      <c r="G44" s="116" t="s">
        <v>501</v>
      </c>
      <c r="H44" s="117">
        <v>44562</v>
      </c>
      <c r="J44" s="276" t="s">
        <v>183</v>
      </c>
      <c r="K44" s="118" t="s">
        <v>184</v>
      </c>
      <c r="L44" s="175" t="s">
        <v>182</v>
      </c>
      <c r="N44" s="116" t="s">
        <v>503</v>
      </c>
      <c r="O44" s="296">
        <v>45302</v>
      </c>
    </row>
    <row r="45" spans="1:18" x14ac:dyDescent="0.25">
      <c r="A45" t="s">
        <v>0</v>
      </c>
      <c r="B45" s="1" t="s">
        <v>79</v>
      </c>
      <c r="C45" t="s">
        <v>21</v>
      </c>
      <c r="D45" t="s">
        <v>3</v>
      </c>
      <c r="E45" s="119" t="s">
        <v>504</v>
      </c>
      <c r="F45" t="s">
        <v>505</v>
      </c>
      <c r="G45" t="s">
        <v>506</v>
      </c>
      <c r="H45" t="s">
        <v>507</v>
      </c>
      <c r="I45" t="s">
        <v>22</v>
      </c>
      <c r="J45" t="s">
        <v>508</v>
      </c>
      <c r="K45" t="s">
        <v>1</v>
      </c>
      <c r="L45" t="s">
        <v>62</v>
      </c>
      <c r="M45" t="s">
        <v>80</v>
      </c>
      <c r="N45" s="274" t="s">
        <v>509</v>
      </c>
      <c r="O45" s="274" t="s">
        <v>510</v>
      </c>
      <c r="Q45" t="s">
        <v>511</v>
      </c>
      <c r="R45" t="s">
        <v>512</v>
      </c>
    </row>
    <row r="46" spans="1:18" x14ac:dyDescent="0.25">
      <c r="A46" t="str">
        <f>TableOUMPTCHSE[[#This Row],[Study Package Code]]</f>
        <v>EDUC5012</v>
      </c>
      <c r="B46" s="1">
        <f>TableOUMPTCHSE[[#This Row],[Ver]]</f>
        <v>2</v>
      </c>
      <c r="C46" t="str">
        <f>LEFT(TableOUMPTCHSE[[#This Row],[Structure Line]],7)</f>
        <v>MTPS500</v>
      </c>
      <c r="D46" t="str">
        <f>MID(TableOUMPTCHSE[[#This Row],[Structure Line]],9,LEN(TableOUMPTCHSE[[#This Row],[Structure Line]]))</f>
        <v>Theories of Development and Learning</v>
      </c>
      <c r="E46" s="119">
        <f>TableOUMPTCHSE[[#This Row],[Credit Points]]</f>
        <v>25</v>
      </c>
      <c r="F46">
        <v>1</v>
      </c>
      <c r="G46" t="s">
        <v>516</v>
      </c>
      <c r="H46">
        <v>1</v>
      </c>
      <c r="I46" t="s">
        <v>514</v>
      </c>
      <c r="J46" t="s">
        <v>65</v>
      </c>
      <c r="K46">
        <v>2</v>
      </c>
      <c r="L46" t="s">
        <v>524</v>
      </c>
      <c r="M46">
        <v>25</v>
      </c>
      <c r="N46" s="275">
        <v>44197</v>
      </c>
      <c r="O46" s="275"/>
      <c r="Q46" t="s">
        <v>65</v>
      </c>
      <c r="R46">
        <v>2</v>
      </c>
    </row>
    <row r="47" spans="1:18" x14ac:dyDescent="0.25">
      <c r="A47" t="str">
        <f>TableOUMPTCHSE[[#This Row],[Study Package Code]]</f>
        <v>EDSC5037</v>
      </c>
      <c r="B47" s="1">
        <f>TableOUMPTCHSE[[#This Row],[Ver]]</f>
        <v>1</v>
      </c>
      <c r="C47" t="str">
        <f>LEFT(TableOUMPTCHSE[[#This Row],[Structure Line]],6)</f>
        <v>MTS500</v>
      </c>
      <c r="D47" t="str">
        <f>MID(TableOUMPTCHSE[[#This Row],[Structure Line]],8,LEN(TableOUMPTCHSE[[#This Row],[Structure Line]]))</f>
        <v>Teaching in the Secondary School</v>
      </c>
      <c r="E47" s="119">
        <f>TableOUMPTCHSE[[#This Row],[Credit Points]]</f>
        <v>25</v>
      </c>
      <c r="F47">
        <v>2</v>
      </c>
      <c r="G47" t="s">
        <v>516</v>
      </c>
      <c r="H47">
        <v>1</v>
      </c>
      <c r="I47" t="s">
        <v>514</v>
      </c>
      <c r="J47" t="s">
        <v>257</v>
      </c>
      <c r="K47">
        <v>1</v>
      </c>
      <c r="L47" t="s">
        <v>543</v>
      </c>
      <c r="M47">
        <v>25</v>
      </c>
      <c r="N47" s="275">
        <v>42736</v>
      </c>
      <c r="O47" s="275"/>
      <c r="Q47" t="s">
        <v>257</v>
      </c>
      <c r="R47">
        <v>1</v>
      </c>
    </row>
    <row r="48" spans="1:18" x14ac:dyDescent="0.25">
      <c r="A48" t="str">
        <f>TableOUMPTCHSE[[#This Row],[Study Package Code]]</f>
        <v>EDSC5038</v>
      </c>
      <c r="B48" s="1">
        <f>TableOUMPTCHSE[[#This Row],[Ver]]</f>
        <v>1</v>
      </c>
      <c r="C48" t="str">
        <f>LEFT(TableOUMPTCHSE[[#This Row],[Structure Line]],6)</f>
        <v>MTS501</v>
      </c>
      <c r="D48" t="str">
        <f>MID(TableOUMPTCHSE[[#This Row],[Structure Line]],8,LEN(TableOUMPTCHSE[[#This Row],[Structure Line]]))</f>
        <v>Literacy and Numeracy across the Curriculum</v>
      </c>
      <c r="E48" s="119">
        <f>TableOUMPTCHSE[[#This Row],[Credit Points]]</f>
        <v>25</v>
      </c>
      <c r="F48">
        <v>3</v>
      </c>
      <c r="G48" t="s">
        <v>516</v>
      </c>
      <c r="H48">
        <v>1</v>
      </c>
      <c r="I48" t="s">
        <v>514</v>
      </c>
      <c r="J48" t="s">
        <v>258</v>
      </c>
      <c r="K48">
        <v>1</v>
      </c>
      <c r="L48" t="s">
        <v>544</v>
      </c>
      <c r="M48">
        <v>25</v>
      </c>
      <c r="N48" s="275">
        <v>42736</v>
      </c>
      <c r="O48" s="275"/>
      <c r="Q48" t="s">
        <v>258</v>
      </c>
      <c r="R48">
        <v>1</v>
      </c>
    </row>
    <row r="49" spans="1:18" x14ac:dyDescent="0.25">
      <c r="A49" t="str">
        <f>TableOUMPTCHSE[[#This Row],[Study Package Code]]</f>
        <v>EDSC5039</v>
      </c>
      <c r="B49" s="1">
        <f>TableOUMPTCHSE[[#This Row],[Ver]]</f>
        <v>1</v>
      </c>
      <c r="C49" t="str">
        <f>LEFT(TableOUMPTCHSE[[#This Row],[Structure Line]],6)</f>
        <v>MTS502</v>
      </c>
      <c r="D49" t="str">
        <f>MID(TableOUMPTCHSE[[#This Row],[Structure Line]],8,LEN(TableOUMPTCHSE[[#This Row],[Structure Line]]))</f>
        <v>Secondary Professional Experience 1: Planning</v>
      </c>
      <c r="E49" s="119">
        <f>TableOUMPTCHSE[[#This Row],[Credit Points]]</f>
        <v>25</v>
      </c>
      <c r="F49">
        <v>4</v>
      </c>
      <c r="G49" t="s">
        <v>516</v>
      </c>
      <c r="H49">
        <v>1</v>
      </c>
      <c r="I49" t="s">
        <v>514</v>
      </c>
      <c r="J49" t="s">
        <v>267</v>
      </c>
      <c r="K49">
        <v>1</v>
      </c>
      <c r="L49" t="s">
        <v>545</v>
      </c>
      <c r="M49">
        <v>25</v>
      </c>
      <c r="N49" s="275">
        <v>42736</v>
      </c>
      <c r="O49" s="275"/>
      <c r="Q49" t="s">
        <v>267</v>
      </c>
      <c r="R49">
        <v>1</v>
      </c>
    </row>
    <row r="50" spans="1:18" x14ac:dyDescent="0.25">
      <c r="A50" t="str">
        <f>TableOUMPTCHSE[[#This Row],[Study Package Code]]</f>
        <v>EDSC5040</v>
      </c>
      <c r="B50" s="1">
        <f>TableOUMPTCHSE[[#This Row],[Ver]]</f>
        <v>1</v>
      </c>
      <c r="C50" t="str">
        <f>LEFT(TableOUMPTCHSE[[#This Row],[Structure Line]],6)</f>
        <v>MTS503</v>
      </c>
      <c r="D50" t="str">
        <f>MID(TableOUMPTCHSE[[#This Row],[Structure Line]],8,LEN(TableOUMPTCHSE[[#This Row],[Structure Line]]))</f>
        <v>Managing the Learning Environment</v>
      </c>
      <c r="E50" s="119">
        <f>TableOUMPTCHSE[[#This Row],[Credit Points]]</f>
        <v>25</v>
      </c>
      <c r="F50">
        <v>5</v>
      </c>
      <c r="G50" t="s">
        <v>516</v>
      </c>
      <c r="H50">
        <v>1</v>
      </c>
      <c r="I50" t="s">
        <v>514</v>
      </c>
      <c r="J50" t="s">
        <v>261</v>
      </c>
      <c r="K50">
        <v>1</v>
      </c>
      <c r="L50" t="s">
        <v>546</v>
      </c>
      <c r="M50">
        <v>25</v>
      </c>
      <c r="N50" s="275">
        <v>42736</v>
      </c>
      <c r="O50" s="275"/>
      <c r="Q50" t="s">
        <v>261</v>
      </c>
      <c r="R50">
        <v>1</v>
      </c>
    </row>
    <row r="51" spans="1:18" x14ac:dyDescent="0.25">
      <c r="A51" t="str">
        <f>TableOUMPTCHSE[[#This Row],[Study Package Code]]</f>
        <v>EDSC5051</v>
      </c>
      <c r="B51" s="1">
        <f>TableOUMPTCHSE[[#This Row],[Ver]]</f>
        <v>1</v>
      </c>
      <c r="C51" t="str">
        <f>LEFT(TableOUMPTCHSE[[#This Row],[Structure Line]],6)</f>
        <v>MTS504</v>
      </c>
      <c r="D51" t="str">
        <f>MID(TableOUMPTCHSE[[#This Row],[Structure Line]],8,LEN(TableOUMPTCHSE[[#This Row],[Structure Line]]))</f>
        <v>Secondary Professional Experience 2: Assessment and Reporting</v>
      </c>
      <c r="E51" s="119">
        <f>TableOUMPTCHSE[[#This Row],[Credit Points]]</f>
        <v>25</v>
      </c>
      <c r="F51">
        <v>6</v>
      </c>
      <c r="G51" t="s">
        <v>516</v>
      </c>
      <c r="H51">
        <v>1</v>
      </c>
      <c r="I51" t="s">
        <v>514</v>
      </c>
      <c r="J51" t="s">
        <v>273</v>
      </c>
      <c r="K51">
        <v>1</v>
      </c>
      <c r="L51" t="s">
        <v>547</v>
      </c>
      <c r="M51">
        <v>25</v>
      </c>
      <c r="N51" s="275">
        <v>42736</v>
      </c>
      <c r="O51" s="275"/>
      <c r="Q51" t="s">
        <v>273</v>
      </c>
      <c r="R51">
        <v>1</v>
      </c>
    </row>
    <row r="52" spans="1:18" x14ac:dyDescent="0.25">
      <c r="A52" t="str">
        <f>TableOUMPTCHSE[[#This Row],[Study Package Code]]</f>
        <v>First Teaching Area Subjects</v>
      </c>
      <c r="B52" s="1">
        <f>TableOUMPTCHSE[[#This Row],[Ver]]</f>
        <v>0</v>
      </c>
      <c r="D52" t="str">
        <f>TableOUMPTCHSE[[#This Row],[Structure Line]]</f>
        <v>Select optional units (see option list) to the value of:</v>
      </c>
      <c r="E52" s="119">
        <f>TableOUMPTCHSE[[#This Row],[Credit Points]]</f>
        <v>50</v>
      </c>
      <c r="F52">
        <v>7</v>
      </c>
      <c r="G52" t="s">
        <v>548</v>
      </c>
      <c r="H52">
        <v>1</v>
      </c>
      <c r="I52" t="s">
        <v>514</v>
      </c>
      <c r="J52" t="s">
        <v>479</v>
      </c>
      <c r="K52">
        <v>0</v>
      </c>
      <c r="L52" t="s">
        <v>480</v>
      </c>
      <c r="M52">
        <v>50</v>
      </c>
      <c r="N52" s="275"/>
      <c r="O52" s="275"/>
      <c r="Q52" t="s">
        <v>479</v>
      </c>
      <c r="R52">
        <v>0</v>
      </c>
    </row>
    <row r="53" spans="1:18" x14ac:dyDescent="0.25">
      <c r="A53" t="str">
        <f>TableOUMPTCHSE[[#This Row],[Study Package Code]]</f>
        <v>EDUC6063</v>
      </c>
      <c r="B53" s="1">
        <f>TableOUMPTCHSE[[#This Row],[Ver]]</f>
        <v>1</v>
      </c>
      <c r="C53" t="str">
        <f>LEFT(TableOUMPTCHSE[[#This Row],[Structure Line]],6)</f>
        <v>MTC600</v>
      </c>
      <c r="D53" t="str">
        <f>MID(TableOUMPTCHSE[[#This Row],[Structure Line]],8,LEN(TableOUMPTCHSE[[#This Row],[Structure Line]]))</f>
        <v>Professional Experience 3: Using Data to Inform Teaching and Learning</v>
      </c>
      <c r="E53" s="119">
        <f>TableOUMPTCHSE[[#This Row],[Credit Points]]</f>
        <v>25</v>
      </c>
      <c r="F53">
        <v>8</v>
      </c>
      <c r="G53" t="s">
        <v>516</v>
      </c>
      <c r="H53">
        <v>2</v>
      </c>
      <c r="I53" t="s">
        <v>514</v>
      </c>
      <c r="J53" t="s">
        <v>119</v>
      </c>
      <c r="K53">
        <v>1</v>
      </c>
      <c r="L53" t="s">
        <v>525</v>
      </c>
      <c r="M53">
        <v>25</v>
      </c>
      <c r="N53" s="275">
        <v>44562</v>
      </c>
      <c r="O53" s="275"/>
      <c r="Q53" t="s">
        <v>119</v>
      </c>
      <c r="R53">
        <v>1</v>
      </c>
    </row>
    <row r="54" spans="1:18" x14ac:dyDescent="0.25">
      <c r="A54" t="str">
        <f>TableOUMPTCHSE[[#This Row],[Study Package Code]]</f>
        <v>EDUC6065</v>
      </c>
      <c r="B54" s="1">
        <f>TableOUMPTCHSE[[#This Row],[Ver]]</f>
        <v>1</v>
      </c>
      <c r="C54" t="str">
        <f>LEFT(TableOUMPTCHSE[[#This Row],[Structure Line]],6)</f>
        <v>MTC610</v>
      </c>
      <c r="D54" t="str">
        <f>MID(TableOUMPTCHSE[[#This Row],[Structure Line]],8,LEN(TableOUMPTCHSE[[#This Row],[Structure Line]]))</f>
        <v>Professional Experience 4: Transition into the Profession</v>
      </c>
      <c r="E54" s="119">
        <f>TableOUMPTCHSE[[#This Row],[Credit Points]]</f>
        <v>25</v>
      </c>
      <c r="F54">
        <v>9</v>
      </c>
      <c r="G54" t="s">
        <v>516</v>
      </c>
      <c r="H54">
        <v>2</v>
      </c>
      <c r="I54" t="s">
        <v>514</v>
      </c>
      <c r="J54" t="s">
        <v>129</v>
      </c>
      <c r="K54">
        <v>1</v>
      </c>
      <c r="L54" t="s">
        <v>526</v>
      </c>
      <c r="M54">
        <v>25</v>
      </c>
      <c r="N54" s="275">
        <v>44562</v>
      </c>
      <c r="O54" s="275"/>
      <c r="Q54" t="s">
        <v>129</v>
      </c>
      <c r="R54">
        <v>1</v>
      </c>
    </row>
    <row r="55" spans="1:18" x14ac:dyDescent="0.25">
      <c r="A55" t="str">
        <f>TableOUMPTCHSE[[#This Row],[Study Package Code]]</f>
        <v>EDUC6067</v>
      </c>
      <c r="B55" s="1">
        <f>TableOUMPTCHSE[[#This Row],[Ver]]</f>
        <v>1</v>
      </c>
      <c r="C55" t="str">
        <f>LEFT(TableOUMPTCHSE[[#This Row],[Structure Line]],6)</f>
        <v>MTC620</v>
      </c>
      <c r="D55" t="str">
        <f>MID(TableOUMPTCHSE[[#This Row],[Structure Line]],8,LEN(TableOUMPTCHSE[[#This Row],[Structure Line]]))</f>
        <v>Schooling and Australian Society</v>
      </c>
      <c r="E55" s="119">
        <f>TableOUMPTCHSE[[#This Row],[Credit Points]]</f>
        <v>25</v>
      </c>
      <c r="F55">
        <v>10</v>
      </c>
      <c r="G55" t="s">
        <v>516</v>
      </c>
      <c r="H55">
        <v>2</v>
      </c>
      <c r="I55" t="s">
        <v>514</v>
      </c>
      <c r="J55" t="s">
        <v>121</v>
      </c>
      <c r="K55">
        <v>1</v>
      </c>
      <c r="L55" t="s">
        <v>537</v>
      </c>
      <c r="M55">
        <v>25</v>
      </c>
      <c r="N55" s="275">
        <v>44562</v>
      </c>
      <c r="O55" s="275"/>
      <c r="Q55" t="s">
        <v>121</v>
      </c>
      <c r="R55">
        <v>1</v>
      </c>
    </row>
    <row r="56" spans="1:18" x14ac:dyDescent="0.25">
      <c r="A56" t="str">
        <f>TableOUMPTCHSE[[#This Row],[Study Package Code]]</f>
        <v>EDUC5014</v>
      </c>
      <c r="B56" s="1">
        <f>TableOUMPTCHSE[[#This Row],[Ver]]</f>
        <v>1</v>
      </c>
      <c r="C56" t="str">
        <f>LEFT(TableOUMPTCHSE[[#This Row],[Structure Line]],7)</f>
        <v>MTPS501</v>
      </c>
      <c r="D56" t="str">
        <f>MID(TableOUMPTCHSE[[#This Row],[Structure Line]],9,LEN(TableOUMPTCHSE[[#This Row],[Structure Line]]))</f>
        <v>Pedagogies for Diversity</v>
      </c>
      <c r="E56" s="119">
        <f>TableOUMPTCHSE[[#This Row],[Credit Points]]</f>
        <v>25</v>
      </c>
      <c r="F56">
        <v>11</v>
      </c>
      <c r="G56" t="s">
        <v>516</v>
      </c>
      <c r="H56">
        <v>2</v>
      </c>
      <c r="I56" t="s">
        <v>514</v>
      </c>
      <c r="J56" t="s">
        <v>94</v>
      </c>
      <c r="K56">
        <v>1</v>
      </c>
      <c r="L56" t="s">
        <v>542</v>
      </c>
      <c r="M56">
        <v>25</v>
      </c>
      <c r="N56" s="275">
        <v>42736</v>
      </c>
      <c r="O56" s="275"/>
      <c r="Q56" t="s">
        <v>94</v>
      </c>
      <c r="R56">
        <v>1</v>
      </c>
    </row>
    <row r="57" spans="1:18" x14ac:dyDescent="0.25">
      <c r="A57" t="str">
        <f>TableOUMPTCHSE[[#This Row],[Study Package Code]]</f>
        <v>EDUC5017</v>
      </c>
      <c r="B57" s="1">
        <f>TableOUMPTCHSE[[#This Row],[Ver]]</f>
        <v>1</v>
      </c>
      <c r="C57" t="str">
        <f>LEFT(TableOUMPTCHSE[[#This Row],[Structure Line]],7)</f>
        <v>MTPS504</v>
      </c>
      <c r="D57" t="str">
        <f>MID(TableOUMPTCHSE[[#This Row],[Structure Line]],9,LEN(TableOUMPTCHSE[[#This Row],[Structure Line]]))</f>
        <v>Creative Technologies</v>
      </c>
      <c r="E57" s="119">
        <f>TableOUMPTCHSE[[#This Row],[Credit Points]]</f>
        <v>25</v>
      </c>
      <c r="F57">
        <v>12</v>
      </c>
      <c r="G57" t="s">
        <v>516</v>
      </c>
      <c r="H57">
        <v>2</v>
      </c>
      <c r="I57" t="s">
        <v>514</v>
      </c>
      <c r="J57" t="s">
        <v>93</v>
      </c>
      <c r="K57">
        <v>1</v>
      </c>
      <c r="L57" t="s">
        <v>532</v>
      </c>
      <c r="M57">
        <v>25</v>
      </c>
      <c r="N57" s="275">
        <v>42736</v>
      </c>
      <c r="O57" s="275"/>
      <c r="Q57" t="s">
        <v>93</v>
      </c>
      <c r="R57">
        <v>1</v>
      </c>
    </row>
    <row r="58" spans="1:18" x14ac:dyDescent="0.25">
      <c r="A58" t="str">
        <f>TableOUMPTCHSE[[#This Row],[Study Package Code]]</f>
        <v>EDSC6001</v>
      </c>
      <c r="B58" s="1">
        <f>TableOUMPTCHSE[[#This Row],[Ver]]</f>
        <v>1</v>
      </c>
      <c r="C58" t="str">
        <f>LEFT(TableOUMPTCHSE[[#This Row],[Structure Line]],6)</f>
        <v>MTS600</v>
      </c>
      <c r="D58" t="str">
        <f>MID(TableOUMPTCHSE[[#This Row],[Structure Line]],8,LEN(TableOUMPTCHSE[[#This Row],[Structure Line]]))</f>
        <v>Research-Based Inquiry to Enhance Practice</v>
      </c>
      <c r="E58" s="119">
        <f>TableOUMPTCHSE[[#This Row],[Credit Points]]</f>
        <v>25</v>
      </c>
      <c r="F58">
        <v>13</v>
      </c>
      <c r="G58" t="s">
        <v>516</v>
      </c>
      <c r="H58">
        <v>2</v>
      </c>
      <c r="I58" t="s">
        <v>514</v>
      </c>
      <c r="J58" t="s">
        <v>279</v>
      </c>
      <c r="K58">
        <v>1</v>
      </c>
      <c r="L58" t="s">
        <v>549</v>
      </c>
      <c r="M58">
        <v>25</v>
      </c>
      <c r="N58" s="275">
        <v>44562</v>
      </c>
      <c r="O58" s="275"/>
      <c r="Q58" t="s">
        <v>279</v>
      </c>
      <c r="R58">
        <v>1</v>
      </c>
    </row>
    <row r="59" spans="1:18" x14ac:dyDescent="0.25">
      <c r="A59" t="str">
        <f>TableOUMPTCHSE[[#This Row],[Study Package Code]]</f>
        <v>Second Teaching Area Subjects</v>
      </c>
      <c r="B59" s="1">
        <f>TableOUMPTCHSE[[#This Row],[Ver]]</f>
        <v>0</v>
      </c>
      <c r="D59" t="str">
        <f>TableOUMPTCHSE[[#This Row],[Structure Line]]</f>
        <v>Select optional units (see option list) to the value of:</v>
      </c>
      <c r="E59" s="119">
        <f>TableOUMPTCHSE[[#This Row],[Credit Points]]</f>
        <v>50</v>
      </c>
      <c r="F59">
        <v>14</v>
      </c>
      <c r="G59" t="s">
        <v>548</v>
      </c>
      <c r="H59">
        <v>2</v>
      </c>
      <c r="I59" t="s">
        <v>514</v>
      </c>
      <c r="J59" t="s">
        <v>495</v>
      </c>
      <c r="K59">
        <v>0</v>
      </c>
      <c r="L59" t="s">
        <v>480</v>
      </c>
      <c r="M59">
        <v>50</v>
      </c>
      <c r="N59" s="275"/>
      <c r="O59" s="275"/>
      <c r="Q59" t="s">
        <v>495</v>
      </c>
      <c r="R59">
        <v>0</v>
      </c>
    </row>
    <row r="60" spans="1:18" x14ac:dyDescent="0.25">
      <c r="A60" t="str">
        <f>TableOUMPTCHSE[[#This Row],[Study Package Code]]</f>
        <v>EDSC5041</v>
      </c>
      <c r="B60" s="1">
        <f>TableOUMPTCHSE[[#This Row],[Ver]]</f>
        <v>1</v>
      </c>
      <c r="C60" t="str">
        <f>LEFT(TableOUMPTCHSE[[#This Row],[Structure Line]],6)</f>
        <v>MTS506</v>
      </c>
      <c r="D60" t="str">
        <f>MID(TableOUMPTCHSE[[#This Row],[Structure Line]],8,LEN(TableOUMPTCHSE[[#This Row],[Structure Line]]))</f>
        <v>Curriculum and Instruction Lower Secondary: The Arts</v>
      </c>
      <c r="E60" s="119">
        <f>TableOUMPTCHSE[[#This Row],[Credit Points]]</f>
        <v>25</v>
      </c>
      <c r="F60">
        <v>7</v>
      </c>
      <c r="G60" t="s">
        <v>548</v>
      </c>
      <c r="H60">
        <v>1</v>
      </c>
      <c r="I60" t="s">
        <v>514</v>
      </c>
      <c r="J60" t="s">
        <v>292</v>
      </c>
      <c r="K60">
        <v>1</v>
      </c>
      <c r="L60" t="s">
        <v>550</v>
      </c>
      <c r="M60">
        <v>25</v>
      </c>
      <c r="N60" s="275">
        <v>42736</v>
      </c>
      <c r="O60" s="275"/>
      <c r="Q60" t="s">
        <v>292</v>
      </c>
      <c r="R60">
        <v>1</v>
      </c>
    </row>
    <row r="61" spans="1:18" x14ac:dyDescent="0.25">
      <c r="A61" t="str">
        <f>TableOUMPTCHSE[[#This Row],[Study Package Code]]</f>
        <v>EDSC5042</v>
      </c>
      <c r="B61" s="1">
        <f>TableOUMPTCHSE[[#This Row],[Ver]]</f>
        <v>1</v>
      </c>
      <c r="C61" t="str">
        <f>LEFT(TableOUMPTCHSE[[#This Row],[Structure Line]],6)</f>
        <v>MTS507</v>
      </c>
      <c r="D61" t="str">
        <f>MID(TableOUMPTCHSE[[#This Row],[Structure Line]],8,LEN(TableOUMPTCHSE[[#This Row],[Structure Line]]))</f>
        <v>Curriculum and Instruction Lower Secondary: English</v>
      </c>
      <c r="E61" s="119">
        <f>TableOUMPTCHSE[[#This Row],[Credit Points]]</f>
        <v>25</v>
      </c>
      <c r="F61">
        <v>7</v>
      </c>
      <c r="G61" t="s">
        <v>548</v>
      </c>
      <c r="H61">
        <v>1</v>
      </c>
      <c r="I61" t="s">
        <v>514</v>
      </c>
      <c r="J61" t="s">
        <v>293</v>
      </c>
      <c r="K61">
        <v>1</v>
      </c>
      <c r="L61" t="s">
        <v>551</v>
      </c>
      <c r="M61">
        <v>25</v>
      </c>
      <c r="N61" s="275">
        <v>42736</v>
      </c>
      <c r="O61" s="275"/>
      <c r="Q61" t="s">
        <v>293</v>
      </c>
      <c r="R61">
        <v>1</v>
      </c>
    </row>
    <row r="62" spans="1:18" x14ac:dyDescent="0.25">
      <c r="A62" t="str">
        <f>TableOUMPTCHSE[[#This Row],[Study Package Code]]</f>
        <v>EDSC5043</v>
      </c>
      <c r="B62" s="1">
        <f>TableOUMPTCHSE[[#This Row],[Ver]]</f>
        <v>1</v>
      </c>
      <c r="C62" t="str">
        <f>LEFT(TableOUMPTCHSE[[#This Row],[Structure Line]],6)</f>
        <v>MTS508</v>
      </c>
      <c r="D62" t="str">
        <f>MID(TableOUMPTCHSE[[#This Row],[Structure Line]],8,LEN(TableOUMPTCHSE[[#This Row],[Structure Line]]))</f>
        <v>Curriculum and Instruction Lower Secondary: Humanities and Social Sciences</v>
      </c>
      <c r="E62" s="119">
        <f>TableOUMPTCHSE[[#This Row],[Credit Points]]</f>
        <v>25</v>
      </c>
      <c r="F62">
        <v>7</v>
      </c>
      <c r="G62" t="s">
        <v>548</v>
      </c>
      <c r="H62">
        <v>1</v>
      </c>
      <c r="I62" t="s">
        <v>514</v>
      </c>
      <c r="J62" t="s">
        <v>295</v>
      </c>
      <c r="K62">
        <v>1</v>
      </c>
      <c r="L62" t="s">
        <v>552</v>
      </c>
      <c r="M62">
        <v>25</v>
      </c>
      <c r="N62" s="275">
        <v>42736</v>
      </c>
      <c r="O62" s="275"/>
      <c r="Q62" t="s">
        <v>295</v>
      </c>
      <c r="R62">
        <v>1</v>
      </c>
    </row>
    <row r="63" spans="1:18" x14ac:dyDescent="0.25">
      <c r="A63" t="str">
        <f>TableOUMPTCHSE[[#This Row],[Study Package Code]]</f>
        <v>EDSC5044</v>
      </c>
      <c r="B63" s="1">
        <f>TableOUMPTCHSE[[#This Row],[Ver]]</f>
        <v>1</v>
      </c>
      <c r="C63" t="str">
        <f>LEFT(TableOUMPTCHSE[[#This Row],[Structure Line]],6)</f>
        <v>MTS509</v>
      </c>
      <c r="D63" t="str">
        <f>MID(TableOUMPTCHSE[[#This Row],[Structure Line]],8,LEN(TableOUMPTCHSE[[#This Row],[Structure Line]]))</f>
        <v>Curriculum and Instruction Lower Secondary: Mathematics</v>
      </c>
      <c r="E63" s="119">
        <f>TableOUMPTCHSE[[#This Row],[Credit Points]]</f>
        <v>25</v>
      </c>
      <c r="F63">
        <v>7</v>
      </c>
      <c r="G63" t="s">
        <v>548</v>
      </c>
      <c r="H63">
        <v>1</v>
      </c>
      <c r="I63" t="s">
        <v>514</v>
      </c>
      <c r="J63" t="s">
        <v>296</v>
      </c>
      <c r="K63">
        <v>1</v>
      </c>
      <c r="L63" t="s">
        <v>553</v>
      </c>
      <c r="M63">
        <v>25</v>
      </c>
      <c r="N63" s="275">
        <v>42736</v>
      </c>
      <c r="O63" s="275"/>
      <c r="Q63" t="s">
        <v>296</v>
      </c>
      <c r="R63">
        <v>1</v>
      </c>
    </row>
    <row r="64" spans="1:18" x14ac:dyDescent="0.25">
      <c r="A64" t="str">
        <f>TableOUMPTCHSE[[#This Row],[Study Package Code]]</f>
        <v>EDSC5045</v>
      </c>
      <c r="B64" s="1">
        <f>TableOUMPTCHSE[[#This Row],[Ver]]</f>
        <v>1</v>
      </c>
      <c r="C64" t="str">
        <f>LEFT(TableOUMPTCHSE[[#This Row],[Structure Line]],6)</f>
        <v>MTS510</v>
      </c>
      <c r="D64" t="str">
        <f>MID(TableOUMPTCHSE[[#This Row],[Structure Line]],8,LEN(TableOUMPTCHSE[[#This Row],[Structure Line]]))</f>
        <v>Curriculum and Instruction Lower Secondary: Science</v>
      </c>
      <c r="E64" s="119">
        <f>TableOUMPTCHSE[[#This Row],[Credit Points]]</f>
        <v>25</v>
      </c>
      <c r="F64">
        <v>7</v>
      </c>
      <c r="G64" t="s">
        <v>548</v>
      </c>
      <c r="H64">
        <v>1</v>
      </c>
      <c r="I64" t="s">
        <v>514</v>
      </c>
      <c r="J64" t="s">
        <v>297</v>
      </c>
      <c r="K64">
        <v>1</v>
      </c>
      <c r="L64" t="s">
        <v>554</v>
      </c>
      <c r="M64">
        <v>25</v>
      </c>
      <c r="N64" s="275">
        <v>42736</v>
      </c>
      <c r="O64" s="275"/>
      <c r="Q64" t="s">
        <v>297</v>
      </c>
      <c r="R64">
        <v>1</v>
      </c>
    </row>
    <row r="65" spans="1:18" x14ac:dyDescent="0.25">
      <c r="A65" t="str">
        <f>TableOUMPTCHSE[[#This Row],[Study Package Code]]</f>
        <v>EDSC5046</v>
      </c>
      <c r="B65" s="1">
        <f>TableOUMPTCHSE[[#This Row],[Ver]]</f>
        <v>2</v>
      </c>
      <c r="C65" t="str">
        <f>LEFT(TableOUMPTCHSE[[#This Row],[Structure Line]],6)</f>
        <v>MTS511</v>
      </c>
      <c r="D65" t="str">
        <f>MID(TableOUMPTCHSE[[#This Row],[Structure Line]],8,LEN(TableOUMPTCHSE[[#This Row],[Structure Line]]))</f>
        <v>Curriculum and Instruction Senior Secondary: The Arts</v>
      </c>
      <c r="E65" s="119">
        <f>TableOUMPTCHSE[[#This Row],[Credit Points]]</f>
        <v>25</v>
      </c>
      <c r="F65">
        <v>7</v>
      </c>
      <c r="G65" t="s">
        <v>548</v>
      </c>
      <c r="H65">
        <v>1</v>
      </c>
      <c r="I65" t="s">
        <v>514</v>
      </c>
      <c r="J65" t="s">
        <v>300</v>
      </c>
      <c r="K65">
        <v>2</v>
      </c>
      <c r="L65" t="s">
        <v>555</v>
      </c>
      <c r="M65">
        <v>25</v>
      </c>
      <c r="N65" s="275">
        <v>43831</v>
      </c>
      <c r="O65" s="275"/>
      <c r="Q65" t="s">
        <v>300</v>
      </c>
      <c r="R65">
        <v>2</v>
      </c>
    </row>
    <row r="66" spans="1:18" x14ac:dyDescent="0.25">
      <c r="A66" t="str">
        <f>TableOUMPTCHSE[[#This Row],[Study Package Code]]</f>
        <v>EDSC5048</v>
      </c>
      <c r="B66" s="1">
        <f>TableOUMPTCHSE[[#This Row],[Ver]]</f>
        <v>2</v>
      </c>
      <c r="C66" t="str">
        <f>LEFT(TableOUMPTCHSE[[#This Row],[Structure Line]],6)</f>
        <v>MTS513</v>
      </c>
      <c r="D66" t="str">
        <f>MID(TableOUMPTCHSE[[#This Row],[Structure Line]],8,LEN(TableOUMPTCHSE[[#This Row],[Structure Line]]))</f>
        <v>Curriculum and Instruction Senior Secondary: Humanities and Social Sciences</v>
      </c>
      <c r="E66" s="119">
        <f>TableOUMPTCHSE[[#This Row],[Credit Points]]</f>
        <v>25</v>
      </c>
      <c r="F66">
        <v>7</v>
      </c>
      <c r="G66" t="s">
        <v>548</v>
      </c>
      <c r="H66">
        <v>1</v>
      </c>
      <c r="I66" t="s">
        <v>514</v>
      </c>
      <c r="J66" t="s">
        <v>303</v>
      </c>
      <c r="K66">
        <v>2</v>
      </c>
      <c r="L66" t="s">
        <v>556</v>
      </c>
      <c r="M66">
        <v>25</v>
      </c>
      <c r="N66" s="275">
        <v>43831</v>
      </c>
      <c r="O66" s="275"/>
      <c r="Q66" t="s">
        <v>303</v>
      </c>
      <c r="R66">
        <v>2</v>
      </c>
    </row>
    <row r="67" spans="1:18" x14ac:dyDescent="0.25">
      <c r="A67" t="str">
        <f>TableOUMPTCHSE[[#This Row],[Study Package Code]]</f>
        <v>EDSC5049</v>
      </c>
      <c r="B67" s="1">
        <f>TableOUMPTCHSE[[#This Row],[Ver]]</f>
        <v>2</v>
      </c>
      <c r="C67" t="str">
        <f>LEFT(TableOUMPTCHSE[[#This Row],[Structure Line]],6)</f>
        <v>MTS514</v>
      </c>
      <c r="D67" t="str">
        <f>MID(TableOUMPTCHSE[[#This Row],[Structure Line]],8,LEN(TableOUMPTCHSE[[#This Row],[Structure Line]]))</f>
        <v>Curriculum and Instruction Senior Secondary: Mathematics</v>
      </c>
      <c r="E67" s="119">
        <f>TableOUMPTCHSE[[#This Row],[Credit Points]]</f>
        <v>25</v>
      </c>
      <c r="F67">
        <v>7</v>
      </c>
      <c r="G67" t="s">
        <v>548</v>
      </c>
      <c r="H67">
        <v>1</v>
      </c>
      <c r="I67" t="s">
        <v>514</v>
      </c>
      <c r="J67" t="s">
        <v>304</v>
      </c>
      <c r="K67">
        <v>2</v>
      </c>
      <c r="L67" t="s">
        <v>557</v>
      </c>
      <c r="M67">
        <v>25</v>
      </c>
      <c r="N67" s="275">
        <v>43831</v>
      </c>
      <c r="O67" s="275"/>
      <c r="Q67" t="s">
        <v>304</v>
      </c>
      <c r="R67">
        <v>2</v>
      </c>
    </row>
    <row r="68" spans="1:18" x14ac:dyDescent="0.25">
      <c r="A68" t="str">
        <f>TableOUMPTCHSE[[#This Row],[Study Package Code]]</f>
        <v>EDSC5050</v>
      </c>
      <c r="B68" s="1">
        <f>TableOUMPTCHSE[[#This Row],[Ver]]</f>
        <v>2</v>
      </c>
      <c r="C68" t="str">
        <f>LEFT(TableOUMPTCHSE[[#This Row],[Structure Line]],6)</f>
        <v>MTS515</v>
      </c>
      <c r="D68" t="str">
        <f>MID(TableOUMPTCHSE[[#This Row],[Structure Line]],8,LEN(TableOUMPTCHSE[[#This Row],[Structure Line]]))</f>
        <v>Curriculum and Instruction Senior Secondary: Science</v>
      </c>
      <c r="E68" s="119">
        <f>TableOUMPTCHSE[[#This Row],[Credit Points]]</f>
        <v>25</v>
      </c>
      <c r="F68">
        <v>7</v>
      </c>
      <c r="G68" t="s">
        <v>548</v>
      </c>
      <c r="H68">
        <v>1</v>
      </c>
      <c r="I68" t="s">
        <v>514</v>
      </c>
      <c r="J68" t="s">
        <v>305</v>
      </c>
      <c r="K68">
        <v>2</v>
      </c>
      <c r="L68" t="s">
        <v>558</v>
      </c>
      <c r="M68">
        <v>25</v>
      </c>
      <c r="N68" s="275">
        <v>43831</v>
      </c>
      <c r="O68" s="275"/>
      <c r="Q68" t="s">
        <v>305</v>
      </c>
      <c r="R68">
        <v>2</v>
      </c>
    </row>
    <row r="69" spans="1:18" x14ac:dyDescent="0.25">
      <c r="A69" t="str">
        <f>TableOUMPTCHSE[[#This Row],[Study Package Code]]</f>
        <v>EDSC5054</v>
      </c>
      <c r="B69" s="1">
        <f>TableOUMPTCHSE[[#This Row],[Ver]]</f>
        <v>1</v>
      </c>
      <c r="C69" t="str">
        <f>LEFT(TableOUMPTCHSE[[#This Row],[Structure Line]],6)</f>
        <v>MTS512</v>
      </c>
      <c r="D69" t="str">
        <f>MID(TableOUMPTCHSE[[#This Row],[Structure Line]],8,LEN(TableOUMPTCHSE[[#This Row],[Structure Line]]))</f>
        <v>Curriculum and Instruction Senior Secondary: English</v>
      </c>
      <c r="E69" s="119">
        <f>TableOUMPTCHSE[[#This Row],[Credit Points]]</f>
        <v>25</v>
      </c>
      <c r="F69">
        <v>7</v>
      </c>
      <c r="G69" t="s">
        <v>548</v>
      </c>
      <c r="H69">
        <v>1</v>
      </c>
      <c r="I69" t="s">
        <v>514</v>
      </c>
      <c r="J69" t="s">
        <v>301</v>
      </c>
      <c r="K69">
        <v>1</v>
      </c>
      <c r="L69" t="s">
        <v>559</v>
      </c>
      <c r="M69">
        <v>25</v>
      </c>
      <c r="N69" s="275">
        <v>43831</v>
      </c>
      <c r="O69" s="275"/>
      <c r="Q69" t="s">
        <v>301</v>
      </c>
      <c r="R69">
        <v>1</v>
      </c>
    </row>
    <row r="70" spans="1:18" x14ac:dyDescent="0.25">
      <c r="A70" t="str">
        <f>TableOUMPTCHSE[[#This Row],[Study Package Code]]</f>
        <v>EDSC5056</v>
      </c>
      <c r="B70" s="1">
        <f>TableOUMPTCHSE[[#This Row],[Ver]]</f>
        <v>1</v>
      </c>
      <c r="C70" t="str">
        <f>LEFT(TableOUMPTCHSE[[#This Row],[Structure Line]],6)</f>
        <v>MTS516</v>
      </c>
      <c r="D70" t="str">
        <f>MID(TableOUMPTCHSE[[#This Row],[Structure Line]],8,LEN(TableOUMPTCHSE[[#This Row],[Structure Line]]))</f>
        <v>Curriculum and Instruction Lower Secondary: Health and Physical Education</v>
      </c>
      <c r="E70" s="119">
        <f>TableOUMPTCHSE[[#This Row],[Credit Points]]</f>
        <v>25</v>
      </c>
      <c r="F70">
        <v>7</v>
      </c>
      <c r="G70" t="s">
        <v>548</v>
      </c>
      <c r="H70">
        <v>1</v>
      </c>
      <c r="I70" t="s">
        <v>514</v>
      </c>
      <c r="J70" t="s">
        <v>294</v>
      </c>
      <c r="K70">
        <v>1</v>
      </c>
      <c r="L70" t="s">
        <v>560</v>
      </c>
      <c r="M70">
        <v>25</v>
      </c>
      <c r="N70" s="275">
        <v>43831</v>
      </c>
      <c r="O70" s="275"/>
      <c r="Q70" t="s">
        <v>294</v>
      </c>
      <c r="R70">
        <v>1</v>
      </c>
    </row>
    <row r="71" spans="1:18" x14ac:dyDescent="0.25">
      <c r="A71" t="str">
        <f>TableOUMPTCHSE[[#This Row],[Study Package Code]]</f>
        <v>EDSC5058</v>
      </c>
      <c r="B71" s="1">
        <f>TableOUMPTCHSE[[#This Row],[Ver]]</f>
        <v>1</v>
      </c>
      <c r="C71" t="str">
        <f>LEFT(TableOUMPTCHSE[[#This Row],[Structure Line]],6)</f>
        <v>MTS517</v>
      </c>
      <c r="D71" t="str">
        <f>MID(TableOUMPTCHSE[[#This Row],[Structure Line]],8,LEN(TableOUMPTCHSE[[#This Row],[Structure Line]]))</f>
        <v>Curriculum and Instruction Senior Secondary: Health and Physical Education</v>
      </c>
      <c r="E71" s="119">
        <f>TableOUMPTCHSE[[#This Row],[Credit Points]]</f>
        <v>25</v>
      </c>
      <c r="F71">
        <v>7</v>
      </c>
      <c r="G71" t="s">
        <v>548</v>
      </c>
      <c r="H71">
        <v>1</v>
      </c>
      <c r="I71" t="s">
        <v>514</v>
      </c>
      <c r="J71" t="s">
        <v>302</v>
      </c>
      <c r="K71">
        <v>1</v>
      </c>
      <c r="L71" t="s">
        <v>561</v>
      </c>
      <c r="M71">
        <v>25</v>
      </c>
      <c r="N71" s="275">
        <v>43831</v>
      </c>
      <c r="O71" s="275"/>
      <c r="Q71" t="s">
        <v>302</v>
      </c>
      <c r="R71">
        <v>1</v>
      </c>
    </row>
    <row r="72" spans="1:18" x14ac:dyDescent="0.25">
      <c r="A72" t="str">
        <f>TableOUMPTCHSE[[#This Row],[Study Package Code]]</f>
        <v>EDSC5041</v>
      </c>
      <c r="B72" s="1">
        <f>TableOUMPTCHSE[[#This Row],[Ver]]</f>
        <v>1</v>
      </c>
      <c r="C72" t="str">
        <f>LEFT(TableOUMPTCHSE[[#This Row],[Structure Line]],6)</f>
        <v>MTS506</v>
      </c>
      <c r="D72" t="str">
        <f>MID(TableOUMPTCHSE[[#This Row],[Structure Line]],8,LEN(TableOUMPTCHSE[[#This Row],[Structure Line]]))</f>
        <v>Curriculum and Instruction Lower Secondary: The Arts</v>
      </c>
      <c r="E72" s="119">
        <f>TableOUMPTCHSE[[#This Row],[Credit Points]]</f>
        <v>25</v>
      </c>
      <c r="F72">
        <v>14</v>
      </c>
      <c r="G72" t="s">
        <v>548</v>
      </c>
      <c r="H72">
        <v>2</v>
      </c>
      <c r="I72" t="s">
        <v>514</v>
      </c>
      <c r="J72" t="s">
        <v>292</v>
      </c>
      <c r="K72">
        <v>1</v>
      </c>
      <c r="L72" t="s">
        <v>550</v>
      </c>
      <c r="M72">
        <v>25</v>
      </c>
      <c r="N72" s="275">
        <v>42736</v>
      </c>
      <c r="O72" s="275"/>
      <c r="Q72" t="s">
        <v>292</v>
      </c>
      <c r="R72">
        <v>1</v>
      </c>
    </row>
    <row r="73" spans="1:18" x14ac:dyDescent="0.25">
      <c r="A73" t="str">
        <f>TableOUMPTCHSE[[#This Row],[Study Package Code]]</f>
        <v>EDSC5042</v>
      </c>
      <c r="B73" s="1">
        <f>TableOUMPTCHSE[[#This Row],[Ver]]</f>
        <v>1</v>
      </c>
      <c r="C73" t="str">
        <f>LEFT(TableOUMPTCHSE[[#This Row],[Structure Line]],6)</f>
        <v>MTS507</v>
      </c>
      <c r="D73" t="str">
        <f>MID(TableOUMPTCHSE[[#This Row],[Structure Line]],8,LEN(TableOUMPTCHSE[[#This Row],[Structure Line]]))</f>
        <v>Curriculum and Instruction Lower Secondary: English</v>
      </c>
      <c r="E73" s="119">
        <f>TableOUMPTCHSE[[#This Row],[Credit Points]]</f>
        <v>25</v>
      </c>
      <c r="F73">
        <v>14</v>
      </c>
      <c r="G73" t="s">
        <v>548</v>
      </c>
      <c r="H73">
        <v>2</v>
      </c>
      <c r="I73" t="s">
        <v>514</v>
      </c>
      <c r="J73" t="s">
        <v>293</v>
      </c>
      <c r="K73">
        <v>1</v>
      </c>
      <c r="L73" t="s">
        <v>551</v>
      </c>
      <c r="M73">
        <v>25</v>
      </c>
      <c r="N73" s="275">
        <v>42736</v>
      </c>
      <c r="O73" s="275"/>
      <c r="Q73" t="s">
        <v>293</v>
      </c>
      <c r="R73">
        <v>1</v>
      </c>
    </row>
    <row r="74" spans="1:18" x14ac:dyDescent="0.25">
      <c r="A74" t="str">
        <f>TableOUMPTCHSE[[#This Row],[Study Package Code]]</f>
        <v>EDSC5043</v>
      </c>
      <c r="B74" s="1">
        <f>TableOUMPTCHSE[[#This Row],[Ver]]</f>
        <v>1</v>
      </c>
      <c r="C74" t="str">
        <f>LEFT(TableOUMPTCHSE[[#This Row],[Structure Line]],6)</f>
        <v>MTS508</v>
      </c>
      <c r="D74" t="str">
        <f>MID(TableOUMPTCHSE[[#This Row],[Structure Line]],8,LEN(TableOUMPTCHSE[[#This Row],[Structure Line]]))</f>
        <v>Curriculum and Instruction Lower Secondary: Humanities and Social Sciences</v>
      </c>
      <c r="E74" s="119">
        <f>TableOUMPTCHSE[[#This Row],[Credit Points]]</f>
        <v>25</v>
      </c>
      <c r="F74">
        <v>14</v>
      </c>
      <c r="G74" t="s">
        <v>548</v>
      </c>
      <c r="H74">
        <v>2</v>
      </c>
      <c r="I74" t="s">
        <v>514</v>
      </c>
      <c r="J74" t="s">
        <v>295</v>
      </c>
      <c r="K74">
        <v>1</v>
      </c>
      <c r="L74" t="s">
        <v>552</v>
      </c>
      <c r="M74">
        <v>25</v>
      </c>
      <c r="N74" s="275">
        <v>42736</v>
      </c>
      <c r="O74" s="275"/>
      <c r="Q74" t="s">
        <v>295</v>
      </c>
      <c r="R74">
        <v>1</v>
      </c>
    </row>
    <row r="75" spans="1:18" x14ac:dyDescent="0.25">
      <c r="A75" t="str">
        <f>TableOUMPTCHSE[[#This Row],[Study Package Code]]</f>
        <v>EDSC5044</v>
      </c>
      <c r="B75" s="1">
        <f>TableOUMPTCHSE[[#This Row],[Ver]]</f>
        <v>1</v>
      </c>
      <c r="C75" t="str">
        <f>LEFT(TableOUMPTCHSE[[#This Row],[Structure Line]],6)</f>
        <v>MTS509</v>
      </c>
      <c r="D75" t="str">
        <f>MID(TableOUMPTCHSE[[#This Row],[Structure Line]],8,LEN(TableOUMPTCHSE[[#This Row],[Structure Line]]))</f>
        <v>Curriculum and Instruction Lower Secondary: Mathematics</v>
      </c>
      <c r="E75" s="119">
        <f>TableOUMPTCHSE[[#This Row],[Credit Points]]</f>
        <v>25</v>
      </c>
      <c r="F75">
        <v>14</v>
      </c>
      <c r="G75" t="s">
        <v>548</v>
      </c>
      <c r="H75">
        <v>2</v>
      </c>
      <c r="I75" t="s">
        <v>514</v>
      </c>
      <c r="J75" t="s">
        <v>296</v>
      </c>
      <c r="K75">
        <v>1</v>
      </c>
      <c r="L75" t="s">
        <v>553</v>
      </c>
      <c r="M75">
        <v>25</v>
      </c>
      <c r="N75" s="275">
        <v>42736</v>
      </c>
      <c r="O75" s="275"/>
      <c r="Q75" t="s">
        <v>296</v>
      </c>
      <c r="R75">
        <v>1</v>
      </c>
    </row>
    <row r="76" spans="1:18" x14ac:dyDescent="0.25">
      <c r="A76" t="str">
        <f>TableOUMPTCHSE[[#This Row],[Study Package Code]]</f>
        <v>EDSC5045</v>
      </c>
      <c r="B76" s="1">
        <f>TableOUMPTCHSE[[#This Row],[Ver]]</f>
        <v>1</v>
      </c>
      <c r="C76" t="str">
        <f>LEFT(TableOUMPTCHSE[[#This Row],[Structure Line]],6)</f>
        <v>MTS510</v>
      </c>
      <c r="D76" t="str">
        <f>MID(TableOUMPTCHSE[[#This Row],[Structure Line]],8,LEN(TableOUMPTCHSE[[#This Row],[Structure Line]]))</f>
        <v>Curriculum and Instruction Lower Secondary: Science</v>
      </c>
      <c r="E76" s="119">
        <f>TableOUMPTCHSE[[#This Row],[Credit Points]]</f>
        <v>25</v>
      </c>
      <c r="F76">
        <v>14</v>
      </c>
      <c r="G76" t="s">
        <v>548</v>
      </c>
      <c r="H76">
        <v>2</v>
      </c>
      <c r="I76" t="s">
        <v>514</v>
      </c>
      <c r="J76" t="s">
        <v>297</v>
      </c>
      <c r="K76">
        <v>1</v>
      </c>
      <c r="L76" t="s">
        <v>554</v>
      </c>
      <c r="M76">
        <v>25</v>
      </c>
      <c r="N76" s="275">
        <v>42736</v>
      </c>
      <c r="O76" s="275"/>
      <c r="Q76" t="s">
        <v>297</v>
      </c>
      <c r="R76">
        <v>1</v>
      </c>
    </row>
    <row r="77" spans="1:18" x14ac:dyDescent="0.25">
      <c r="A77" t="str">
        <f>TableOUMPTCHSE[[#This Row],[Study Package Code]]</f>
        <v>EDSC5046</v>
      </c>
      <c r="B77" s="1">
        <f>TableOUMPTCHSE[[#This Row],[Ver]]</f>
        <v>2</v>
      </c>
      <c r="C77" t="str">
        <f>LEFT(TableOUMPTCHSE[[#This Row],[Structure Line]],6)</f>
        <v>MTS511</v>
      </c>
      <c r="D77" t="str">
        <f>MID(TableOUMPTCHSE[[#This Row],[Structure Line]],8,LEN(TableOUMPTCHSE[[#This Row],[Structure Line]]))</f>
        <v>Curriculum and Instruction Senior Secondary: The Arts</v>
      </c>
      <c r="E77" s="119">
        <f>TableOUMPTCHSE[[#This Row],[Credit Points]]</f>
        <v>25</v>
      </c>
      <c r="F77">
        <v>14</v>
      </c>
      <c r="G77" t="s">
        <v>548</v>
      </c>
      <c r="H77">
        <v>2</v>
      </c>
      <c r="I77" t="s">
        <v>514</v>
      </c>
      <c r="J77" t="s">
        <v>300</v>
      </c>
      <c r="K77">
        <v>2</v>
      </c>
      <c r="L77" t="s">
        <v>555</v>
      </c>
      <c r="M77">
        <v>25</v>
      </c>
      <c r="N77" s="275">
        <v>43831</v>
      </c>
      <c r="O77" s="275"/>
      <c r="Q77" t="s">
        <v>300</v>
      </c>
      <c r="R77">
        <v>2</v>
      </c>
    </row>
    <row r="78" spans="1:18" x14ac:dyDescent="0.25">
      <c r="A78" t="str">
        <f>TableOUMPTCHSE[[#This Row],[Study Package Code]]</f>
        <v>EDSC5048</v>
      </c>
      <c r="B78" s="1">
        <f>TableOUMPTCHSE[[#This Row],[Ver]]</f>
        <v>2</v>
      </c>
      <c r="C78" t="str">
        <f>LEFT(TableOUMPTCHSE[[#This Row],[Structure Line]],6)</f>
        <v>MTS513</v>
      </c>
      <c r="D78" t="str">
        <f>MID(TableOUMPTCHSE[[#This Row],[Structure Line]],8,LEN(TableOUMPTCHSE[[#This Row],[Structure Line]]))</f>
        <v>Curriculum and Instruction Senior Secondary: Humanities and Social Sciences</v>
      </c>
      <c r="E78" s="119">
        <f>TableOUMPTCHSE[[#This Row],[Credit Points]]</f>
        <v>25</v>
      </c>
      <c r="F78">
        <v>14</v>
      </c>
      <c r="G78" t="s">
        <v>548</v>
      </c>
      <c r="H78">
        <v>2</v>
      </c>
      <c r="I78" t="s">
        <v>514</v>
      </c>
      <c r="J78" t="s">
        <v>303</v>
      </c>
      <c r="K78">
        <v>2</v>
      </c>
      <c r="L78" t="s">
        <v>556</v>
      </c>
      <c r="M78">
        <v>25</v>
      </c>
      <c r="N78" s="275">
        <v>43831</v>
      </c>
      <c r="O78" s="275"/>
      <c r="Q78" t="s">
        <v>303</v>
      </c>
      <c r="R78">
        <v>2</v>
      </c>
    </row>
    <row r="79" spans="1:18" x14ac:dyDescent="0.25">
      <c r="A79" t="str">
        <f>TableOUMPTCHSE[[#This Row],[Study Package Code]]</f>
        <v>EDSC5049</v>
      </c>
      <c r="B79" s="1">
        <f>TableOUMPTCHSE[[#This Row],[Ver]]</f>
        <v>2</v>
      </c>
      <c r="C79" t="str">
        <f>LEFT(TableOUMPTCHSE[[#This Row],[Structure Line]],6)</f>
        <v>MTS514</v>
      </c>
      <c r="D79" t="str">
        <f>MID(TableOUMPTCHSE[[#This Row],[Structure Line]],8,LEN(TableOUMPTCHSE[[#This Row],[Structure Line]]))</f>
        <v>Curriculum and Instruction Senior Secondary: Mathematics</v>
      </c>
      <c r="E79" s="119">
        <f>TableOUMPTCHSE[[#This Row],[Credit Points]]</f>
        <v>25</v>
      </c>
      <c r="F79">
        <v>14</v>
      </c>
      <c r="G79" t="s">
        <v>548</v>
      </c>
      <c r="H79">
        <v>2</v>
      </c>
      <c r="I79" t="s">
        <v>514</v>
      </c>
      <c r="J79" t="s">
        <v>304</v>
      </c>
      <c r="K79">
        <v>2</v>
      </c>
      <c r="L79" t="s">
        <v>557</v>
      </c>
      <c r="M79">
        <v>25</v>
      </c>
      <c r="N79" s="275">
        <v>43831</v>
      </c>
      <c r="O79" s="275"/>
      <c r="Q79" t="s">
        <v>304</v>
      </c>
      <c r="R79">
        <v>2</v>
      </c>
    </row>
    <row r="80" spans="1:18" x14ac:dyDescent="0.25">
      <c r="A80" t="str">
        <f>TableOUMPTCHSE[[#This Row],[Study Package Code]]</f>
        <v>EDSC5050</v>
      </c>
      <c r="B80" s="1">
        <f>TableOUMPTCHSE[[#This Row],[Ver]]</f>
        <v>2</v>
      </c>
      <c r="C80" t="str">
        <f>LEFT(TableOUMPTCHSE[[#This Row],[Structure Line]],6)</f>
        <v>MTS515</v>
      </c>
      <c r="D80" t="str">
        <f>MID(TableOUMPTCHSE[[#This Row],[Structure Line]],8,LEN(TableOUMPTCHSE[[#This Row],[Structure Line]]))</f>
        <v>Curriculum and Instruction Senior Secondary: Science</v>
      </c>
      <c r="E80" s="119">
        <f>TableOUMPTCHSE[[#This Row],[Credit Points]]</f>
        <v>25</v>
      </c>
      <c r="F80">
        <v>14</v>
      </c>
      <c r="G80" t="s">
        <v>548</v>
      </c>
      <c r="H80">
        <v>2</v>
      </c>
      <c r="I80" t="s">
        <v>514</v>
      </c>
      <c r="J80" t="s">
        <v>305</v>
      </c>
      <c r="K80">
        <v>2</v>
      </c>
      <c r="L80" t="s">
        <v>558</v>
      </c>
      <c r="M80">
        <v>25</v>
      </c>
      <c r="N80" s="275">
        <v>43831</v>
      </c>
      <c r="O80" s="275"/>
      <c r="Q80" t="s">
        <v>305</v>
      </c>
      <c r="R80">
        <v>2</v>
      </c>
    </row>
    <row r="81" spans="1:18" x14ac:dyDescent="0.25">
      <c r="A81" t="str">
        <f>TableOUMPTCHSE[[#This Row],[Study Package Code]]</f>
        <v>EDSC5054</v>
      </c>
      <c r="B81" s="1">
        <f>TableOUMPTCHSE[[#This Row],[Ver]]</f>
        <v>1</v>
      </c>
      <c r="C81" t="str">
        <f>LEFT(TableOUMPTCHSE[[#This Row],[Structure Line]],6)</f>
        <v>MTS512</v>
      </c>
      <c r="D81" t="str">
        <f>MID(TableOUMPTCHSE[[#This Row],[Structure Line]],8,LEN(TableOUMPTCHSE[[#This Row],[Structure Line]]))</f>
        <v>Curriculum and Instruction Senior Secondary: English</v>
      </c>
      <c r="E81" s="119">
        <f>TableOUMPTCHSE[[#This Row],[Credit Points]]</f>
        <v>25</v>
      </c>
      <c r="F81">
        <v>14</v>
      </c>
      <c r="G81" t="s">
        <v>548</v>
      </c>
      <c r="H81">
        <v>2</v>
      </c>
      <c r="I81" t="s">
        <v>514</v>
      </c>
      <c r="J81" t="s">
        <v>301</v>
      </c>
      <c r="K81">
        <v>1</v>
      </c>
      <c r="L81" t="s">
        <v>559</v>
      </c>
      <c r="M81">
        <v>25</v>
      </c>
      <c r="N81" s="275">
        <v>43831</v>
      </c>
      <c r="O81" s="275"/>
      <c r="Q81" t="s">
        <v>301</v>
      </c>
      <c r="R81">
        <v>1</v>
      </c>
    </row>
    <row r="82" spans="1:18" x14ac:dyDescent="0.25">
      <c r="A82" t="str">
        <f>TableOUMPTCHSE[[#This Row],[Study Package Code]]</f>
        <v>EDSC5056</v>
      </c>
      <c r="B82" s="1">
        <f>TableOUMPTCHSE[[#This Row],[Ver]]</f>
        <v>1</v>
      </c>
      <c r="C82" t="str">
        <f>LEFT(TableOUMPTCHSE[[#This Row],[Structure Line]],6)</f>
        <v>MTS516</v>
      </c>
      <c r="D82" t="str">
        <f>MID(TableOUMPTCHSE[[#This Row],[Structure Line]],8,LEN(TableOUMPTCHSE[[#This Row],[Structure Line]]))</f>
        <v>Curriculum and Instruction Lower Secondary: Health and Physical Education</v>
      </c>
      <c r="E82" s="119">
        <f>TableOUMPTCHSE[[#This Row],[Credit Points]]</f>
        <v>25</v>
      </c>
      <c r="F82">
        <v>14</v>
      </c>
      <c r="G82" t="s">
        <v>548</v>
      </c>
      <c r="H82">
        <v>2</v>
      </c>
      <c r="I82" t="s">
        <v>514</v>
      </c>
      <c r="J82" t="s">
        <v>294</v>
      </c>
      <c r="K82">
        <v>1</v>
      </c>
      <c r="L82" t="s">
        <v>560</v>
      </c>
      <c r="M82">
        <v>25</v>
      </c>
      <c r="N82" s="275">
        <v>43831</v>
      </c>
      <c r="O82" s="275"/>
      <c r="Q82" t="s">
        <v>294</v>
      </c>
      <c r="R82">
        <v>1</v>
      </c>
    </row>
    <row r="83" spans="1:18" x14ac:dyDescent="0.25">
      <c r="A83" t="str">
        <f>TableOUMPTCHSE[[#This Row],[Study Package Code]]</f>
        <v>EDSC5058</v>
      </c>
      <c r="B83" s="1">
        <f>TableOUMPTCHSE[[#This Row],[Ver]]</f>
        <v>1</v>
      </c>
      <c r="C83" t="str">
        <f>LEFT(TableOUMPTCHSE[[#This Row],[Structure Line]],6)</f>
        <v>MTS517</v>
      </c>
      <c r="D83" t="str">
        <f>MID(TableOUMPTCHSE[[#This Row],[Structure Line]],8,LEN(TableOUMPTCHSE[[#This Row],[Structure Line]]))</f>
        <v>Curriculum and Instruction Senior Secondary: Health and Physical Education</v>
      </c>
      <c r="E83" s="119">
        <f>TableOUMPTCHSE[[#This Row],[Credit Points]]</f>
        <v>25</v>
      </c>
      <c r="F83">
        <v>14</v>
      </c>
      <c r="G83" t="s">
        <v>548</v>
      </c>
      <c r="H83">
        <v>2</v>
      </c>
      <c r="I83" t="s">
        <v>514</v>
      </c>
      <c r="J83" t="s">
        <v>302</v>
      </c>
      <c r="K83">
        <v>1</v>
      </c>
      <c r="L83" t="s">
        <v>561</v>
      </c>
      <c r="M83">
        <v>25</v>
      </c>
      <c r="N83" s="275">
        <v>43831</v>
      </c>
      <c r="O83" s="275"/>
      <c r="Q83" t="s">
        <v>302</v>
      </c>
      <c r="R83">
        <v>1</v>
      </c>
    </row>
    <row r="84" spans="1:18" x14ac:dyDescent="0.25">
      <c r="A84" t="str">
        <f>TableOUMPTCHSE[[#This Row],[Study Package Code]]</f>
        <v>EDSC5060</v>
      </c>
      <c r="B84" s="1">
        <f>TableOUMPTCHSE[[#This Row],[Ver]]</f>
        <v>1</v>
      </c>
      <c r="C84" t="str">
        <f>LEFT(TableOUMPTCHSE[[#This Row],[Structure Line]],6)</f>
        <v>MTS520</v>
      </c>
      <c r="D84" t="str">
        <f>MID(TableOUMPTCHSE[[#This Row],[Structure Line]],8,LEN(TableOUMPTCHSE[[#This Row],[Structure Line]]))</f>
        <v>Integrated Practice in the Secondary School</v>
      </c>
      <c r="E84" s="119">
        <f>TableOUMPTCHSE[[#This Row],[Credit Points]]</f>
        <v>25</v>
      </c>
      <c r="F84">
        <v>14</v>
      </c>
      <c r="G84" t="s">
        <v>548</v>
      </c>
      <c r="H84">
        <v>2</v>
      </c>
      <c r="I84" t="s">
        <v>514</v>
      </c>
      <c r="J84" t="s">
        <v>311</v>
      </c>
      <c r="K84">
        <v>1</v>
      </c>
      <c r="L84" t="s">
        <v>562</v>
      </c>
      <c r="M84">
        <v>25</v>
      </c>
      <c r="N84" s="275">
        <v>44562</v>
      </c>
      <c r="O84" s="275"/>
      <c r="Q84" t="s">
        <v>311</v>
      </c>
      <c r="R84">
        <v>1</v>
      </c>
    </row>
    <row r="85" spans="1:18" x14ac:dyDescent="0.25">
      <c r="A85" t="str">
        <f>TableOUMPTCHSE[[#This Row],[Study Package Code]]</f>
        <v>EDUC5034</v>
      </c>
      <c r="B85" s="1">
        <f>TableOUMPTCHSE[[#This Row],[Ver]]</f>
        <v>1</v>
      </c>
      <c r="C85" t="str">
        <f>LEFT(TableOUMPTCHSE[[#This Row],[Structure Line]],6)</f>
        <v>MTC520</v>
      </c>
      <c r="D85" t="str">
        <f>MID(TableOUMPTCHSE[[#This Row],[Structure Line]],8,LEN(TableOUMPTCHSE[[#This Row],[Structure Line]]))</f>
        <v>Mentoring, Coaching and Tutoring</v>
      </c>
      <c r="E85" s="119">
        <f>TableOUMPTCHSE[[#This Row],[Credit Points]]</f>
        <v>25</v>
      </c>
      <c r="F85">
        <v>14</v>
      </c>
      <c r="G85" t="s">
        <v>548</v>
      </c>
      <c r="H85">
        <v>2</v>
      </c>
      <c r="I85" t="s">
        <v>514</v>
      </c>
      <c r="J85" t="s">
        <v>309</v>
      </c>
      <c r="K85">
        <v>1</v>
      </c>
      <c r="L85" t="s">
        <v>563</v>
      </c>
      <c r="M85">
        <v>25</v>
      </c>
      <c r="N85" s="275">
        <v>44562</v>
      </c>
      <c r="O85" s="275"/>
      <c r="Q85" t="s">
        <v>309</v>
      </c>
      <c r="R85">
        <v>1</v>
      </c>
    </row>
    <row r="86" spans="1:18" x14ac:dyDescent="0.25">
      <c r="B86"/>
      <c r="E86"/>
    </row>
    <row r="87" spans="1:18" x14ac:dyDescent="0.25">
      <c r="B87"/>
      <c r="E87"/>
      <c r="F87" s="115"/>
      <c r="G87" s="116" t="s">
        <v>501</v>
      </c>
      <c r="H87" s="277">
        <v>43647</v>
      </c>
      <c r="J87" s="276" t="s">
        <v>124</v>
      </c>
      <c r="K87" s="118" t="s">
        <v>85</v>
      </c>
      <c r="L87" s="175" t="s">
        <v>43</v>
      </c>
      <c r="N87" s="116" t="s">
        <v>503</v>
      </c>
      <c r="O87" s="296">
        <v>45302</v>
      </c>
    </row>
    <row r="88" spans="1:18" x14ac:dyDescent="0.25">
      <c r="A88" t="s">
        <v>0</v>
      </c>
      <c r="B88" s="1" t="s">
        <v>79</v>
      </c>
      <c r="C88" t="s">
        <v>21</v>
      </c>
      <c r="D88" t="s">
        <v>3</v>
      </c>
      <c r="E88" s="119" t="s">
        <v>504</v>
      </c>
      <c r="F88" t="s">
        <v>505</v>
      </c>
      <c r="G88" t="s">
        <v>506</v>
      </c>
      <c r="H88" t="s">
        <v>507</v>
      </c>
      <c r="I88" t="s">
        <v>22</v>
      </c>
      <c r="J88" t="s">
        <v>508</v>
      </c>
      <c r="K88" t="s">
        <v>1</v>
      </c>
      <c r="L88" t="s">
        <v>62</v>
      </c>
      <c r="M88" t="s">
        <v>80</v>
      </c>
      <c r="N88" s="274" t="s">
        <v>509</v>
      </c>
      <c r="O88" s="274" t="s">
        <v>510</v>
      </c>
      <c r="Q88" t="s">
        <v>511</v>
      </c>
      <c r="R88" t="s">
        <v>512</v>
      </c>
    </row>
    <row r="89" spans="1:18" x14ac:dyDescent="0.25">
      <c r="A89" t="str">
        <f>TableOMAPLING[[#This Row],[Study Package Code]]</f>
        <v>EDUC6036</v>
      </c>
      <c r="B89" s="1">
        <f>TableOMAPLING[[#This Row],[Ver]]</f>
        <v>2</v>
      </c>
      <c r="C89" t="str">
        <f>LEFT(TableOMAPLING[[#This Row],[Structure Line]],7)</f>
        <v>EDMC502</v>
      </c>
      <c r="D89" t="str">
        <f>MID(TableOMAPLING[[#This Row],[Structure Line]],9,LEN(TableOMAPLING[[#This Row],[Structure Line]]))</f>
        <v>Negotiated Capstone Project</v>
      </c>
      <c r="E89" s="119">
        <f>TableOMAPLING[[#This Row],[Credit Points]]</f>
        <v>50</v>
      </c>
      <c r="F89">
        <v>1</v>
      </c>
      <c r="G89" t="s">
        <v>516</v>
      </c>
      <c r="H89">
        <v>1</v>
      </c>
      <c r="I89" t="s">
        <v>514</v>
      </c>
      <c r="J89" t="s">
        <v>179</v>
      </c>
      <c r="K89">
        <v>2</v>
      </c>
      <c r="L89" t="s">
        <v>564</v>
      </c>
      <c r="M89">
        <v>50</v>
      </c>
      <c r="N89" s="275">
        <v>44562</v>
      </c>
      <c r="O89" s="275"/>
      <c r="Q89" t="s">
        <v>179</v>
      </c>
      <c r="R89">
        <v>2</v>
      </c>
    </row>
    <row r="90" spans="1:18" x14ac:dyDescent="0.25">
      <c r="A90" t="str">
        <f>TableOMAPLING[[#This Row],[Study Package Code]]</f>
        <v>LING6009</v>
      </c>
      <c r="B90" s="1">
        <f>TableOMAPLING[[#This Row],[Ver]]</f>
        <v>1</v>
      </c>
      <c r="C90" t="str">
        <f>LEFT(TableOMAPLING[[#This Row],[Structure Line]],7)</f>
        <v>EDML500</v>
      </c>
      <c r="D90" t="str">
        <f>MID(TableOMAPLING[[#This Row],[Structure Line]],9,LEN(TableOMAPLING[[#This Row],[Structure Line]]))</f>
        <v>Language Acquisition</v>
      </c>
      <c r="E90" s="119">
        <f>TableOMAPLING[[#This Row],[Credit Points]]</f>
        <v>25</v>
      </c>
      <c r="F90">
        <v>2</v>
      </c>
      <c r="G90" t="s">
        <v>516</v>
      </c>
      <c r="H90">
        <v>1</v>
      </c>
      <c r="I90" t="s">
        <v>514</v>
      </c>
      <c r="J90" t="s">
        <v>226</v>
      </c>
      <c r="K90">
        <v>1</v>
      </c>
      <c r="L90" t="s">
        <v>565</v>
      </c>
      <c r="M90">
        <v>25</v>
      </c>
      <c r="N90" s="275">
        <v>42552</v>
      </c>
      <c r="O90" s="275"/>
      <c r="Q90" t="s">
        <v>226</v>
      </c>
      <c r="R90">
        <v>1</v>
      </c>
    </row>
    <row r="91" spans="1:18" x14ac:dyDescent="0.25">
      <c r="A91" t="str">
        <f>TableOMAPLING[[#This Row],[Study Package Code]]</f>
        <v>EDUC6026</v>
      </c>
      <c r="B91" s="1">
        <f>TableOMAPLING[[#This Row],[Ver]]</f>
        <v>2</v>
      </c>
      <c r="C91" t="str">
        <f>LEFT(TableOMAPLING[[#This Row],[Structure Line]],7)</f>
        <v>EDML501</v>
      </c>
      <c r="D91" t="str">
        <f>MID(TableOMAPLING[[#This Row],[Structure Line]],9,LEN(TableOMAPLING[[#This Row],[Structure Line]]))</f>
        <v>Language Teaching Methodologies</v>
      </c>
      <c r="E91" s="119">
        <f>TableOMAPLING[[#This Row],[Credit Points]]</f>
        <v>25</v>
      </c>
      <c r="F91">
        <v>3</v>
      </c>
      <c r="G91" t="s">
        <v>516</v>
      </c>
      <c r="H91">
        <v>1</v>
      </c>
      <c r="I91" t="s">
        <v>514</v>
      </c>
      <c r="J91" t="s">
        <v>171</v>
      </c>
      <c r="K91">
        <v>2</v>
      </c>
      <c r="L91" t="s">
        <v>566</v>
      </c>
      <c r="M91">
        <v>25</v>
      </c>
      <c r="N91" s="275">
        <v>44562</v>
      </c>
      <c r="O91" s="275"/>
      <c r="Q91" t="s">
        <v>171</v>
      </c>
      <c r="R91">
        <v>2</v>
      </c>
    </row>
    <row r="92" spans="1:18" x14ac:dyDescent="0.25">
      <c r="A92" t="str">
        <f>TableOMAPLING[[#This Row],[Study Package Code]]</f>
        <v>LING6008</v>
      </c>
      <c r="B92" s="1">
        <f>TableOMAPLING[[#This Row],[Ver]]</f>
        <v>1</v>
      </c>
      <c r="C92" t="str">
        <f>LEFT(TableOMAPLING[[#This Row],[Structure Line]],7)</f>
        <v>EDML502</v>
      </c>
      <c r="D92" t="str">
        <f>MID(TableOMAPLING[[#This Row],[Structure Line]],9,LEN(TableOMAPLING[[#This Row],[Structure Line]]))</f>
        <v>Language in Society</v>
      </c>
      <c r="E92" s="119">
        <f>TableOMAPLING[[#This Row],[Credit Points]]</f>
        <v>25</v>
      </c>
      <c r="F92">
        <v>4</v>
      </c>
      <c r="G92" t="s">
        <v>516</v>
      </c>
      <c r="H92">
        <v>1</v>
      </c>
      <c r="I92" t="s">
        <v>514</v>
      </c>
      <c r="J92" t="s">
        <v>180</v>
      </c>
      <c r="K92">
        <v>1</v>
      </c>
      <c r="L92" t="s">
        <v>567</v>
      </c>
      <c r="M92">
        <v>25</v>
      </c>
      <c r="N92" s="275">
        <v>42736</v>
      </c>
      <c r="O92" s="275"/>
      <c r="Q92" t="s">
        <v>180</v>
      </c>
      <c r="R92">
        <v>1</v>
      </c>
    </row>
    <row r="93" spans="1:18" x14ac:dyDescent="0.25">
      <c r="A93" t="str">
        <f>TableOMAPLING[[#This Row],[Study Package Code]]</f>
        <v>EDUC6028</v>
      </c>
      <c r="B93" s="1">
        <f>TableOMAPLING[[#This Row],[Ver]]</f>
        <v>1</v>
      </c>
      <c r="C93" t="str">
        <f>LEFT(TableOMAPLING[[#This Row],[Structure Line]],7)</f>
        <v>EDML503</v>
      </c>
      <c r="D93" t="str">
        <f>MID(TableOMAPLING[[#This Row],[Structure Line]],9,LEN(TableOMAPLING[[#This Row],[Structure Line]]))</f>
        <v>Language Teaching Course Design and Assessment</v>
      </c>
      <c r="E93" s="119">
        <f>TableOMAPLING[[#This Row],[Credit Points]]</f>
        <v>25</v>
      </c>
      <c r="F93">
        <v>5</v>
      </c>
      <c r="G93" t="s">
        <v>516</v>
      </c>
      <c r="H93">
        <v>1</v>
      </c>
      <c r="I93" t="s">
        <v>514</v>
      </c>
      <c r="J93" t="s">
        <v>227</v>
      </c>
      <c r="K93">
        <v>1</v>
      </c>
      <c r="L93" t="s">
        <v>568</v>
      </c>
      <c r="M93">
        <v>25</v>
      </c>
      <c r="N93" s="275">
        <v>42736</v>
      </c>
      <c r="O93" s="275"/>
      <c r="Q93" t="s">
        <v>227</v>
      </c>
      <c r="R93">
        <v>1</v>
      </c>
    </row>
    <row r="94" spans="1:18" x14ac:dyDescent="0.25">
      <c r="A94" t="str">
        <f>TableOMAPLING[[#This Row],[Study Package Code]]</f>
        <v>EDUC6042</v>
      </c>
      <c r="B94" s="1">
        <f>TableOMAPLING[[#This Row],[Ver]]</f>
        <v>1</v>
      </c>
      <c r="C94" t="str">
        <f>LEFT(TableOMAPLING[[#This Row],[Structure Line]],7)</f>
        <v>EDML540</v>
      </c>
      <c r="D94" t="str">
        <f>MID(TableOMAPLING[[#This Row],[Structure Line]],9,LEN(TableOMAPLING[[#This Row],[Structure Line]]))</f>
        <v>Special Topics in Applied Linguistics</v>
      </c>
      <c r="E94" s="119">
        <f>TableOMAPLING[[#This Row],[Credit Points]]</f>
        <v>25</v>
      </c>
      <c r="F94">
        <v>6</v>
      </c>
      <c r="G94" t="s">
        <v>516</v>
      </c>
      <c r="H94">
        <v>1</v>
      </c>
      <c r="I94" t="s">
        <v>514</v>
      </c>
      <c r="J94" t="s">
        <v>223</v>
      </c>
      <c r="K94">
        <v>1</v>
      </c>
      <c r="L94" t="s">
        <v>569</v>
      </c>
      <c r="M94">
        <v>25</v>
      </c>
      <c r="N94" s="275">
        <v>43647</v>
      </c>
      <c r="O94" s="275"/>
      <c r="Q94" t="s">
        <v>223</v>
      </c>
      <c r="R94">
        <v>1</v>
      </c>
    </row>
    <row r="95" spans="1:18" x14ac:dyDescent="0.25">
      <c r="A95" t="str">
        <f>TableOMAPLING[[#This Row],[Study Package Code]]</f>
        <v>EDUC6043</v>
      </c>
      <c r="B95" s="1">
        <f>TableOMAPLING[[#This Row],[Ver]]</f>
        <v>1</v>
      </c>
      <c r="C95" t="str">
        <f>LEFT(TableOMAPLING[[#This Row],[Structure Line]],7)</f>
        <v>EDML550</v>
      </c>
      <c r="D95" t="str">
        <f>MID(TableOMAPLING[[#This Row],[Structure Line]],9,LEN(TableOMAPLING[[#This Row],[Structure Line]]))</f>
        <v>Research Methods in Applied Linguistics</v>
      </c>
      <c r="E95" s="119">
        <f>TableOMAPLING[[#This Row],[Credit Points]]</f>
        <v>25</v>
      </c>
      <c r="F95">
        <v>7</v>
      </c>
      <c r="G95" t="s">
        <v>516</v>
      </c>
      <c r="H95">
        <v>1</v>
      </c>
      <c r="I95" t="s">
        <v>514</v>
      </c>
      <c r="J95" t="s">
        <v>222</v>
      </c>
      <c r="K95">
        <v>1</v>
      </c>
      <c r="L95" t="s">
        <v>570</v>
      </c>
      <c r="M95">
        <v>25</v>
      </c>
      <c r="N95" s="275">
        <v>43647</v>
      </c>
      <c r="O95" s="275"/>
      <c r="Q95" t="s">
        <v>222</v>
      </c>
      <c r="R95">
        <v>1</v>
      </c>
    </row>
    <row r="96" spans="1:18" x14ac:dyDescent="0.25">
      <c r="B96"/>
      <c r="E96"/>
      <c r="F96" s="115"/>
      <c r="G96" s="116" t="s">
        <v>501</v>
      </c>
      <c r="H96" s="277">
        <v>44197</v>
      </c>
      <c r="J96" s="276" t="s">
        <v>101</v>
      </c>
      <c r="K96" s="118" t="s">
        <v>85</v>
      </c>
      <c r="L96" s="175" t="s">
        <v>100</v>
      </c>
      <c r="N96" s="116" t="s">
        <v>503</v>
      </c>
      <c r="O96" s="296">
        <v>45302</v>
      </c>
    </row>
    <row r="97" spans="1:18" x14ac:dyDescent="0.25">
      <c r="A97" t="s">
        <v>0</v>
      </c>
      <c r="B97" s="1" t="s">
        <v>79</v>
      </c>
      <c r="C97" t="s">
        <v>21</v>
      </c>
      <c r="D97" t="s">
        <v>3</v>
      </c>
      <c r="E97" s="119" t="s">
        <v>504</v>
      </c>
      <c r="F97" t="s">
        <v>505</v>
      </c>
      <c r="G97" t="s">
        <v>506</v>
      </c>
      <c r="H97" t="s">
        <v>507</v>
      </c>
      <c r="I97" t="s">
        <v>22</v>
      </c>
      <c r="J97" t="s">
        <v>508</v>
      </c>
      <c r="K97" t="s">
        <v>1</v>
      </c>
      <c r="L97" t="s">
        <v>62</v>
      </c>
      <c r="M97" t="s">
        <v>80</v>
      </c>
      <c r="N97" s="274" t="s">
        <v>509</v>
      </c>
      <c r="O97" s="274" t="s">
        <v>510</v>
      </c>
      <c r="Q97" t="s">
        <v>511</v>
      </c>
      <c r="R97" t="s">
        <v>512</v>
      </c>
    </row>
    <row r="98" spans="1:18" x14ac:dyDescent="0.25">
      <c r="A98" t="str">
        <f>TableOCTESOL1[[#This Row],[Study Package Code]]</f>
        <v>EDUC5024</v>
      </c>
      <c r="B98" s="1">
        <f>TableOCTESOL1[[#This Row],[Ver]]</f>
        <v>1</v>
      </c>
      <c r="C98" t="str">
        <f>LEFT(TableOCTESOL1[[#This Row],[Structure Line]],8)</f>
        <v>TESOL502</v>
      </c>
      <c r="D98" t="str">
        <f>MID(TableOCTESOL1[[#This Row],[Structure Line]],10,LEN(TableOCTESOL1[[#This Row],[Structure Line]]))</f>
        <v>Teaching English to Speakers of Other Languages Methodologies</v>
      </c>
      <c r="E98" s="119">
        <f>TableOCTESOL1[[#This Row],[Credit Points]]</f>
        <v>25</v>
      </c>
      <c r="F98">
        <v>1</v>
      </c>
      <c r="G98" t="s">
        <v>516</v>
      </c>
      <c r="H98">
        <v>1</v>
      </c>
      <c r="I98" t="s">
        <v>514</v>
      </c>
      <c r="J98" t="s">
        <v>220</v>
      </c>
      <c r="K98">
        <v>1</v>
      </c>
      <c r="L98" t="s">
        <v>571</v>
      </c>
      <c r="M98">
        <v>25</v>
      </c>
      <c r="N98" s="275">
        <v>42736</v>
      </c>
      <c r="O98" s="275"/>
      <c r="Q98" t="s">
        <v>220</v>
      </c>
      <c r="R98">
        <v>1</v>
      </c>
    </row>
    <row r="99" spans="1:18" x14ac:dyDescent="0.25">
      <c r="A99" t="str">
        <f>TableOCTESOL1[[#This Row],[Study Package Code]]</f>
        <v>EDUC5020</v>
      </c>
      <c r="B99" s="1">
        <f>TableOCTESOL1[[#This Row],[Ver]]</f>
        <v>1</v>
      </c>
      <c r="C99" t="str">
        <f>LEFT(TableOCTESOL1[[#This Row],[Structure Line]],8)</f>
        <v>TESOL503</v>
      </c>
      <c r="D99" t="str">
        <f>MID(TableOCTESOL1[[#This Row],[Structure Line]],10,LEN(TableOCTESOL1[[#This Row],[Structure Line]]))</f>
        <v>Introduction to Language</v>
      </c>
      <c r="E99" s="119">
        <f>TableOCTESOL1[[#This Row],[Credit Points]]</f>
        <v>25</v>
      </c>
      <c r="F99">
        <v>2</v>
      </c>
      <c r="G99" t="s">
        <v>516</v>
      </c>
      <c r="H99">
        <v>1</v>
      </c>
      <c r="I99" t="s">
        <v>514</v>
      </c>
      <c r="J99" t="s">
        <v>221</v>
      </c>
      <c r="K99">
        <v>1</v>
      </c>
      <c r="L99" t="s">
        <v>572</v>
      </c>
      <c r="M99">
        <v>25</v>
      </c>
      <c r="N99" s="275">
        <v>42736</v>
      </c>
      <c r="O99" s="275"/>
      <c r="Q99" t="s">
        <v>221</v>
      </c>
      <c r="R99">
        <v>1</v>
      </c>
    </row>
    <row r="100" spans="1:18" x14ac:dyDescent="0.25">
      <c r="A100" t="str">
        <f>TableOCTESOL1[[#This Row],[Study Package Code]]</f>
        <v>EDUC5026</v>
      </c>
      <c r="B100" s="1">
        <f>TableOCTESOL1[[#This Row],[Ver]]</f>
        <v>1</v>
      </c>
      <c r="C100" t="str">
        <f>LEFT(TableOCTESOL1[[#This Row],[Structure Line]],8)</f>
        <v>TESOL504</v>
      </c>
      <c r="D100" t="str">
        <f>MID(TableOCTESOL1[[#This Row],[Structure Line]],10,LEN(TableOCTESOL1[[#This Row],[Structure Line]]))</f>
        <v>Transcultural Communication</v>
      </c>
      <c r="E100" s="119">
        <f>TableOCTESOL1[[#This Row],[Credit Points]]</f>
        <v>25</v>
      </c>
      <c r="F100">
        <v>3</v>
      </c>
      <c r="G100" t="s">
        <v>516</v>
      </c>
      <c r="H100">
        <v>1</v>
      </c>
      <c r="I100" t="s">
        <v>514</v>
      </c>
      <c r="J100" t="s">
        <v>225</v>
      </c>
      <c r="K100">
        <v>1</v>
      </c>
      <c r="L100" t="s">
        <v>573</v>
      </c>
      <c r="M100">
        <v>25</v>
      </c>
      <c r="N100" s="275">
        <v>42736</v>
      </c>
      <c r="O100" s="275"/>
      <c r="Q100" t="s">
        <v>225</v>
      </c>
      <c r="R100">
        <v>1</v>
      </c>
    </row>
    <row r="101" spans="1:18" x14ac:dyDescent="0.25">
      <c r="A101" t="str">
        <f>TableOCTESOL1[[#This Row],[Study Package Code]]</f>
        <v>AltCoreTESOL</v>
      </c>
      <c r="B101" s="1">
        <f>TableOCTESOL1[[#This Row],[Ver]]</f>
        <v>0</v>
      </c>
      <c r="D101" t="str">
        <f>TableOCTESOL1[[#This Row],[Structure Line]]</f>
        <v>Choose TESOL501 or TESOL505</v>
      </c>
      <c r="E101" s="119">
        <f>TableOCTESOL1[[#This Row],[Credit Points]]</f>
        <v>25</v>
      </c>
      <c r="F101">
        <v>4</v>
      </c>
      <c r="G101" t="s">
        <v>513</v>
      </c>
      <c r="H101">
        <v>1</v>
      </c>
      <c r="I101" t="s">
        <v>514</v>
      </c>
      <c r="J101" t="s">
        <v>224</v>
      </c>
      <c r="K101">
        <v>0</v>
      </c>
      <c r="L101" t="s">
        <v>574</v>
      </c>
      <c r="M101">
        <v>25</v>
      </c>
      <c r="N101" s="275"/>
      <c r="O101" s="275"/>
      <c r="Q101" t="s">
        <v>224</v>
      </c>
      <c r="R101">
        <v>0</v>
      </c>
    </row>
    <row r="102" spans="1:18" x14ac:dyDescent="0.25">
      <c r="A102" t="str">
        <f>TableOCTESOL1[[#This Row],[Study Package Code]]</f>
        <v>EDUC5022</v>
      </c>
      <c r="B102" s="1">
        <f>TableOCTESOL1[[#This Row],[Ver]]</f>
        <v>1</v>
      </c>
      <c r="C102" t="str">
        <f>LEFT(TableOCTESOL1[[#This Row],[Structure Line]],8)</f>
        <v>TESOL501</v>
      </c>
      <c r="D102" t="str">
        <f>MID(TableOCTESOL1[[#This Row],[Structure Line]],10,LEN(TableOCTESOL1[[#This Row],[Structure Line]]))</f>
        <v>Materials Design and Assessment</v>
      </c>
      <c r="E102" s="119">
        <f>TableOCTESOL1[[#This Row],[Credit Points]]</f>
        <v>25</v>
      </c>
      <c r="F102">
        <v>4</v>
      </c>
      <c r="G102" t="s">
        <v>513</v>
      </c>
      <c r="H102">
        <v>1</v>
      </c>
      <c r="I102" t="s">
        <v>514</v>
      </c>
      <c r="J102" t="s">
        <v>230</v>
      </c>
      <c r="K102">
        <v>1</v>
      </c>
      <c r="L102" t="s">
        <v>575</v>
      </c>
      <c r="M102">
        <v>25</v>
      </c>
      <c r="N102" s="275">
        <v>42736</v>
      </c>
      <c r="O102" s="275"/>
      <c r="Q102" t="s">
        <v>230</v>
      </c>
      <c r="R102">
        <v>1</v>
      </c>
    </row>
    <row r="103" spans="1:18" x14ac:dyDescent="0.25">
      <c r="A103" t="str">
        <f>TableOCTESOL1[[#This Row],[Study Package Code]]</f>
        <v>EDUC5029</v>
      </c>
      <c r="B103" s="1">
        <f>TableOCTESOL1[[#This Row],[Ver]]</f>
        <v>2</v>
      </c>
      <c r="C103" t="str">
        <f>LEFT(TableOCTESOL1[[#This Row],[Structure Line]],8)</f>
        <v>TESOL505</v>
      </c>
      <c r="D103" t="str">
        <f>MID(TableOCTESOL1[[#This Row],[Structure Line]],10,LEN(TableOCTESOL1[[#This Row],[Structure Line]]))</f>
        <v>Language Teaching Practice</v>
      </c>
      <c r="E103" s="119">
        <f>TableOCTESOL1[[#This Row],[Credit Points]]</f>
        <v>25</v>
      </c>
      <c r="F103">
        <v>4</v>
      </c>
      <c r="G103" t="s">
        <v>513</v>
      </c>
      <c r="H103">
        <v>1</v>
      </c>
      <c r="I103" t="s">
        <v>514</v>
      </c>
      <c r="J103" t="s">
        <v>232</v>
      </c>
      <c r="K103">
        <v>2</v>
      </c>
      <c r="L103" t="s">
        <v>576</v>
      </c>
      <c r="M103">
        <v>25</v>
      </c>
      <c r="N103" s="275">
        <v>44562</v>
      </c>
      <c r="O103" s="275"/>
      <c r="Q103" t="s">
        <v>232</v>
      </c>
      <c r="R103">
        <v>2</v>
      </c>
    </row>
    <row r="104" spans="1:18" x14ac:dyDescent="0.25">
      <c r="B104"/>
      <c r="E104"/>
      <c r="F104" s="115"/>
      <c r="G104" s="116" t="s">
        <v>501</v>
      </c>
      <c r="H104" s="277">
        <v>42736</v>
      </c>
      <c r="J104" s="276" t="s">
        <v>104</v>
      </c>
      <c r="K104" s="118" t="s">
        <v>105</v>
      </c>
      <c r="L104" s="175" t="s">
        <v>44</v>
      </c>
      <c r="N104" s="116" t="s">
        <v>503</v>
      </c>
      <c r="O104" s="296">
        <v>45302</v>
      </c>
    </row>
    <row r="105" spans="1:18" x14ac:dyDescent="0.25">
      <c r="A105" t="s">
        <v>0</v>
      </c>
      <c r="B105" s="1" t="s">
        <v>79</v>
      </c>
      <c r="C105" t="s">
        <v>21</v>
      </c>
      <c r="D105" t="s">
        <v>3</v>
      </c>
      <c r="E105" s="119" t="s">
        <v>504</v>
      </c>
      <c r="F105" t="s">
        <v>505</v>
      </c>
      <c r="G105" t="s">
        <v>506</v>
      </c>
      <c r="H105" t="s">
        <v>507</v>
      </c>
      <c r="I105" t="s">
        <v>22</v>
      </c>
      <c r="J105" t="s">
        <v>508</v>
      </c>
      <c r="K105" t="s">
        <v>1</v>
      </c>
      <c r="L105" t="s">
        <v>62</v>
      </c>
      <c r="M105" t="s">
        <v>80</v>
      </c>
      <c r="N105" s="274" t="s">
        <v>509</v>
      </c>
      <c r="O105" s="274" t="s">
        <v>510</v>
      </c>
      <c r="Q105" t="s">
        <v>511</v>
      </c>
      <c r="R105" t="s">
        <v>512</v>
      </c>
    </row>
    <row r="106" spans="1:18" x14ac:dyDescent="0.25">
      <c r="A106" t="str">
        <f>TableOCTESOL[[#This Row],[Study Package Code]]</f>
        <v>AltCoreTESOL</v>
      </c>
      <c r="B106" s="1">
        <f>TableOCTESOL[[#This Row],[Ver]]</f>
        <v>0</v>
      </c>
      <c r="D106" t="str">
        <f>TableOCTESOL[[#This Row],[Structure Line]]</f>
        <v>Choose TESOL501 or TESOL505</v>
      </c>
      <c r="E106" s="119" t="str">
        <f>TableOCTESOL[[#This Row],[Credit Points]]</f>
        <v/>
      </c>
      <c r="F106">
        <v>1</v>
      </c>
      <c r="G106" t="s">
        <v>513</v>
      </c>
      <c r="H106">
        <v>0</v>
      </c>
      <c r="I106" t="s">
        <v>514</v>
      </c>
      <c r="J106" t="s">
        <v>224</v>
      </c>
      <c r="K106">
        <v>0</v>
      </c>
      <c r="L106" t="s">
        <v>574</v>
      </c>
      <c r="M106" t="s">
        <v>494</v>
      </c>
      <c r="N106" s="275"/>
      <c r="O106" s="275"/>
      <c r="Q106" t="s">
        <v>224</v>
      </c>
      <c r="R106">
        <v>0</v>
      </c>
    </row>
    <row r="107" spans="1:18" x14ac:dyDescent="0.25">
      <c r="A107" t="str">
        <f>TableOCTESOL[[#This Row],[Study Package Code]]</f>
        <v>EDUC5024</v>
      </c>
      <c r="B107" s="1">
        <f>TableOCTESOL[[#This Row],[Ver]]</f>
        <v>1</v>
      </c>
      <c r="C107" t="str">
        <f>LEFT(TableOCTESOL[[#This Row],[Structure Line]],8)</f>
        <v>TESOL502</v>
      </c>
      <c r="D107" t="str">
        <f>MID(TableOCTESOL[[#This Row],[Structure Line]],10,LEN(TableOCTESOL[[#This Row],[Structure Line]]))</f>
        <v>Teaching English to Speakers of Other Languages Methodologies</v>
      </c>
      <c r="E107" s="119">
        <f>TableOCTESOL[[#This Row],[Credit Points]]</f>
        <v>25</v>
      </c>
      <c r="F107">
        <v>2</v>
      </c>
      <c r="G107" t="s">
        <v>516</v>
      </c>
      <c r="H107">
        <v>0</v>
      </c>
      <c r="I107" t="s">
        <v>514</v>
      </c>
      <c r="J107" t="s">
        <v>220</v>
      </c>
      <c r="K107">
        <v>1</v>
      </c>
      <c r="L107" t="s">
        <v>571</v>
      </c>
      <c r="M107">
        <v>25</v>
      </c>
      <c r="N107" s="275">
        <v>42736</v>
      </c>
      <c r="O107" s="275"/>
      <c r="Q107" t="s">
        <v>220</v>
      </c>
      <c r="R107">
        <v>1</v>
      </c>
    </row>
    <row r="108" spans="1:18" x14ac:dyDescent="0.25">
      <c r="A108" t="str">
        <f>TableOCTESOL[[#This Row],[Study Package Code]]</f>
        <v>EDUC5020</v>
      </c>
      <c r="B108" s="1">
        <f>TableOCTESOL[[#This Row],[Ver]]</f>
        <v>1</v>
      </c>
      <c r="C108" t="str">
        <f>LEFT(TableOCTESOL[[#This Row],[Structure Line]],8)</f>
        <v>TESOL503</v>
      </c>
      <c r="D108" t="str">
        <f>MID(TableOCTESOL[[#This Row],[Structure Line]],10,LEN(TableOCTESOL[[#This Row],[Structure Line]]))</f>
        <v>Introduction to Language</v>
      </c>
      <c r="E108" s="119">
        <f>TableOCTESOL[[#This Row],[Credit Points]]</f>
        <v>25</v>
      </c>
      <c r="F108">
        <v>3</v>
      </c>
      <c r="G108" t="s">
        <v>516</v>
      </c>
      <c r="H108">
        <v>0</v>
      </c>
      <c r="I108" t="s">
        <v>514</v>
      </c>
      <c r="J108" t="s">
        <v>221</v>
      </c>
      <c r="K108">
        <v>1</v>
      </c>
      <c r="L108" t="s">
        <v>572</v>
      </c>
      <c r="M108">
        <v>25</v>
      </c>
      <c r="N108" s="275">
        <v>42736</v>
      </c>
      <c r="O108" s="275"/>
      <c r="Q108" t="s">
        <v>221</v>
      </c>
      <c r="R108">
        <v>1</v>
      </c>
    </row>
    <row r="109" spans="1:18" x14ac:dyDescent="0.25">
      <c r="A109" t="str">
        <f>TableOCTESOL[[#This Row],[Study Package Code]]</f>
        <v>EDUC5026</v>
      </c>
      <c r="B109" s="1">
        <f>TableOCTESOL[[#This Row],[Ver]]</f>
        <v>1</v>
      </c>
      <c r="C109" t="str">
        <f>LEFT(TableOCTESOL[[#This Row],[Structure Line]],8)</f>
        <v>TESOL504</v>
      </c>
      <c r="D109" t="str">
        <f>MID(TableOCTESOL[[#This Row],[Structure Line]],10,LEN(TableOCTESOL[[#This Row],[Structure Line]]))</f>
        <v>Transcultural Communication</v>
      </c>
      <c r="E109" s="119">
        <f>TableOCTESOL[[#This Row],[Credit Points]]</f>
        <v>25</v>
      </c>
      <c r="F109">
        <v>4</v>
      </c>
      <c r="G109" t="s">
        <v>516</v>
      </c>
      <c r="H109">
        <v>0</v>
      </c>
      <c r="I109" t="s">
        <v>514</v>
      </c>
      <c r="J109" t="s">
        <v>225</v>
      </c>
      <c r="K109">
        <v>1</v>
      </c>
      <c r="L109" t="s">
        <v>573</v>
      </c>
      <c r="M109">
        <v>25</v>
      </c>
      <c r="N109" s="275">
        <v>42736</v>
      </c>
      <c r="O109" s="275"/>
      <c r="Q109" t="s">
        <v>225</v>
      </c>
      <c r="R109">
        <v>1</v>
      </c>
    </row>
    <row r="110" spans="1:18" x14ac:dyDescent="0.25">
      <c r="A110" t="str">
        <f>TableOCTESOL[[#This Row],[Study Package Code]]</f>
        <v>EDUC5022</v>
      </c>
      <c r="B110" s="1">
        <f>TableOCTESOL[[#This Row],[Ver]]</f>
        <v>1</v>
      </c>
      <c r="C110" t="str">
        <f>LEFT(TableOCTESOL[[#This Row],[Structure Line]],8)</f>
        <v>TESOL501</v>
      </c>
      <c r="D110" t="str">
        <f>MID(TableOCTESOL[[#This Row],[Structure Line]],10,LEN(TableOCTESOL[[#This Row],[Structure Line]]))</f>
        <v>Materials Design and Assessment</v>
      </c>
      <c r="E110" s="119">
        <f>TableOCTESOL[[#This Row],[Credit Points]]</f>
        <v>25</v>
      </c>
      <c r="F110">
        <v>1</v>
      </c>
      <c r="G110" t="s">
        <v>513</v>
      </c>
      <c r="H110">
        <v>0</v>
      </c>
      <c r="I110" t="s">
        <v>514</v>
      </c>
      <c r="J110" t="s">
        <v>230</v>
      </c>
      <c r="K110">
        <v>1</v>
      </c>
      <c r="L110" t="s">
        <v>575</v>
      </c>
      <c r="M110">
        <v>25</v>
      </c>
      <c r="N110" s="275">
        <v>42736</v>
      </c>
      <c r="O110" s="275"/>
      <c r="Q110" t="s">
        <v>230</v>
      </c>
      <c r="R110">
        <v>1</v>
      </c>
    </row>
    <row r="111" spans="1:18" x14ac:dyDescent="0.25">
      <c r="A111" t="str">
        <f>TableOCTESOL[[#This Row],[Study Package Code]]</f>
        <v>EDUC5029</v>
      </c>
      <c r="B111" s="1">
        <f>TableOCTESOL[[#This Row],[Ver]]</f>
        <v>2</v>
      </c>
      <c r="C111" t="str">
        <f>LEFT(TableOCTESOL[[#This Row],[Structure Line]],8)</f>
        <v>TESOL505</v>
      </c>
      <c r="D111" t="str">
        <f>MID(TableOCTESOL[[#This Row],[Structure Line]],10,LEN(TableOCTESOL[[#This Row],[Structure Line]]))</f>
        <v>Language Teaching Practice</v>
      </c>
      <c r="E111" s="119">
        <f>TableOCTESOL[[#This Row],[Credit Points]]</f>
        <v>25</v>
      </c>
      <c r="F111">
        <v>1</v>
      </c>
      <c r="G111" t="s">
        <v>513</v>
      </c>
      <c r="H111">
        <v>0</v>
      </c>
      <c r="I111" t="s">
        <v>514</v>
      </c>
      <c r="J111" t="s">
        <v>232</v>
      </c>
      <c r="K111">
        <v>2</v>
      </c>
      <c r="L111" t="s">
        <v>576</v>
      </c>
      <c r="M111">
        <v>25</v>
      </c>
      <c r="N111" s="275">
        <v>44562</v>
      </c>
      <c r="O111" s="275"/>
      <c r="Q111" t="s">
        <v>232</v>
      </c>
      <c r="R111">
        <v>2</v>
      </c>
    </row>
    <row r="113" spans="1:18" x14ac:dyDescent="0.25">
      <c r="B113"/>
      <c r="E113"/>
      <c r="F113" s="115"/>
      <c r="G113" s="116" t="s">
        <v>501</v>
      </c>
      <c r="H113" s="277">
        <v>44562</v>
      </c>
      <c r="J113" s="276" t="s">
        <v>125</v>
      </c>
      <c r="K113" s="118" t="s">
        <v>105</v>
      </c>
      <c r="L113" s="175" t="s">
        <v>37</v>
      </c>
      <c r="N113" s="116" t="s">
        <v>503</v>
      </c>
      <c r="O113" s="296">
        <v>45302</v>
      </c>
    </row>
    <row r="114" spans="1:18" x14ac:dyDescent="0.25">
      <c r="A114" t="s">
        <v>0</v>
      </c>
      <c r="B114" s="1" t="s">
        <v>79</v>
      </c>
      <c r="C114" t="s">
        <v>21</v>
      </c>
      <c r="D114" t="s">
        <v>3</v>
      </c>
      <c r="E114" s="119" t="s">
        <v>504</v>
      </c>
      <c r="F114" t="s">
        <v>505</v>
      </c>
      <c r="G114" t="s">
        <v>506</v>
      </c>
      <c r="H114" t="s">
        <v>507</v>
      </c>
      <c r="I114" t="s">
        <v>22</v>
      </c>
      <c r="J114" t="s">
        <v>508</v>
      </c>
      <c r="K114" t="s">
        <v>1</v>
      </c>
      <c r="L114" t="s">
        <v>62</v>
      </c>
      <c r="M114" t="s">
        <v>80</v>
      </c>
      <c r="N114" s="274" t="s">
        <v>509</v>
      </c>
      <c r="O114" s="274" t="s">
        <v>510</v>
      </c>
      <c r="Q114" t="s">
        <v>511</v>
      </c>
      <c r="R114" t="s">
        <v>512</v>
      </c>
    </row>
    <row r="115" spans="1:18" x14ac:dyDescent="0.25">
      <c r="A115" t="str">
        <f>TableOMEDUC[[#This Row],[Study Package Code]]</f>
        <v>EDUC6034</v>
      </c>
      <c r="B115" s="1">
        <f>TableOMEDUC[[#This Row],[Ver]]</f>
        <v>2</v>
      </c>
      <c r="C115" t="str">
        <f>LEFT(TableOMEDUC[[#This Row],[Structure Line]],7)</f>
        <v>EDMC500</v>
      </c>
      <c r="D115" t="str">
        <f>MID(TableOMEDUC[[#This Row],[Structure Line]],9,LEN(TableOMEDUC[[#This Row],[Structure Line]]))</f>
        <v>Perspectives on Educational Research</v>
      </c>
      <c r="E115" s="119">
        <f>TableOMEDUC[[#This Row],[Credit Points]]</f>
        <v>25</v>
      </c>
      <c r="F115">
        <v>1</v>
      </c>
      <c r="G115" t="s">
        <v>516</v>
      </c>
      <c r="H115">
        <v>1</v>
      </c>
      <c r="I115" t="s">
        <v>514</v>
      </c>
      <c r="J115" t="s">
        <v>162</v>
      </c>
      <c r="K115">
        <v>2</v>
      </c>
      <c r="L115" t="s">
        <v>577</v>
      </c>
      <c r="M115">
        <v>25</v>
      </c>
      <c r="N115" s="275">
        <v>44562</v>
      </c>
      <c r="O115" s="275"/>
      <c r="Q115" t="s">
        <v>162</v>
      </c>
      <c r="R115">
        <v>2</v>
      </c>
    </row>
    <row r="116" spans="1:18" x14ac:dyDescent="0.25">
      <c r="A116" t="str">
        <f>TableOMEDUC[[#This Row],[Study Package Code]]</f>
        <v>EDUC6036</v>
      </c>
      <c r="B116" s="1">
        <f>TableOMEDUC[[#This Row],[Ver]]</f>
        <v>2</v>
      </c>
      <c r="C116" t="str">
        <f>LEFT(TableOMEDUC[[#This Row],[Structure Line]],7)</f>
        <v>EDMC502</v>
      </c>
      <c r="D116" t="str">
        <f>MID(TableOMEDUC[[#This Row],[Structure Line]],9,LEN(TableOMEDUC[[#This Row],[Structure Line]]))</f>
        <v>Negotiated Capstone Project</v>
      </c>
      <c r="E116" s="119">
        <f>TableOMEDUC[[#This Row],[Credit Points]]</f>
        <v>50</v>
      </c>
      <c r="F116">
        <v>2</v>
      </c>
      <c r="G116" t="s">
        <v>516</v>
      </c>
      <c r="H116">
        <v>1</v>
      </c>
      <c r="I116" t="s">
        <v>514</v>
      </c>
      <c r="J116" t="s">
        <v>179</v>
      </c>
      <c r="K116">
        <v>2</v>
      </c>
      <c r="L116" t="s">
        <v>564</v>
      </c>
      <c r="M116">
        <v>50</v>
      </c>
      <c r="N116" s="275">
        <v>44562</v>
      </c>
      <c r="O116" s="275"/>
      <c r="Q116" t="s">
        <v>179</v>
      </c>
      <c r="R116">
        <v>2</v>
      </c>
    </row>
    <row r="117" spans="1:18" x14ac:dyDescent="0.25">
      <c r="A117" t="str">
        <f>TableOMEDUC[[#This Row],[Study Package Code]]</f>
        <v>EDUC6047</v>
      </c>
      <c r="B117" s="1">
        <f>TableOMEDUC[[#This Row],[Ver]]</f>
        <v>1</v>
      </c>
      <c r="C117" t="str">
        <f>LEFT(TableOMEDUC[[#This Row],[Structure Line]],7)</f>
        <v>EDMC600</v>
      </c>
      <c r="D117" t="str">
        <f>MID(TableOMEDUC[[#This Row],[Structure Line]],9,LEN(TableOMEDUC[[#This Row],[Structure Line]]))</f>
        <v>Education in the Post-Truth Era</v>
      </c>
      <c r="E117" s="119">
        <f>TableOMEDUC[[#This Row],[Credit Points]]</f>
        <v>25</v>
      </c>
      <c r="F117">
        <v>3</v>
      </c>
      <c r="G117" t="s">
        <v>516</v>
      </c>
      <c r="H117">
        <v>1</v>
      </c>
      <c r="I117" t="s">
        <v>514</v>
      </c>
      <c r="J117" t="s">
        <v>164</v>
      </c>
      <c r="K117">
        <v>1</v>
      </c>
      <c r="L117" t="s">
        <v>578</v>
      </c>
      <c r="M117">
        <v>25</v>
      </c>
      <c r="N117" s="275">
        <v>44562</v>
      </c>
      <c r="O117" s="275"/>
      <c r="Q117" t="s">
        <v>164</v>
      </c>
      <c r="R117">
        <v>1</v>
      </c>
    </row>
    <row r="118" spans="1:18" x14ac:dyDescent="0.25">
      <c r="A118" t="str">
        <f>TableOMEDUC[[#This Row],[Study Package Code]]</f>
        <v>OptionMEd</v>
      </c>
      <c r="B118" s="1">
        <f>TableOMEDUC[[#This Row],[Ver]]</f>
        <v>0</v>
      </c>
      <c r="D118" t="str">
        <f>TableOMEDUC[[#This Row],[Structure Line]]</f>
        <v>Choose a specialisation OR Choose Optional units from the list to the value of 100 credit points</v>
      </c>
      <c r="E118" s="119">
        <f>TableOMEDUC[[#This Row],[Credit Points]]</f>
        <v>100</v>
      </c>
      <c r="F118">
        <v>4</v>
      </c>
      <c r="G118" t="s">
        <v>548</v>
      </c>
      <c r="H118">
        <v>1</v>
      </c>
      <c r="I118" t="s">
        <v>514</v>
      </c>
      <c r="J118" t="s">
        <v>579</v>
      </c>
      <c r="K118">
        <v>0</v>
      </c>
      <c r="L118" t="s">
        <v>580</v>
      </c>
      <c r="M118">
        <v>100</v>
      </c>
      <c r="N118" s="275"/>
      <c r="O118" s="275"/>
      <c r="Q118" t="s">
        <v>579</v>
      </c>
      <c r="R118">
        <v>0</v>
      </c>
    </row>
    <row r="119" spans="1:18" x14ac:dyDescent="0.25">
      <c r="A119" t="str">
        <f>TableOMEDUC[[#This Row],[Study Package Code]]</f>
        <v>EDUC6026</v>
      </c>
      <c r="B119" s="1">
        <f>TableOMEDUC[[#This Row],[Ver]]</f>
        <v>2</v>
      </c>
      <c r="C119" t="str">
        <f>LEFT(TableOMEDUC[[#This Row],[Structure Line]],7)</f>
        <v>EDML501</v>
      </c>
      <c r="D119" s="280" t="str">
        <f>MID(TableOMEDUC[[#This Row],[Structure Line]],9,LEN(TableOMEDUC[[#This Row],[Structure Line]]))</f>
        <v>Language Teaching Methodologies</v>
      </c>
      <c r="E119" s="119">
        <f>TableOMEDUC[[#This Row],[Credit Points]]</f>
        <v>25</v>
      </c>
      <c r="F119">
        <v>4</v>
      </c>
      <c r="G119" t="s">
        <v>548</v>
      </c>
      <c r="H119">
        <v>1</v>
      </c>
      <c r="I119" t="s">
        <v>514</v>
      </c>
      <c r="J119" t="s">
        <v>171</v>
      </c>
      <c r="K119">
        <v>2</v>
      </c>
      <c r="L119" t="s">
        <v>566</v>
      </c>
      <c r="M119">
        <v>25</v>
      </c>
      <c r="N119" s="275">
        <v>44562</v>
      </c>
      <c r="O119" s="275"/>
      <c r="Q119" t="s">
        <v>171</v>
      </c>
      <c r="R119">
        <v>2</v>
      </c>
    </row>
    <row r="120" spans="1:18" x14ac:dyDescent="0.25">
      <c r="A120" t="str">
        <f>TableOMEDUC[[#This Row],[Study Package Code]]</f>
        <v>EDUC6049</v>
      </c>
      <c r="B120" s="1">
        <f>TableOMEDUC[[#This Row],[Ver]]</f>
        <v>1</v>
      </c>
      <c r="C120" t="str">
        <f>LEFT(TableOMEDUC[[#This Row],[Structure Line]],7)</f>
        <v>EDMS610</v>
      </c>
      <c r="D120" s="280" t="str">
        <f>MID(TableOMEDUC[[#This Row],[Structure Line]],9,LEN(TableOMEDUC[[#This Row],[Structure Line]]))</f>
        <v>Designing STEM Integration</v>
      </c>
      <c r="E120" s="119">
        <f>TableOMEDUC[[#This Row],[Credit Points]]</f>
        <v>25</v>
      </c>
      <c r="F120">
        <v>4</v>
      </c>
      <c r="G120" t="s">
        <v>548</v>
      </c>
      <c r="H120">
        <v>1</v>
      </c>
      <c r="I120" t="s">
        <v>514</v>
      </c>
      <c r="J120" t="s">
        <v>175</v>
      </c>
      <c r="K120">
        <v>1</v>
      </c>
      <c r="L120" t="s">
        <v>581</v>
      </c>
      <c r="M120">
        <v>25</v>
      </c>
      <c r="N120" s="275">
        <v>44562</v>
      </c>
      <c r="O120" s="275"/>
      <c r="Q120" t="s">
        <v>175</v>
      </c>
      <c r="R120">
        <v>1</v>
      </c>
    </row>
    <row r="121" spans="1:18" x14ac:dyDescent="0.25">
      <c r="A121" t="str">
        <f>TableOMEDUC[[#This Row],[Study Package Code]]</f>
        <v>EDUC6051</v>
      </c>
      <c r="B121" s="1">
        <f>TableOMEDUC[[#This Row],[Ver]]</f>
        <v>1</v>
      </c>
      <c r="C121" t="str">
        <f>LEFT(TableOMEDUC[[#This Row],[Structure Line]],7)</f>
        <v>EDMP600</v>
      </c>
      <c r="D121" s="280" t="str">
        <f>MID(TableOMEDUC[[#This Row],[Structure Line]],9,LEN(TableOMEDUC[[#This Row],[Structure Line]]))</f>
        <v>Education for a Future: Learning for Sustainability</v>
      </c>
      <c r="E121" s="119">
        <f>TableOMEDUC[[#This Row],[Credit Points]]</f>
        <v>25</v>
      </c>
      <c r="F121">
        <v>4</v>
      </c>
      <c r="G121" t="s">
        <v>548</v>
      </c>
      <c r="H121">
        <v>1</v>
      </c>
      <c r="I121" t="s">
        <v>514</v>
      </c>
      <c r="J121" t="s">
        <v>181</v>
      </c>
      <c r="K121">
        <v>1</v>
      </c>
      <c r="L121" t="s">
        <v>582</v>
      </c>
      <c r="M121">
        <v>25</v>
      </c>
      <c r="N121" s="275">
        <v>44562</v>
      </c>
      <c r="O121" s="275"/>
      <c r="Q121" t="s">
        <v>181</v>
      </c>
      <c r="R121">
        <v>1</v>
      </c>
    </row>
    <row r="122" spans="1:18" x14ac:dyDescent="0.25">
      <c r="A122" t="str">
        <f>TableOMEDUC[[#This Row],[Study Package Code]]</f>
        <v>EDUC6053</v>
      </c>
      <c r="B122" s="1">
        <f>TableOMEDUC[[#This Row],[Ver]]</f>
        <v>1</v>
      </c>
      <c r="C122" t="str">
        <f>LEFT(TableOMEDUC[[#This Row],[Structure Line]],7)</f>
        <v>EDMP610</v>
      </c>
      <c r="D122" s="280" t="str">
        <f>MID(TableOMEDUC[[#This Row],[Structure Line]],9,LEN(TableOMEDUC[[#This Row],[Structure Line]]))</f>
        <v>Emerging Technologies and the Future of Learning</v>
      </c>
      <c r="E122" s="119">
        <f>TableOMEDUC[[#This Row],[Credit Points]]</f>
        <v>25</v>
      </c>
      <c r="F122">
        <v>4</v>
      </c>
      <c r="G122" t="s">
        <v>548</v>
      </c>
      <c r="H122">
        <v>1</v>
      </c>
      <c r="I122" t="s">
        <v>514</v>
      </c>
      <c r="J122" t="s">
        <v>170</v>
      </c>
      <c r="K122">
        <v>1</v>
      </c>
      <c r="L122" t="s">
        <v>583</v>
      </c>
      <c r="M122">
        <v>25</v>
      </c>
      <c r="N122" s="275">
        <v>44562</v>
      </c>
      <c r="O122" s="275"/>
      <c r="Q122" t="s">
        <v>170</v>
      </c>
      <c r="R122">
        <v>1</v>
      </c>
    </row>
    <row r="123" spans="1:18" x14ac:dyDescent="0.25">
      <c r="A123" t="str">
        <f>TableOMEDUC[[#This Row],[Study Package Code]]</f>
        <v>EDUC6055</v>
      </c>
      <c r="B123" s="1">
        <f>TableOMEDUC[[#This Row],[Ver]]</f>
        <v>1</v>
      </c>
      <c r="C123" t="str">
        <f>LEFT(TableOMEDUC[[#This Row],[Structure Line]],7)</f>
        <v>EDMP620</v>
      </c>
      <c r="D123" s="280" t="str">
        <f>MID(TableOMEDUC[[#This Row],[Structure Line]],9,LEN(TableOMEDUC[[#This Row],[Structure Line]]))</f>
        <v>Empowering Learners Through Social Justice Leadership</v>
      </c>
      <c r="E123" s="119">
        <f>TableOMEDUC[[#This Row],[Credit Points]]</f>
        <v>25</v>
      </c>
      <c r="F123">
        <v>4</v>
      </c>
      <c r="G123" t="s">
        <v>548</v>
      </c>
      <c r="H123">
        <v>1</v>
      </c>
      <c r="I123" t="s">
        <v>514</v>
      </c>
      <c r="J123" t="s">
        <v>172</v>
      </c>
      <c r="K123">
        <v>1</v>
      </c>
      <c r="L123" t="s">
        <v>584</v>
      </c>
      <c r="M123">
        <v>25</v>
      </c>
      <c r="N123" s="275">
        <v>44562</v>
      </c>
      <c r="O123" s="275"/>
      <c r="Q123" t="s">
        <v>172</v>
      </c>
      <c r="R123">
        <v>1</v>
      </c>
    </row>
    <row r="124" spans="1:18" x14ac:dyDescent="0.25">
      <c r="A124" t="str">
        <f>TableOMEDUC[[#This Row],[Study Package Code]]</f>
        <v>EDUC6057</v>
      </c>
      <c r="B124" s="1">
        <f>TableOMEDUC[[#This Row],[Ver]]</f>
        <v>1</v>
      </c>
      <c r="C124" t="str">
        <f>LEFT(TableOMEDUC[[#This Row],[Structure Line]],7)</f>
        <v>EDML600</v>
      </c>
      <c r="D124" s="280" t="str">
        <f>MID(TableOMEDUC[[#This Row],[Structure Line]],9,LEN(TableOMEDUC[[#This Row],[Structure Line]]))</f>
        <v>Leading Learning in Multilingual Contexts</v>
      </c>
      <c r="E124" s="119">
        <f>TableOMEDUC[[#This Row],[Credit Points]]</f>
        <v>25</v>
      </c>
      <c r="F124">
        <v>4</v>
      </c>
      <c r="G124" t="s">
        <v>548</v>
      </c>
      <c r="H124">
        <v>1</v>
      </c>
      <c r="I124" t="s">
        <v>514</v>
      </c>
      <c r="J124" t="s">
        <v>169</v>
      </c>
      <c r="K124">
        <v>1</v>
      </c>
      <c r="L124" t="s">
        <v>585</v>
      </c>
      <c r="M124">
        <v>25</v>
      </c>
      <c r="N124" s="275">
        <v>44562</v>
      </c>
      <c r="O124" s="275"/>
      <c r="Q124" t="s">
        <v>169</v>
      </c>
      <c r="R124">
        <v>1</v>
      </c>
    </row>
    <row r="125" spans="1:18" x14ac:dyDescent="0.25">
      <c r="A125" t="str">
        <f>TableOMEDUC[[#This Row],[Study Package Code]]</f>
        <v>EDUC6059</v>
      </c>
      <c r="B125" s="1">
        <f>TableOMEDUC[[#This Row],[Ver]]</f>
        <v>1</v>
      </c>
      <c r="C125" t="str">
        <f>LEFT(TableOMEDUC[[#This Row],[Structure Line]],7)</f>
        <v>EDMP630</v>
      </c>
      <c r="D125" s="280" t="str">
        <f>MID(TableOMEDUC[[#This Row],[Structure Line]],9,LEN(TableOMEDUC[[#This Row],[Structure Line]]))</f>
        <v>Pedagogies for Learner and Community Diversity</v>
      </c>
      <c r="E125" s="119">
        <f>TableOMEDUC[[#This Row],[Credit Points]]</f>
        <v>25</v>
      </c>
      <c r="F125">
        <v>4</v>
      </c>
      <c r="G125" t="s">
        <v>548</v>
      </c>
      <c r="H125">
        <v>1</v>
      </c>
      <c r="I125" t="s">
        <v>514</v>
      </c>
      <c r="J125" t="s">
        <v>173</v>
      </c>
      <c r="K125">
        <v>1</v>
      </c>
      <c r="L125" t="s">
        <v>586</v>
      </c>
      <c r="M125">
        <v>25</v>
      </c>
      <c r="N125" s="275">
        <v>44562</v>
      </c>
      <c r="O125" s="275"/>
      <c r="Q125" t="s">
        <v>173</v>
      </c>
      <c r="R125">
        <v>1</v>
      </c>
    </row>
    <row r="126" spans="1:18" x14ac:dyDescent="0.25">
      <c r="A126" t="str">
        <f>TableOMEDUC[[#This Row],[Study Package Code]]</f>
        <v>EDUC6061</v>
      </c>
      <c r="B126" s="1">
        <f>TableOMEDUC[[#This Row],[Ver]]</f>
        <v>1</v>
      </c>
      <c r="C126" t="str">
        <f>LEFT(TableOMEDUC[[#This Row],[Structure Line]],7)</f>
        <v>EDMS600</v>
      </c>
      <c r="D126" s="280" t="str">
        <f>MID(TableOMEDUC[[#This Row],[Structure Line]],9,LEN(TableOMEDUC[[#This Row],[Structure Line]]))</f>
        <v>Becoming a Leader of STEM Education</v>
      </c>
      <c r="E126" s="119">
        <f>TableOMEDUC[[#This Row],[Credit Points]]</f>
        <v>25</v>
      </c>
      <c r="F126">
        <v>4</v>
      </c>
      <c r="G126" t="s">
        <v>548</v>
      </c>
      <c r="H126">
        <v>1</v>
      </c>
      <c r="I126" t="s">
        <v>514</v>
      </c>
      <c r="J126" t="s">
        <v>174</v>
      </c>
      <c r="K126">
        <v>1</v>
      </c>
      <c r="L126" t="s">
        <v>587</v>
      </c>
      <c r="M126">
        <v>25</v>
      </c>
      <c r="N126" s="275">
        <v>44562</v>
      </c>
      <c r="O126" s="275"/>
      <c r="Q126" t="s">
        <v>174</v>
      </c>
      <c r="R126">
        <v>1</v>
      </c>
    </row>
    <row r="127" spans="1:18" x14ac:dyDescent="0.25">
      <c r="A127" t="str">
        <f>TableOMEDUC[[#This Row],[Study Package Code]]</f>
        <v>LING6008</v>
      </c>
      <c r="B127" s="1">
        <f>TableOMEDUC[[#This Row],[Ver]]</f>
        <v>1</v>
      </c>
      <c r="C127" t="str">
        <f>LEFT(TableOMEDUC[[#This Row],[Structure Line]],7)</f>
        <v>EDML502</v>
      </c>
      <c r="D127" t="str">
        <f>MID(TableOMEDUC[[#This Row],[Structure Line]],9,LEN(TableOMEDUC[[#This Row],[Structure Line]]))</f>
        <v>Language in Society</v>
      </c>
      <c r="E127" s="119">
        <f>TableOMEDUC[[#This Row],[Credit Points]]</f>
        <v>25</v>
      </c>
      <c r="F127">
        <v>4</v>
      </c>
      <c r="G127" t="s">
        <v>548</v>
      </c>
      <c r="H127">
        <v>1</v>
      </c>
      <c r="I127" t="s">
        <v>514</v>
      </c>
      <c r="J127" s="280" t="s">
        <v>180</v>
      </c>
      <c r="K127" s="280">
        <v>1</v>
      </c>
      <c r="L127" s="280" t="s">
        <v>567</v>
      </c>
      <c r="M127">
        <v>25</v>
      </c>
      <c r="N127" s="275">
        <v>42736</v>
      </c>
      <c r="O127" s="275"/>
      <c r="Q127" t="s">
        <v>588</v>
      </c>
      <c r="R127">
        <v>2</v>
      </c>
    </row>
    <row r="128" spans="1:18" x14ac:dyDescent="0.25">
      <c r="A128" t="str">
        <f>TableOMEDUC[[#This Row],[Study Package Code]]</f>
        <v>OSEP-CULIN</v>
      </c>
      <c r="B128" s="1">
        <f>TableOMEDUC[[#This Row],[Ver]]</f>
        <v>1</v>
      </c>
      <c r="D128" t="str">
        <f>TableOMEDUC[[#This Row],[Structure Line]]</f>
        <v>Cultural and Linguistic Diversity Specialisation (MEd OpenUnis)</v>
      </c>
      <c r="E128" s="119">
        <f>TableOMEDUC[[#This Row],[Credit Points]]</f>
        <v>100</v>
      </c>
      <c r="F128">
        <v>4</v>
      </c>
      <c r="G128" t="s">
        <v>548</v>
      </c>
      <c r="H128">
        <v>1</v>
      </c>
      <c r="I128" t="s">
        <v>514</v>
      </c>
      <c r="J128" t="s">
        <v>202</v>
      </c>
      <c r="K128">
        <v>1</v>
      </c>
      <c r="L128" t="s">
        <v>201</v>
      </c>
      <c r="M128">
        <v>100</v>
      </c>
      <c r="N128" s="275">
        <v>44562</v>
      </c>
      <c r="O128" s="275"/>
      <c r="Q128" t="s">
        <v>202</v>
      </c>
      <c r="R128">
        <v>1</v>
      </c>
    </row>
    <row r="129" spans="1:18" x14ac:dyDescent="0.25">
      <c r="A129" t="str">
        <f>TableOMEDUC[[#This Row],[Study Package Code]]</f>
        <v>OSEP-LNTCH</v>
      </c>
      <c r="B129" s="1">
        <f>TableOMEDUC[[#This Row],[Ver]]</f>
        <v>1</v>
      </c>
      <c r="D129" t="str">
        <f>TableOMEDUC[[#This Row],[Structure Line]]</f>
        <v>Innovative Learning and Teaching Specialisation (MEd OpenUnis)</v>
      </c>
      <c r="E129" s="119">
        <f>TableOMEDUC[[#This Row],[Credit Points]]</f>
        <v>100</v>
      </c>
      <c r="F129">
        <v>4</v>
      </c>
      <c r="G129" t="s">
        <v>548</v>
      </c>
      <c r="H129">
        <v>1</v>
      </c>
      <c r="I129" t="s">
        <v>514</v>
      </c>
      <c r="J129" t="s">
        <v>205</v>
      </c>
      <c r="K129">
        <v>1</v>
      </c>
      <c r="L129" t="s">
        <v>204</v>
      </c>
      <c r="M129">
        <v>100</v>
      </c>
      <c r="N129" s="275">
        <v>44562</v>
      </c>
      <c r="O129" s="275"/>
      <c r="Q129" t="s">
        <v>205</v>
      </c>
      <c r="R129">
        <v>1</v>
      </c>
    </row>
    <row r="130" spans="1:18" x14ac:dyDescent="0.25">
      <c r="A130" t="str">
        <f>TableOMEDUC[[#This Row],[Study Package Code]]</f>
        <v>OSEP-STEME</v>
      </c>
      <c r="B130" s="1">
        <f>TableOMEDUC[[#This Row],[Ver]]</f>
        <v>1</v>
      </c>
      <c r="D130" t="str">
        <f>TableOMEDUC[[#This Row],[Structure Line]]</f>
        <v>Innovative STEM Education Specialisation (MEd OpenUnis)</v>
      </c>
      <c r="E130" s="119">
        <f>TableOMEDUC[[#This Row],[Credit Points]]</f>
        <v>100</v>
      </c>
      <c r="F130">
        <v>4</v>
      </c>
      <c r="G130" t="s">
        <v>548</v>
      </c>
      <c r="H130">
        <v>1</v>
      </c>
      <c r="I130" t="s">
        <v>514</v>
      </c>
      <c r="J130" t="s">
        <v>208</v>
      </c>
      <c r="K130">
        <v>1</v>
      </c>
      <c r="L130" t="s">
        <v>207</v>
      </c>
      <c r="M130">
        <v>100</v>
      </c>
      <c r="N130" s="275">
        <v>44562</v>
      </c>
      <c r="O130" s="275"/>
      <c r="Q130" t="s">
        <v>208</v>
      </c>
      <c r="R130">
        <v>1</v>
      </c>
    </row>
    <row r="131" spans="1:18" x14ac:dyDescent="0.25">
      <c r="B131"/>
      <c r="E131"/>
      <c r="F131" s="115"/>
      <c r="G131" s="116" t="s">
        <v>501</v>
      </c>
      <c r="H131" s="277">
        <v>44562</v>
      </c>
      <c r="J131" s="276" t="s">
        <v>202</v>
      </c>
      <c r="K131" s="118" t="s">
        <v>85</v>
      </c>
      <c r="L131" s="175" t="s">
        <v>201</v>
      </c>
      <c r="N131" s="116" t="s">
        <v>503</v>
      </c>
      <c r="O131" s="296">
        <v>45302</v>
      </c>
    </row>
    <row r="132" spans="1:18" x14ac:dyDescent="0.25">
      <c r="A132" t="s">
        <v>0</v>
      </c>
      <c r="B132" s="1" t="s">
        <v>79</v>
      </c>
      <c r="C132" t="s">
        <v>21</v>
      </c>
      <c r="D132" t="s">
        <v>3</v>
      </c>
      <c r="E132" s="119" t="s">
        <v>504</v>
      </c>
      <c r="F132" t="s">
        <v>505</v>
      </c>
      <c r="G132" t="s">
        <v>506</v>
      </c>
      <c r="H132" t="s">
        <v>507</v>
      </c>
      <c r="I132" t="s">
        <v>22</v>
      </c>
      <c r="J132" t="s">
        <v>508</v>
      </c>
      <c r="K132" t="s">
        <v>1</v>
      </c>
      <c r="L132" t="s">
        <v>62</v>
      </c>
      <c r="M132" t="s">
        <v>80</v>
      </c>
      <c r="N132" s="274" t="s">
        <v>509</v>
      </c>
      <c r="O132" s="274" t="s">
        <v>510</v>
      </c>
      <c r="Q132" t="s">
        <v>511</v>
      </c>
      <c r="R132" t="s">
        <v>512</v>
      </c>
    </row>
    <row r="133" spans="1:18" x14ac:dyDescent="0.25">
      <c r="A133" t="str">
        <f>TableOSEPCULIN[[#This Row],[Study Package Code]]</f>
        <v>EDUC6026</v>
      </c>
      <c r="B133" s="1">
        <f>TableOSEPCULIN[[#This Row],[Ver]]</f>
        <v>2</v>
      </c>
      <c r="C133" t="str">
        <f>LEFT(TableOSEPCULIN[[#This Row],[Structure Line]],8)</f>
        <v xml:space="preserve">EDML501 </v>
      </c>
      <c r="D133" t="str">
        <f>MID(TableOSEPCULIN[[#This Row],[Structure Line]],9,LEN(TableOSEPCULIN[[#This Row],[Structure Line]]))</f>
        <v>Language Teaching Methodologies</v>
      </c>
      <c r="E133" s="119">
        <f>TableOSEPCULIN[[#This Row],[Credit Points]]</f>
        <v>25</v>
      </c>
      <c r="F133">
        <v>1</v>
      </c>
      <c r="G133" t="s">
        <v>516</v>
      </c>
      <c r="H133">
        <v>1</v>
      </c>
      <c r="I133" t="s">
        <v>514</v>
      </c>
      <c r="J133" t="s">
        <v>171</v>
      </c>
      <c r="K133">
        <v>2</v>
      </c>
      <c r="L133" t="s">
        <v>566</v>
      </c>
      <c r="M133">
        <v>25</v>
      </c>
      <c r="N133" s="275">
        <v>44562</v>
      </c>
      <c r="O133" s="275"/>
      <c r="Q133" t="s">
        <v>171</v>
      </c>
      <c r="R133">
        <v>2</v>
      </c>
    </row>
    <row r="134" spans="1:18" x14ac:dyDescent="0.25">
      <c r="A134" t="str">
        <f>TableOSEPCULIN[[#This Row],[Study Package Code]]</f>
        <v>LING6008</v>
      </c>
      <c r="B134" s="1">
        <f>TableOSEPCULIN[[#This Row],[Ver]]</f>
        <v>1</v>
      </c>
      <c r="C134" t="str">
        <f>LEFT(TableOSEPCULIN[[#This Row],[Structure Line]],8)</f>
        <v xml:space="preserve">EDML502 </v>
      </c>
      <c r="D134" t="str">
        <f>MID(TableOSEPCULIN[[#This Row],[Structure Line]],9,LEN(TableOSEPCULIN[[#This Row],[Structure Line]]))</f>
        <v>Language in Society</v>
      </c>
      <c r="E134" s="119">
        <f>TableOSEPCULIN[[#This Row],[Credit Points]]</f>
        <v>25</v>
      </c>
      <c r="F134">
        <v>2</v>
      </c>
      <c r="G134" t="s">
        <v>516</v>
      </c>
      <c r="H134">
        <v>1</v>
      </c>
      <c r="I134" t="s">
        <v>514</v>
      </c>
      <c r="J134" t="s">
        <v>180</v>
      </c>
      <c r="K134">
        <v>1</v>
      </c>
      <c r="L134" t="s">
        <v>567</v>
      </c>
      <c r="M134">
        <v>25</v>
      </c>
      <c r="N134" s="275">
        <v>42736</v>
      </c>
      <c r="O134" s="275"/>
      <c r="Q134" t="s">
        <v>180</v>
      </c>
      <c r="R134">
        <v>1</v>
      </c>
    </row>
    <row r="135" spans="1:18" x14ac:dyDescent="0.25">
      <c r="A135" t="str">
        <f>TableOSEPCULIN[[#This Row],[Study Package Code]]</f>
        <v>EDUC6057</v>
      </c>
      <c r="B135" s="1">
        <f>TableOSEPCULIN[[#This Row],[Ver]]</f>
        <v>1</v>
      </c>
      <c r="C135" t="str">
        <f>LEFT(TableOSEPCULIN[[#This Row],[Structure Line]],8)</f>
        <v xml:space="preserve">EDML600 </v>
      </c>
      <c r="D135" t="str">
        <f>MID(TableOSEPCULIN[[#This Row],[Structure Line]],9,LEN(TableOSEPCULIN[[#This Row],[Structure Line]]))</f>
        <v>Leading Learning in Multilingual Contexts</v>
      </c>
      <c r="E135" s="119">
        <f>TableOSEPCULIN[[#This Row],[Credit Points]]</f>
        <v>25</v>
      </c>
      <c r="F135">
        <v>3</v>
      </c>
      <c r="G135" t="s">
        <v>516</v>
      </c>
      <c r="H135">
        <v>1</v>
      </c>
      <c r="I135" t="s">
        <v>514</v>
      </c>
      <c r="J135" t="s">
        <v>169</v>
      </c>
      <c r="K135">
        <v>1</v>
      </c>
      <c r="L135" t="s">
        <v>585</v>
      </c>
      <c r="M135">
        <v>25</v>
      </c>
      <c r="N135" s="275">
        <v>44562</v>
      </c>
      <c r="O135" s="275"/>
      <c r="Q135" t="s">
        <v>169</v>
      </c>
      <c r="R135">
        <v>1</v>
      </c>
    </row>
    <row r="136" spans="1:18" x14ac:dyDescent="0.25">
      <c r="A136" t="str">
        <f>TableOSEPCULIN[[#This Row],[Study Package Code]]</f>
        <v>EDUC6053</v>
      </c>
      <c r="B136" s="1">
        <f>TableOSEPCULIN[[#This Row],[Ver]]</f>
        <v>1</v>
      </c>
      <c r="C136" t="str">
        <f>LEFT(TableOSEPCULIN[[#This Row],[Structure Line]],8)</f>
        <v xml:space="preserve">EDMP610 </v>
      </c>
      <c r="D136" t="str">
        <f>MID(TableOSEPCULIN[[#This Row],[Structure Line]],9,LEN(TableOSEPCULIN[[#This Row],[Structure Line]]))</f>
        <v>Emerging Technologies and the Future of Learning</v>
      </c>
      <c r="E136" s="119">
        <f>TableOSEPCULIN[[#This Row],[Credit Points]]</f>
        <v>25</v>
      </c>
      <c r="F136">
        <v>4</v>
      </c>
      <c r="G136" t="s">
        <v>516</v>
      </c>
      <c r="H136">
        <v>1</v>
      </c>
      <c r="I136" t="s">
        <v>514</v>
      </c>
      <c r="J136" t="s">
        <v>170</v>
      </c>
      <c r="K136">
        <v>1</v>
      </c>
      <c r="L136" t="s">
        <v>583</v>
      </c>
      <c r="M136">
        <v>25</v>
      </c>
      <c r="N136" s="275">
        <v>44562</v>
      </c>
      <c r="O136" s="275"/>
      <c r="Q136" t="s">
        <v>170</v>
      </c>
      <c r="R136">
        <v>1</v>
      </c>
    </row>
    <row r="137" spans="1:18" x14ac:dyDescent="0.25">
      <c r="B137"/>
      <c r="E137"/>
      <c r="F137" s="115"/>
      <c r="G137" s="116" t="s">
        <v>501</v>
      </c>
      <c r="H137" s="277">
        <v>44562</v>
      </c>
      <c r="J137" s="276" t="s">
        <v>205</v>
      </c>
      <c r="K137" s="118" t="s">
        <v>85</v>
      </c>
      <c r="L137" s="175" t="s">
        <v>204</v>
      </c>
      <c r="N137" s="116" t="s">
        <v>503</v>
      </c>
      <c r="O137" s="296">
        <v>45302</v>
      </c>
    </row>
    <row r="138" spans="1:18" x14ac:dyDescent="0.25">
      <c r="A138" t="s">
        <v>0</v>
      </c>
      <c r="B138" s="1" t="s">
        <v>79</v>
      </c>
      <c r="C138" t="s">
        <v>21</v>
      </c>
      <c r="D138" t="s">
        <v>3</v>
      </c>
      <c r="E138" s="119" t="s">
        <v>504</v>
      </c>
      <c r="F138" t="s">
        <v>505</v>
      </c>
      <c r="G138" t="s">
        <v>506</v>
      </c>
      <c r="H138" t="s">
        <v>507</v>
      </c>
      <c r="I138" t="s">
        <v>22</v>
      </c>
      <c r="J138" t="s">
        <v>508</v>
      </c>
      <c r="K138" t="s">
        <v>1</v>
      </c>
      <c r="L138" t="s">
        <v>62</v>
      </c>
      <c r="M138" t="s">
        <v>80</v>
      </c>
      <c r="N138" s="274" t="s">
        <v>509</v>
      </c>
      <c r="O138" s="274" t="s">
        <v>510</v>
      </c>
      <c r="Q138" t="s">
        <v>511</v>
      </c>
      <c r="R138" t="s">
        <v>512</v>
      </c>
    </row>
    <row r="139" spans="1:18" x14ac:dyDescent="0.25">
      <c r="A139" t="str">
        <f>TableOSEPLNTCH[[#This Row],[Study Package Code]]</f>
        <v>EDUC6051</v>
      </c>
      <c r="B139" s="1">
        <f>TableOSEPLNTCH[[#This Row],[Ver]]</f>
        <v>1</v>
      </c>
      <c r="C139" t="str">
        <f>LEFT(TableOSEPLNTCH[[#This Row],[Structure Line]],8)</f>
        <v xml:space="preserve">EDMP600 </v>
      </c>
      <c r="D139" t="str">
        <f>MID(TableOSEPLNTCH[[#This Row],[Structure Line]],9,LEN(TableOSEPLNTCH[[#This Row],[Structure Line]]))</f>
        <v>Education for a Future: Learning for Sustainability</v>
      </c>
      <c r="E139" s="119">
        <f>TableOSEPLNTCH[[#This Row],[Credit Points]]</f>
        <v>25</v>
      </c>
      <c r="F139">
        <v>1</v>
      </c>
      <c r="G139" t="s">
        <v>516</v>
      </c>
      <c r="H139">
        <v>1</v>
      </c>
      <c r="I139" t="s">
        <v>514</v>
      </c>
      <c r="J139" t="s">
        <v>181</v>
      </c>
      <c r="K139">
        <v>1</v>
      </c>
      <c r="L139" t="s">
        <v>582</v>
      </c>
      <c r="M139">
        <v>25</v>
      </c>
      <c r="N139" s="275">
        <v>44562</v>
      </c>
      <c r="O139" s="275"/>
      <c r="Q139" t="s">
        <v>181</v>
      </c>
      <c r="R139">
        <v>1</v>
      </c>
    </row>
    <row r="140" spans="1:18" x14ac:dyDescent="0.25">
      <c r="A140" t="str">
        <f>TableOSEPLNTCH[[#This Row],[Study Package Code]]</f>
        <v>EDUC6053</v>
      </c>
      <c r="B140" s="1">
        <f>TableOSEPLNTCH[[#This Row],[Ver]]</f>
        <v>1</v>
      </c>
      <c r="C140" t="str">
        <f>LEFT(TableOSEPLNTCH[[#This Row],[Structure Line]],8)</f>
        <v xml:space="preserve">EDMP610 </v>
      </c>
      <c r="D140" t="str">
        <f>MID(TableOSEPLNTCH[[#This Row],[Structure Line]],9,LEN(TableOSEPLNTCH[[#This Row],[Structure Line]]))</f>
        <v>Emerging Technologies and the Future of Learning</v>
      </c>
      <c r="E140" s="119">
        <f>TableOSEPLNTCH[[#This Row],[Credit Points]]</f>
        <v>25</v>
      </c>
      <c r="F140">
        <v>2</v>
      </c>
      <c r="G140" t="s">
        <v>516</v>
      </c>
      <c r="H140">
        <v>1</v>
      </c>
      <c r="I140" t="s">
        <v>514</v>
      </c>
      <c r="J140" t="s">
        <v>170</v>
      </c>
      <c r="K140">
        <v>1</v>
      </c>
      <c r="L140" t="s">
        <v>583</v>
      </c>
      <c r="M140">
        <v>25</v>
      </c>
      <c r="N140" s="275">
        <v>44562</v>
      </c>
      <c r="O140" s="275"/>
      <c r="Q140" t="s">
        <v>170</v>
      </c>
      <c r="R140">
        <v>1</v>
      </c>
    </row>
    <row r="141" spans="1:18" x14ac:dyDescent="0.25">
      <c r="A141" t="str">
        <f>TableOSEPLNTCH[[#This Row],[Study Package Code]]</f>
        <v>EDUC6055</v>
      </c>
      <c r="B141" s="1">
        <f>TableOSEPLNTCH[[#This Row],[Ver]]</f>
        <v>1</v>
      </c>
      <c r="C141" t="str">
        <f>LEFT(TableOSEPLNTCH[[#This Row],[Structure Line]],8)</f>
        <v xml:space="preserve">EDMP620 </v>
      </c>
      <c r="D141" t="str">
        <f>MID(TableOSEPLNTCH[[#This Row],[Structure Line]],9,LEN(TableOSEPLNTCH[[#This Row],[Structure Line]]))</f>
        <v>Empowering Learners Through Social Justice Leadership</v>
      </c>
      <c r="E141" s="119">
        <f>TableOSEPLNTCH[[#This Row],[Credit Points]]</f>
        <v>25</v>
      </c>
      <c r="F141">
        <v>3</v>
      </c>
      <c r="G141" t="s">
        <v>516</v>
      </c>
      <c r="H141">
        <v>1</v>
      </c>
      <c r="I141" t="s">
        <v>514</v>
      </c>
      <c r="J141" t="s">
        <v>172</v>
      </c>
      <c r="K141">
        <v>1</v>
      </c>
      <c r="L141" t="s">
        <v>584</v>
      </c>
      <c r="M141">
        <v>25</v>
      </c>
      <c r="N141" s="275">
        <v>44562</v>
      </c>
      <c r="O141" s="275"/>
      <c r="Q141" t="s">
        <v>172</v>
      </c>
      <c r="R141">
        <v>1</v>
      </c>
    </row>
    <row r="142" spans="1:18" x14ac:dyDescent="0.25">
      <c r="A142" t="str">
        <f>TableOSEPLNTCH[[#This Row],[Study Package Code]]</f>
        <v>EDUC6059</v>
      </c>
      <c r="B142" s="1">
        <f>TableOSEPLNTCH[[#This Row],[Ver]]</f>
        <v>1</v>
      </c>
      <c r="C142" t="str">
        <f>LEFT(TableOSEPLNTCH[[#This Row],[Structure Line]],8)</f>
        <v xml:space="preserve">EDMP630 </v>
      </c>
      <c r="D142" t="str">
        <f>MID(TableOSEPLNTCH[[#This Row],[Structure Line]],9,LEN(TableOSEPLNTCH[[#This Row],[Structure Line]]))</f>
        <v>Pedagogies for Learner and Community Diversity</v>
      </c>
      <c r="E142" s="119">
        <f>TableOSEPLNTCH[[#This Row],[Credit Points]]</f>
        <v>25</v>
      </c>
      <c r="F142">
        <v>4</v>
      </c>
      <c r="G142" t="s">
        <v>516</v>
      </c>
      <c r="H142">
        <v>1</v>
      </c>
      <c r="I142" t="s">
        <v>514</v>
      </c>
      <c r="J142" t="s">
        <v>173</v>
      </c>
      <c r="K142">
        <v>1</v>
      </c>
      <c r="L142" t="s">
        <v>586</v>
      </c>
      <c r="M142">
        <v>25</v>
      </c>
      <c r="N142" s="275">
        <v>44562</v>
      </c>
      <c r="O142" s="275"/>
      <c r="Q142" t="s">
        <v>173</v>
      </c>
      <c r="R142">
        <v>1</v>
      </c>
    </row>
    <row r="143" spans="1:18" x14ac:dyDescent="0.25">
      <c r="B143"/>
      <c r="E143"/>
      <c r="F143" s="115"/>
      <c r="G143" s="116" t="s">
        <v>501</v>
      </c>
      <c r="H143" s="277">
        <v>44562</v>
      </c>
      <c r="J143" s="276" t="s">
        <v>208</v>
      </c>
      <c r="K143" s="118" t="s">
        <v>85</v>
      </c>
      <c r="L143" s="175" t="s">
        <v>207</v>
      </c>
      <c r="N143" s="116" t="s">
        <v>503</v>
      </c>
      <c r="O143" s="296">
        <v>45302</v>
      </c>
    </row>
    <row r="144" spans="1:18" x14ac:dyDescent="0.25">
      <c r="A144" t="s">
        <v>0</v>
      </c>
      <c r="B144" s="1" t="s">
        <v>79</v>
      </c>
      <c r="C144" t="s">
        <v>21</v>
      </c>
      <c r="D144" t="s">
        <v>3</v>
      </c>
      <c r="E144" s="119" t="s">
        <v>504</v>
      </c>
      <c r="F144" t="s">
        <v>505</v>
      </c>
      <c r="G144" t="s">
        <v>506</v>
      </c>
      <c r="H144" t="s">
        <v>507</v>
      </c>
      <c r="I144" t="s">
        <v>22</v>
      </c>
      <c r="J144" t="s">
        <v>508</v>
      </c>
      <c r="K144" t="s">
        <v>1</v>
      </c>
      <c r="L144" t="s">
        <v>62</v>
      </c>
      <c r="M144" t="s">
        <v>80</v>
      </c>
      <c r="N144" s="274" t="s">
        <v>509</v>
      </c>
      <c r="O144" s="274" t="s">
        <v>510</v>
      </c>
      <c r="Q144" t="s">
        <v>511</v>
      </c>
      <c r="R144" t="s">
        <v>512</v>
      </c>
    </row>
    <row r="145" spans="1:18" x14ac:dyDescent="0.25">
      <c r="A145" t="str">
        <f>TableOSEPSTEME[[#This Row],[Study Package Code]]</f>
        <v>EDUC6051</v>
      </c>
      <c r="B145" s="1">
        <f>TableOSEPSTEME[[#This Row],[Ver]]</f>
        <v>1</v>
      </c>
      <c r="C145" t="str">
        <f>LEFT(TableOSEPSTEME[[#This Row],[Structure Line]],8)</f>
        <v xml:space="preserve">EDMP600 </v>
      </c>
      <c r="D145" t="str">
        <f>MID(TableOSEPSTEME[[#This Row],[Structure Line]],9,LEN(TableOSEPSTEME[[#This Row],[Structure Line]]))</f>
        <v>Education for a Future: Learning for Sustainability</v>
      </c>
      <c r="E145" s="119">
        <f>TableOSEPSTEME[[#This Row],[Credit Points]]</f>
        <v>25</v>
      </c>
      <c r="F145">
        <v>1</v>
      </c>
      <c r="G145" t="s">
        <v>516</v>
      </c>
      <c r="H145">
        <v>1</v>
      </c>
      <c r="I145" t="s">
        <v>514</v>
      </c>
      <c r="J145" t="s">
        <v>181</v>
      </c>
      <c r="K145">
        <v>1</v>
      </c>
      <c r="L145" t="s">
        <v>582</v>
      </c>
      <c r="M145">
        <v>25</v>
      </c>
      <c r="N145" s="275">
        <v>44562</v>
      </c>
      <c r="O145" s="275"/>
      <c r="Q145" t="s">
        <v>181</v>
      </c>
      <c r="R145">
        <v>1</v>
      </c>
    </row>
    <row r="146" spans="1:18" x14ac:dyDescent="0.25">
      <c r="A146" t="str">
        <f>TableOSEPSTEME[[#This Row],[Study Package Code]]</f>
        <v>EDUC6053</v>
      </c>
      <c r="B146" s="1">
        <f>TableOSEPSTEME[[#This Row],[Ver]]</f>
        <v>1</v>
      </c>
      <c r="C146" t="str">
        <f>LEFT(TableOSEPSTEME[[#This Row],[Structure Line]],8)</f>
        <v xml:space="preserve">EDMP610 </v>
      </c>
      <c r="D146" t="str">
        <f>MID(TableOSEPSTEME[[#This Row],[Structure Line]],9,LEN(TableOSEPSTEME[[#This Row],[Structure Line]]))</f>
        <v>Emerging Technologies and the Future of Learning</v>
      </c>
      <c r="E146" s="119">
        <f>TableOSEPSTEME[[#This Row],[Credit Points]]</f>
        <v>25</v>
      </c>
      <c r="F146">
        <v>2</v>
      </c>
      <c r="G146" t="s">
        <v>516</v>
      </c>
      <c r="H146">
        <v>1</v>
      </c>
      <c r="I146" t="s">
        <v>514</v>
      </c>
      <c r="J146" t="s">
        <v>170</v>
      </c>
      <c r="K146">
        <v>1</v>
      </c>
      <c r="L146" t="s">
        <v>583</v>
      </c>
      <c r="M146">
        <v>25</v>
      </c>
      <c r="N146" s="275">
        <v>44562</v>
      </c>
      <c r="O146" s="275"/>
      <c r="Q146" t="s">
        <v>170</v>
      </c>
      <c r="R146">
        <v>1</v>
      </c>
    </row>
    <row r="147" spans="1:18" x14ac:dyDescent="0.25">
      <c r="A147" t="str">
        <f>TableOSEPSTEME[[#This Row],[Study Package Code]]</f>
        <v>EDUC6061</v>
      </c>
      <c r="B147" s="1">
        <f>TableOSEPSTEME[[#This Row],[Ver]]</f>
        <v>1</v>
      </c>
      <c r="C147" t="str">
        <f>LEFT(TableOSEPSTEME[[#This Row],[Structure Line]],8)</f>
        <v xml:space="preserve">EDMS600 </v>
      </c>
      <c r="D147" t="str">
        <f>MID(TableOSEPSTEME[[#This Row],[Structure Line]],9,LEN(TableOSEPSTEME[[#This Row],[Structure Line]]))</f>
        <v>Becoming a Leader of STEM Education</v>
      </c>
      <c r="E147" s="119">
        <f>TableOSEPSTEME[[#This Row],[Credit Points]]</f>
        <v>25</v>
      </c>
      <c r="F147">
        <v>3</v>
      </c>
      <c r="G147" t="s">
        <v>516</v>
      </c>
      <c r="H147">
        <v>1</v>
      </c>
      <c r="I147" t="s">
        <v>514</v>
      </c>
      <c r="J147" t="s">
        <v>174</v>
      </c>
      <c r="K147">
        <v>1</v>
      </c>
      <c r="L147" t="s">
        <v>587</v>
      </c>
      <c r="M147">
        <v>25</v>
      </c>
      <c r="N147" s="275">
        <v>44562</v>
      </c>
      <c r="O147" s="275"/>
      <c r="Q147" t="s">
        <v>174</v>
      </c>
      <c r="R147">
        <v>1</v>
      </c>
    </row>
    <row r="148" spans="1:18" x14ac:dyDescent="0.25">
      <c r="A148" t="str">
        <f>TableOSEPSTEME[[#This Row],[Study Package Code]]</f>
        <v>EDUC6049</v>
      </c>
      <c r="B148" s="1">
        <f>TableOSEPSTEME[[#This Row],[Ver]]</f>
        <v>1</v>
      </c>
      <c r="C148" t="str">
        <f>LEFT(TableOSEPSTEME[[#This Row],[Structure Line]],8)</f>
        <v xml:space="preserve">EDMS610 </v>
      </c>
      <c r="D148" t="str">
        <f>MID(TableOSEPSTEME[[#This Row],[Structure Line]],9,LEN(TableOSEPSTEME[[#This Row],[Structure Line]]))</f>
        <v>Designing STEM Integration</v>
      </c>
      <c r="E148" s="119">
        <f>TableOSEPSTEME[[#This Row],[Credit Points]]</f>
        <v>25</v>
      </c>
      <c r="F148">
        <v>4</v>
      </c>
      <c r="G148" t="s">
        <v>516</v>
      </c>
      <c r="H148">
        <v>1</v>
      </c>
      <c r="I148" t="s">
        <v>514</v>
      </c>
      <c r="J148" t="s">
        <v>175</v>
      </c>
      <c r="K148">
        <v>1</v>
      </c>
      <c r="L148" t="s">
        <v>581</v>
      </c>
      <c r="M148">
        <v>25</v>
      </c>
      <c r="N148" s="275">
        <v>44562</v>
      </c>
      <c r="O148" s="275"/>
      <c r="Q148" t="s">
        <v>175</v>
      </c>
      <c r="R148">
        <v>1</v>
      </c>
    </row>
    <row r="149" spans="1:18" x14ac:dyDescent="0.25">
      <c r="B149"/>
      <c r="E149"/>
      <c r="F149" s="115"/>
      <c r="G149" s="116" t="s">
        <v>501</v>
      </c>
      <c r="H149" s="277">
        <v>45292</v>
      </c>
      <c r="J149" s="276" t="s">
        <v>114</v>
      </c>
      <c r="K149" s="118" t="s">
        <v>85</v>
      </c>
      <c r="L149" s="175" t="s">
        <v>113</v>
      </c>
      <c r="N149" s="116" t="s">
        <v>503</v>
      </c>
      <c r="O149" s="296">
        <v>45302</v>
      </c>
    </row>
    <row r="150" spans="1:18" x14ac:dyDescent="0.25">
      <c r="A150" t="s">
        <v>0</v>
      </c>
      <c r="B150" s="1" t="s">
        <v>79</v>
      </c>
      <c r="C150" t="s">
        <v>21</v>
      </c>
      <c r="D150" t="s">
        <v>3</v>
      </c>
      <c r="E150" s="119" t="s">
        <v>504</v>
      </c>
      <c r="F150" t="s">
        <v>505</v>
      </c>
      <c r="G150" t="s">
        <v>506</v>
      </c>
      <c r="H150" t="s">
        <v>507</v>
      </c>
      <c r="I150" t="s">
        <v>22</v>
      </c>
      <c r="J150" t="s">
        <v>508</v>
      </c>
      <c r="K150" t="s">
        <v>1</v>
      </c>
      <c r="L150" t="s">
        <v>62</v>
      </c>
      <c r="M150" t="s">
        <v>80</v>
      </c>
      <c r="N150" s="274" t="s">
        <v>509</v>
      </c>
      <c r="O150" s="274" t="s">
        <v>510</v>
      </c>
      <c r="Q150" t="s">
        <v>511</v>
      </c>
      <c r="R150" t="s">
        <v>512</v>
      </c>
    </row>
    <row r="151" spans="1:18" x14ac:dyDescent="0.25">
      <c r="A151" t="str">
        <f>TableOGEDUC[[#This Row],[Study Package Code]]</f>
        <v>Major</v>
      </c>
      <c r="B151" s="1">
        <f>TableOGEDUC[[#This Row],[Ver]]</f>
        <v>0</v>
      </c>
      <c r="C151" t="str">
        <f>LEFT(TableOGEDUC[[#This Row],[Structure Line]],7)</f>
        <v xml:space="preserve">Choose </v>
      </c>
      <c r="D151" t="str">
        <f>MID(TableOGEDUC[[#This Row],[Structure Line]],9,LEN(TableOGEDUC[[#This Row],[Structure Line]]))</f>
        <v xml:space="preserve"> Major</v>
      </c>
      <c r="E151" s="119">
        <f>TableOGEDUC[[#This Row],[Credit Points]]</f>
        <v>200</v>
      </c>
      <c r="F151">
        <v>1</v>
      </c>
      <c r="G151" t="s">
        <v>513</v>
      </c>
      <c r="H151">
        <v>0</v>
      </c>
      <c r="I151" t="s">
        <v>514</v>
      </c>
      <c r="J151" t="s">
        <v>589</v>
      </c>
      <c r="K151">
        <v>0</v>
      </c>
      <c r="L151" t="s">
        <v>590</v>
      </c>
      <c r="M151">
        <v>200</v>
      </c>
      <c r="N151" s="275"/>
      <c r="O151" s="275"/>
    </row>
    <row r="152" spans="1:18" x14ac:dyDescent="0.25">
      <c r="A152" t="str">
        <f>TableOGEDUC[[#This Row],[Study Package Code]]</f>
        <v>OUMP-EDUPR</v>
      </c>
      <c r="B152" s="1">
        <f>TableOGEDUC[[#This Row],[Ver]]</f>
        <v>1</v>
      </c>
      <c r="D152" t="str">
        <f>TableOGEDUC[[#This Row],[Structure Line]]</f>
        <v>Primary Education Major (GradDipEdu OpenUnis)</v>
      </c>
      <c r="E152" s="119">
        <f>TableOGEDUC[[#This Row],[Credit Points]]</f>
        <v>200</v>
      </c>
      <c r="F152">
        <v>1</v>
      </c>
      <c r="G152" t="s">
        <v>513</v>
      </c>
      <c r="H152">
        <v>0</v>
      </c>
      <c r="I152" t="s">
        <v>514</v>
      </c>
      <c r="J152" t="s">
        <v>189</v>
      </c>
      <c r="K152">
        <v>1</v>
      </c>
      <c r="L152" t="s">
        <v>188</v>
      </c>
      <c r="M152">
        <v>200</v>
      </c>
      <c r="N152" s="275">
        <v>45292</v>
      </c>
      <c r="O152" s="275"/>
    </row>
    <row r="153" spans="1:18" x14ac:dyDescent="0.25">
      <c r="A153" t="str">
        <f>TableOGEDUC[[#This Row],[Study Package Code]]</f>
        <v>OUMP-EDUSC</v>
      </c>
      <c r="B153" s="1">
        <f>TableOGEDUC[[#This Row],[Ver]]</f>
        <v>1</v>
      </c>
      <c r="D153" t="str">
        <f>TableOGEDUC[[#This Row],[Structure Line]]</f>
        <v>Secondary Education Major (GradDipEdu OpenUnis)</v>
      </c>
      <c r="E153" s="119">
        <f>TableOGEDUC[[#This Row],[Credit Points]]</f>
        <v>200</v>
      </c>
      <c r="F153">
        <v>1</v>
      </c>
      <c r="G153" t="s">
        <v>513</v>
      </c>
      <c r="H153">
        <v>0</v>
      </c>
      <c r="I153" t="s">
        <v>514</v>
      </c>
      <c r="J153" t="s">
        <v>192</v>
      </c>
      <c r="K153">
        <v>1</v>
      </c>
      <c r="L153" t="s">
        <v>191</v>
      </c>
      <c r="M153">
        <v>200</v>
      </c>
      <c r="N153" s="275">
        <v>45292</v>
      </c>
      <c r="O153" s="275"/>
    </row>
    <row r="154" spans="1:18" x14ac:dyDescent="0.25">
      <c r="B154"/>
      <c r="E154"/>
      <c r="F154" s="115"/>
      <c r="G154" s="116" t="s">
        <v>501</v>
      </c>
      <c r="H154" s="277">
        <v>45292</v>
      </c>
      <c r="J154" s="276" t="s">
        <v>189</v>
      </c>
      <c r="K154" s="118" t="s">
        <v>85</v>
      </c>
      <c r="L154" s="175" t="s">
        <v>188</v>
      </c>
      <c r="N154" s="116" t="s">
        <v>503</v>
      </c>
      <c r="O154" s="296">
        <v>45302</v>
      </c>
    </row>
    <row r="155" spans="1:18" x14ac:dyDescent="0.25">
      <c r="A155" t="s">
        <v>0</v>
      </c>
      <c r="B155" s="1" t="s">
        <v>79</v>
      </c>
      <c r="C155" t="s">
        <v>21</v>
      </c>
      <c r="D155" t="s">
        <v>3</v>
      </c>
      <c r="E155" s="119" t="s">
        <v>504</v>
      </c>
      <c r="F155" t="s">
        <v>505</v>
      </c>
      <c r="G155" t="s">
        <v>506</v>
      </c>
      <c r="H155" t="s">
        <v>507</v>
      </c>
      <c r="I155" t="s">
        <v>22</v>
      </c>
      <c r="J155" t="s">
        <v>508</v>
      </c>
      <c r="K155" t="s">
        <v>1</v>
      </c>
      <c r="L155" t="s">
        <v>62</v>
      </c>
      <c r="M155" t="s">
        <v>80</v>
      </c>
      <c r="N155" s="274" t="s">
        <v>509</v>
      </c>
      <c r="O155" s="274" t="s">
        <v>510</v>
      </c>
      <c r="Q155" t="s">
        <v>511</v>
      </c>
      <c r="R155" t="s">
        <v>512</v>
      </c>
    </row>
    <row r="156" spans="1:18" x14ac:dyDescent="0.25">
      <c r="A156" t="str">
        <f>TableOUMPEDUPR[[#This Row],[Study Package Code]]</f>
        <v>EDPR5011</v>
      </c>
      <c r="B156" s="1">
        <f>TableOUMPEDUPR[[#This Row],[Ver]]</f>
        <v>3</v>
      </c>
      <c r="C156" t="str">
        <f>LEFT(TableOUMPEDUPR[[#This Row],[Structure Line]],6)</f>
        <v>MTP502</v>
      </c>
      <c r="D156" t="str">
        <f>MID(TableOUMPEDUPR[[#This Row],[Structure Line]],8,LEN(TableOUMPEDUPR[[#This Row],[Structure Line]]))</f>
        <v>Primary Professional Experience 1: Planning for Writing</v>
      </c>
      <c r="E156" s="119">
        <f>TableOUMPEDUPR[[#This Row],[Credit Points]]</f>
        <v>25</v>
      </c>
      <c r="F156">
        <v>1</v>
      </c>
      <c r="G156" t="s">
        <v>516</v>
      </c>
      <c r="H156">
        <v>1</v>
      </c>
      <c r="I156" t="s">
        <v>591</v>
      </c>
      <c r="J156" t="s">
        <v>89</v>
      </c>
      <c r="K156">
        <v>3</v>
      </c>
      <c r="L156" t="s">
        <v>534</v>
      </c>
      <c r="M156">
        <v>25</v>
      </c>
      <c r="N156" s="275">
        <v>44562</v>
      </c>
      <c r="O156" s="275"/>
    </row>
    <row r="157" spans="1:18" x14ac:dyDescent="0.25">
      <c r="A157" t="str">
        <f>TableOUMPEDUPR[[#This Row],[Study Package Code]]</f>
        <v>EDUC5012</v>
      </c>
      <c r="B157" s="1">
        <f>TableOUMPEDUPR[[#This Row],[Ver]]</f>
        <v>2</v>
      </c>
      <c r="C157" t="str">
        <f>LEFT(TableOUMPEDUPR[[#This Row],[Structure Line]],7)</f>
        <v>MTPS500</v>
      </c>
      <c r="D157" t="str">
        <f>MID(TableOUMPEDUPR[[#This Row],[Structure Line]],9,LEN(TableOUMPEDUPR[[#This Row],[Structure Line]]))</f>
        <v>Theories of Development and Learning</v>
      </c>
      <c r="E157" s="119">
        <f>TableOUMPEDUPR[[#This Row],[Credit Points]]</f>
        <v>25</v>
      </c>
      <c r="F157">
        <v>2</v>
      </c>
      <c r="G157" t="s">
        <v>516</v>
      </c>
      <c r="H157">
        <v>1</v>
      </c>
      <c r="I157" t="s">
        <v>591</v>
      </c>
      <c r="J157" t="s">
        <v>65</v>
      </c>
      <c r="K157">
        <v>2</v>
      </c>
      <c r="L157" t="s">
        <v>524</v>
      </c>
      <c r="M157">
        <v>25</v>
      </c>
      <c r="N157" s="275">
        <v>44197</v>
      </c>
      <c r="O157" s="275"/>
    </row>
    <row r="158" spans="1:18" x14ac:dyDescent="0.25">
      <c r="A158" t="str">
        <f>TableOUMPEDUPR[[#This Row],[Study Package Code]]</f>
        <v>EDPR5012</v>
      </c>
      <c r="B158" s="1">
        <f>TableOUMPEDUPR[[#This Row],[Ver]]</f>
        <v>1</v>
      </c>
      <c r="C158" t="str">
        <f>LEFT(TableOUMPEDUPR[[#This Row],[Structure Line]],6)</f>
        <v>MTP505</v>
      </c>
      <c r="D158" t="str">
        <f>MID(TableOUMPEDUPR[[#This Row],[Structure Line]],8,LEN(TableOUMPEDUPR[[#This Row],[Structure Line]]))</f>
        <v>Teaching Science in the Primary Years</v>
      </c>
      <c r="E158" s="119">
        <f>TableOUMPEDUPR[[#This Row],[Credit Points]]</f>
        <v>25</v>
      </c>
      <c r="F158">
        <v>3</v>
      </c>
      <c r="G158" t="s">
        <v>516</v>
      </c>
      <c r="H158">
        <v>1</v>
      </c>
      <c r="I158" t="s">
        <v>592</v>
      </c>
      <c r="J158" t="s">
        <v>76</v>
      </c>
      <c r="K158">
        <v>1</v>
      </c>
      <c r="L158" t="s">
        <v>535</v>
      </c>
      <c r="M158">
        <v>25</v>
      </c>
      <c r="N158" s="275">
        <v>42736</v>
      </c>
      <c r="O158" s="275"/>
    </row>
    <row r="159" spans="1:18" x14ac:dyDescent="0.25">
      <c r="A159" t="str">
        <f>TableOUMPEDUPR[[#This Row],[Study Package Code]]</f>
        <v>EDPR5013</v>
      </c>
      <c r="B159" s="1">
        <f>TableOUMPEDUPR[[#This Row],[Ver]]</f>
        <v>1</v>
      </c>
      <c r="C159" t="str">
        <f>LEFT(TableOUMPEDUPR[[#This Row],[Structure Line]],6)</f>
        <v>MTP506</v>
      </c>
      <c r="D159" t="str">
        <f>MID(TableOUMPEDUPR[[#This Row],[Structure Line]],8,LEN(TableOUMPEDUPR[[#This Row],[Structure Line]]))</f>
        <v>Primary Professional Experience 2: Assessment and Reporting</v>
      </c>
      <c r="E159" s="119">
        <f>TableOUMPEDUPR[[#This Row],[Credit Points]]</f>
        <v>25</v>
      </c>
      <c r="F159">
        <v>4</v>
      </c>
      <c r="G159" t="s">
        <v>516</v>
      </c>
      <c r="H159">
        <v>1</v>
      </c>
      <c r="I159" t="s">
        <v>592</v>
      </c>
      <c r="J159" t="s">
        <v>98</v>
      </c>
      <c r="K159">
        <v>1</v>
      </c>
      <c r="L159" t="s">
        <v>536</v>
      </c>
      <c r="M159">
        <v>25</v>
      </c>
      <c r="N159" s="275">
        <v>42736</v>
      </c>
      <c r="O159" s="275"/>
    </row>
    <row r="160" spans="1:18" x14ac:dyDescent="0.25">
      <c r="A160" t="str">
        <f>TableOUMPEDUPR[[#This Row],[Study Package Code]]</f>
        <v>EDUC5032</v>
      </c>
      <c r="B160" s="1">
        <f>TableOUMPEDUPR[[#This Row],[Ver]]</f>
        <v>1</v>
      </c>
      <c r="C160" t="str">
        <f>LEFT(TableOUMPEDUPR[[#This Row],[Structure Line]],6)</f>
        <v>MTC510</v>
      </c>
      <c r="D160" t="str">
        <f>MID(TableOUMPEDUPR[[#This Row],[Structure Line]],8,LEN(TableOUMPEDUPR[[#This Row],[Structure Line]]))</f>
        <v>Introduction to English: Reading</v>
      </c>
      <c r="E160" s="119">
        <f>TableOUMPEDUPR[[#This Row],[Credit Points]]</f>
        <v>25</v>
      </c>
      <c r="F160">
        <v>5</v>
      </c>
      <c r="G160" t="s">
        <v>516</v>
      </c>
      <c r="H160">
        <v>1</v>
      </c>
      <c r="I160" t="s">
        <v>593</v>
      </c>
      <c r="J160" t="s">
        <v>71</v>
      </c>
      <c r="K160">
        <v>1</v>
      </c>
      <c r="L160" t="s">
        <v>517</v>
      </c>
      <c r="M160">
        <v>25</v>
      </c>
      <c r="N160" s="275">
        <v>44562</v>
      </c>
      <c r="O160" s="275"/>
    </row>
    <row r="161" spans="1:18" x14ac:dyDescent="0.25">
      <c r="A161" t="str">
        <f>TableOUMPEDUPR[[#This Row],[Study Package Code]]</f>
        <v>EDUC6063</v>
      </c>
      <c r="B161" s="1">
        <f>TableOUMPEDUPR[[#This Row],[Ver]]</f>
        <v>1</v>
      </c>
      <c r="C161" t="str">
        <f>LEFT(TableOUMPEDUPR[[#This Row],[Structure Line]],6)</f>
        <v>MTC600</v>
      </c>
      <c r="D161" t="str">
        <f>MID(TableOUMPEDUPR[[#This Row],[Structure Line]],8,LEN(TableOUMPEDUPR[[#This Row],[Structure Line]]))</f>
        <v>Professional Experience 3: Using Data to Inform Teaching and Learning</v>
      </c>
      <c r="E161" s="119">
        <f>TableOUMPEDUPR[[#This Row],[Credit Points]]</f>
        <v>25</v>
      </c>
      <c r="F161">
        <v>6</v>
      </c>
      <c r="G161" t="s">
        <v>516</v>
      </c>
      <c r="H161">
        <v>1</v>
      </c>
      <c r="I161" t="s">
        <v>593</v>
      </c>
      <c r="J161" t="s">
        <v>119</v>
      </c>
      <c r="K161">
        <v>1</v>
      </c>
      <c r="L161" t="s">
        <v>525</v>
      </c>
      <c r="M161">
        <v>25</v>
      </c>
      <c r="N161" s="275">
        <v>44562</v>
      </c>
      <c r="O161" s="275"/>
    </row>
    <row r="162" spans="1:18" x14ac:dyDescent="0.25">
      <c r="A162" t="str">
        <f>TableOUMPEDUPR[[#This Row],[Study Package Code]]</f>
        <v>EDPR5010</v>
      </c>
      <c r="B162" s="1">
        <f>TableOUMPEDUPR[[#This Row],[Ver]]</f>
        <v>1</v>
      </c>
      <c r="C162" t="str">
        <f>LEFT(TableOUMPEDUPR[[#This Row],[Structure Line]],6)</f>
        <v>MTP501</v>
      </c>
      <c r="D162" t="str">
        <f>MID(TableOUMPEDUPR[[#This Row],[Structure Line]],8,LEN(TableOUMPEDUPR[[#This Row],[Structure Line]]))</f>
        <v>Teaching Number, Algebra and Probability in the Primary Years</v>
      </c>
      <c r="E162" s="119">
        <f>TableOUMPEDUPR[[#This Row],[Credit Points]]</f>
        <v>25</v>
      </c>
      <c r="F162">
        <v>7</v>
      </c>
      <c r="G162" t="s">
        <v>516</v>
      </c>
      <c r="H162">
        <v>1</v>
      </c>
      <c r="I162" t="s">
        <v>594</v>
      </c>
      <c r="J162" t="s">
        <v>77</v>
      </c>
      <c r="K162">
        <v>1</v>
      </c>
      <c r="L162" t="s">
        <v>533</v>
      </c>
      <c r="M162">
        <v>25</v>
      </c>
      <c r="N162" s="275">
        <v>42736</v>
      </c>
      <c r="O162" s="275"/>
    </row>
    <row r="163" spans="1:18" x14ac:dyDescent="0.25">
      <c r="A163" t="str">
        <f>TableOUMPEDUPR[[#This Row],[Study Package Code]]</f>
        <v>EDUC5017</v>
      </c>
      <c r="B163" s="1">
        <f>TableOUMPEDUPR[[#This Row],[Ver]]</f>
        <v>1</v>
      </c>
      <c r="C163" t="str">
        <f>LEFT(TableOUMPEDUPR[[#This Row],[Structure Line]],7)</f>
        <v>MTPS504</v>
      </c>
      <c r="D163" t="str">
        <f>MID(TableOUMPEDUPR[[#This Row],[Structure Line]],9,LEN(TableOUMPEDUPR[[#This Row],[Structure Line]]))</f>
        <v>Creative Technologies</v>
      </c>
      <c r="E163" s="119">
        <f>TableOUMPEDUPR[[#This Row],[Credit Points]]</f>
        <v>25</v>
      </c>
      <c r="F163">
        <v>8</v>
      </c>
      <c r="G163" t="s">
        <v>516</v>
      </c>
      <c r="H163">
        <v>1</v>
      </c>
      <c r="I163" t="s">
        <v>594</v>
      </c>
      <c r="J163" t="s">
        <v>93</v>
      </c>
      <c r="K163">
        <v>1</v>
      </c>
      <c r="L163" t="s">
        <v>532</v>
      </c>
      <c r="M163">
        <v>25</v>
      </c>
      <c r="N163" s="275">
        <v>42736</v>
      </c>
      <c r="O163" s="275"/>
    </row>
    <row r="164" spans="1:18" x14ac:dyDescent="0.25">
      <c r="B164"/>
      <c r="E164"/>
      <c r="F164" s="115"/>
      <c r="G164" s="116" t="s">
        <v>501</v>
      </c>
      <c r="H164" s="277">
        <v>45292</v>
      </c>
      <c r="J164" s="276" t="s">
        <v>192</v>
      </c>
      <c r="K164" s="118" t="s">
        <v>85</v>
      </c>
      <c r="L164" s="175" t="s">
        <v>191</v>
      </c>
      <c r="N164" s="116" t="s">
        <v>503</v>
      </c>
      <c r="O164" s="296">
        <v>45302</v>
      </c>
    </row>
    <row r="165" spans="1:18" x14ac:dyDescent="0.25">
      <c r="A165" t="s">
        <v>0</v>
      </c>
      <c r="B165" s="1" t="s">
        <v>79</v>
      </c>
      <c r="C165" t="s">
        <v>21</v>
      </c>
      <c r="D165" t="s">
        <v>3</v>
      </c>
      <c r="E165" s="119" t="s">
        <v>504</v>
      </c>
      <c r="F165" t="s">
        <v>505</v>
      </c>
      <c r="G165" t="s">
        <v>506</v>
      </c>
      <c r="H165" t="s">
        <v>507</v>
      </c>
      <c r="I165" t="s">
        <v>22</v>
      </c>
      <c r="J165" t="s">
        <v>508</v>
      </c>
      <c r="K165" t="s">
        <v>1</v>
      </c>
      <c r="L165" t="s">
        <v>62</v>
      </c>
      <c r="M165" t="s">
        <v>80</v>
      </c>
      <c r="N165" s="274" t="s">
        <v>509</v>
      </c>
      <c r="O165" s="274" t="s">
        <v>510</v>
      </c>
      <c r="Q165" t="s">
        <v>511</v>
      </c>
      <c r="R165" t="s">
        <v>512</v>
      </c>
    </row>
    <row r="166" spans="1:18" x14ac:dyDescent="0.25">
      <c r="A166" t="str">
        <f>TableOUMPEDUSC[[#This Row],[Study Package Code]]</f>
        <v>Option</v>
      </c>
      <c r="B166" s="1">
        <f>TableOUMPEDUSC[[#This Row],[Ver]]</f>
        <v>0</v>
      </c>
      <c r="D166" t="str">
        <f>TableOUMPEDUSC[[#This Row],[Structure Line]]</f>
        <v>Teaching Area Options</v>
      </c>
      <c r="E166" s="119" t="str">
        <f>TableOUMPEDUSC[[#This Row],[Credit Points]]</f>
        <v/>
      </c>
      <c r="F166">
        <v>1</v>
      </c>
      <c r="G166" t="s">
        <v>548</v>
      </c>
      <c r="H166">
        <v>1</v>
      </c>
      <c r="I166" t="s">
        <v>514</v>
      </c>
      <c r="J166" t="s">
        <v>548</v>
      </c>
      <c r="K166">
        <v>0</v>
      </c>
      <c r="L166" t="s">
        <v>493</v>
      </c>
      <c r="M166" t="s">
        <v>494</v>
      </c>
      <c r="N166" s="275"/>
      <c r="O166" s="275"/>
    </row>
    <row r="167" spans="1:18" x14ac:dyDescent="0.25">
      <c r="A167" t="str">
        <f>TableOUMPEDUSC[[#This Row],[Study Package Code]]</f>
        <v>EDSC5037</v>
      </c>
      <c r="B167" s="1">
        <f>TableOUMPEDUSC[[#This Row],[Ver]]</f>
        <v>1</v>
      </c>
      <c r="C167" t="str">
        <f>LEFT(TableOUMPEDUSC[[#This Row],[Structure Line]],6)</f>
        <v>MTS500</v>
      </c>
      <c r="D167" t="str">
        <f>MID(TableOUMPEDUSC[[#This Row],[Structure Line]],8,LEN(TableOUMPEDUSC[[#This Row],[Structure Line]]))</f>
        <v>Teaching in the Secondary School</v>
      </c>
      <c r="E167" s="119">
        <f>TableOUMPEDUSC[[#This Row],[Credit Points]]</f>
        <v>25</v>
      </c>
      <c r="F167">
        <v>2</v>
      </c>
      <c r="G167" t="s">
        <v>516</v>
      </c>
      <c r="H167">
        <v>1</v>
      </c>
      <c r="I167" t="s">
        <v>591</v>
      </c>
      <c r="J167" t="s">
        <v>257</v>
      </c>
      <c r="K167">
        <v>1</v>
      </c>
      <c r="L167" t="s">
        <v>543</v>
      </c>
      <c r="M167">
        <v>25</v>
      </c>
      <c r="N167" s="275">
        <v>42736</v>
      </c>
      <c r="O167" s="275"/>
    </row>
    <row r="168" spans="1:18" x14ac:dyDescent="0.25">
      <c r="A168" t="str">
        <f>TableOUMPEDUSC[[#This Row],[Study Package Code]]</f>
        <v>EDSC5039</v>
      </c>
      <c r="B168" s="1">
        <f>TableOUMPEDUSC[[#This Row],[Ver]]</f>
        <v>1</v>
      </c>
      <c r="C168" t="str">
        <f>LEFT(TableOUMPEDUSC[[#This Row],[Structure Line]],6)</f>
        <v>MTS502</v>
      </c>
      <c r="D168" t="str">
        <f>MID(TableOUMPEDUSC[[#This Row],[Structure Line]],8,LEN(TableOUMPEDUSC[[#This Row],[Structure Line]]))</f>
        <v>Secondary Professional Experience 1: Planning</v>
      </c>
      <c r="E168" s="119">
        <f>TableOUMPEDUSC[[#This Row],[Credit Points]]</f>
        <v>25</v>
      </c>
      <c r="F168">
        <v>3</v>
      </c>
      <c r="G168" t="s">
        <v>516</v>
      </c>
      <c r="H168">
        <v>1</v>
      </c>
      <c r="I168" t="s">
        <v>591</v>
      </c>
      <c r="J168" t="s">
        <v>267</v>
      </c>
      <c r="K168">
        <v>1</v>
      </c>
      <c r="L168" t="s">
        <v>545</v>
      </c>
      <c r="M168">
        <v>25</v>
      </c>
      <c r="N168" s="275">
        <v>42736</v>
      </c>
      <c r="O168" s="275"/>
    </row>
    <row r="169" spans="1:18" x14ac:dyDescent="0.25">
      <c r="A169" t="str">
        <f>TableOUMPEDUSC[[#This Row],[Study Package Code]]</f>
        <v>EDSC5051</v>
      </c>
      <c r="B169" s="1">
        <f>TableOUMPEDUSC[[#This Row],[Ver]]</f>
        <v>1</v>
      </c>
      <c r="C169" t="str">
        <f>LEFT(TableOUMPEDUSC[[#This Row],[Structure Line]],6)</f>
        <v>MTS504</v>
      </c>
      <c r="D169" t="str">
        <f>MID(TableOUMPEDUSC[[#This Row],[Structure Line]],8,LEN(TableOUMPEDUSC[[#This Row],[Structure Line]]))</f>
        <v>Secondary Professional Experience 2: Assessment and Reporting</v>
      </c>
      <c r="E169" s="119">
        <f>TableOUMPEDUSC[[#This Row],[Credit Points]]</f>
        <v>25</v>
      </c>
      <c r="F169">
        <v>4</v>
      </c>
      <c r="G169" t="s">
        <v>516</v>
      </c>
      <c r="H169">
        <v>1</v>
      </c>
      <c r="I169" t="s">
        <v>592</v>
      </c>
      <c r="J169" t="s">
        <v>273</v>
      </c>
      <c r="K169">
        <v>1</v>
      </c>
      <c r="L169" t="s">
        <v>547</v>
      </c>
      <c r="M169">
        <v>25</v>
      </c>
      <c r="N169" s="275">
        <v>42736</v>
      </c>
      <c r="O169" s="275"/>
    </row>
    <row r="170" spans="1:18" x14ac:dyDescent="0.25">
      <c r="A170" t="str">
        <f>TableOUMPEDUSC[[#This Row],[Study Package Code]]</f>
        <v>EDUC6063</v>
      </c>
      <c r="B170" s="1">
        <f>TableOUMPEDUSC[[#This Row],[Ver]]</f>
        <v>1</v>
      </c>
      <c r="C170" t="str">
        <f>LEFT(TableOUMPEDUSC[[#This Row],[Structure Line]],6)</f>
        <v>MTC600</v>
      </c>
      <c r="D170" t="str">
        <f>MID(TableOUMPEDUSC[[#This Row],[Structure Line]],8,LEN(TableOUMPEDUSC[[#This Row],[Structure Line]]))</f>
        <v>Professional Experience 3: Using Data to Inform Teaching and Learning</v>
      </c>
      <c r="E170" s="119">
        <f>TableOUMPEDUSC[[#This Row],[Credit Points]]</f>
        <v>25</v>
      </c>
      <c r="F170">
        <v>5</v>
      </c>
      <c r="G170" t="s">
        <v>516</v>
      </c>
      <c r="H170">
        <v>1</v>
      </c>
      <c r="I170" t="s">
        <v>593</v>
      </c>
      <c r="J170" t="s">
        <v>119</v>
      </c>
      <c r="K170">
        <v>1</v>
      </c>
      <c r="L170" t="s">
        <v>525</v>
      </c>
      <c r="M170">
        <v>25</v>
      </c>
      <c r="N170" s="275">
        <v>44562</v>
      </c>
      <c r="O170" s="275"/>
    </row>
    <row r="171" spans="1:18" x14ac:dyDescent="0.25">
      <c r="A171" t="str">
        <f>TableOUMPEDUSC[[#This Row],[Study Package Code]]</f>
        <v>EDUC5014</v>
      </c>
      <c r="B171" s="1">
        <f>TableOUMPEDUSC[[#This Row],[Ver]]</f>
        <v>1</v>
      </c>
      <c r="C171" t="str">
        <f>LEFT(TableOUMPEDUSC[[#This Row],[Structure Line]],7)</f>
        <v>MTPS501</v>
      </c>
      <c r="D171" t="str">
        <f>MID(TableOUMPEDUSC[[#This Row],[Structure Line]],9,LEN(TableOUMPEDUSC[[#This Row],[Structure Line]]))</f>
        <v>Pedagogies for Diversity</v>
      </c>
      <c r="E171" s="119">
        <f>TableOUMPEDUSC[[#This Row],[Credit Points]]</f>
        <v>25</v>
      </c>
      <c r="F171">
        <v>6</v>
      </c>
      <c r="G171" t="s">
        <v>516</v>
      </c>
      <c r="H171">
        <v>1</v>
      </c>
      <c r="I171" t="s">
        <v>593</v>
      </c>
      <c r="J171" t="s">
        <v>94</v>
      </c>
      <c r="K171">
        <v>1</v>
      </c>
      <c r="L171" t="s">
        <v>542</v>
      </c>
      <c r="M171">
        <v>25</v>
      </c>
      <c r="N171" s="275">
        <v>42736</v>
      </c>
      <c r="O171" s="275"/>
    </row>
    <row r="172" spans="1:18" x14ac:dyDescent="0.25">
      <c r="A172" t="str">
        <f>TableOUMPEDUSC[[#This Row],[Study Package Code]]</f>
        <v>EDUC5017</v>
      </c>
      <c r="B172" s="1">
        <f>TableOUMPEDUSC[[#This Row],[Ver]]</f>
        <v>1</v>
      </c>
      <c r="C172" t="str">
        <f>LEFT(TableOUMPEDUSC[[#This Row],[Structure Line]],7)</f>
        <v>MTPS504</v>
      </c>
      <c r="D172" t="str">
        <f>MID(TableOUMPEDUSC[[#This Row],[Structure Line]],9,LEN(TableOUMPEDUSC[[#This Row],[Structure Line]]))</f>
        <v>Creative Technologies</v>
      </c>
      <c r="E172" s="119">
        <f>TableOUMPEDUSC[[#This Row],[Credit Points]]</f>
        <v>25</v>
      </c>
      <c r="F172">
        <v>7</v>
      </c>
      <c r="G172" t="s">
        <v>516</v>
      </c>
      <c r="H172">
        <v>1</v>
      </c>
      <c r="I172" t="s">
        <v>594</v>
      </c>
      <c r="J172" t="s">
        <v>93</v>
      </c>
      <c r="K172">
        <v>1</v>
      </c>
      <c r="L172" t="s">
        <v>532</v>
      </c>
      <c r="M172">
        <v>25</v>
      </c>
      <c r="N172" s="275">
        <v>42736</v>
      </c>
      <c r="O172" s="275"/>
    </row>
    <row r="173" spans="1:18" x14ac:dyDescent="0.25">
      <c r="A173" t="str">
        <f>TableOUMPEDUSC[[#This Row],[Study Package Code]]</f>
        <v>EDSC5041</v>
      </c>
      <c r="B173" s="1">
        <f>TableOUMPEDUSC[[#This Row],[Ver]]</f>
        <v>1</v>
      </c>
      <c r="C173" t="str">
        <f>LEFT(TableOUMPEDUSC[[#This Row],[Structure Line]],6)</f>
        <v>MTS506</v>
      </c>
      <c r="D173" t="str">
        <f>MID(TableOUMPEDUSC[[#This Row],[Structure Line]],8,LEN(TableOUMPEDUSC[[#This Row],[Structure Line]]))</f>
        <v>Curriculum and Instruction Lower Secondary: The Arts</v>
      </c>
      <c r="E173" s="119">
        <f>TableOUMPEDUSC[[#This Row],[Credit Points]]</f>
        <v>25</v>
      </c>
      <c r="F173">
        <v>1</v>
      </c>
      <c r="G173" t="s">
        <v>548</v>
      </c>
      <c r="H173">
        <v>1</v>
      </c>
      <c r="I173" t="s">
        <v>514</v>
      </c>
      <c r="J173" t="s">
        <v>292</v>
      </c>
      <c r="K173">
        <v>1</v>
      </c>
      <c r="L173" t="s">
        <v>550</v>
      </c>
      <c r="M173">
        <v>25</v>
      </c>
      <c r="N173" s="275">
        <v>42736</v>
      </c>
      <c r="O173" s="275"/>
    </row>
    <row r="174" spans="1:18" x14ac:dyDescent="0.25">
      <c r="A174" t="str">
        <f>TableOUMPEDUSC[[#This Row],[Study Package Code]]</f>
        <v>EDSC5042</v>
      </c>
      <c r="B174" s="1">
        <f>TableOUMPEDUSC[[#This Row],[Ver]]</f>
        <v>1</v>
      </c>
      <c r="C174" t="str">
        <f>LEFT(TableOUMPEDUSC[[#This Row],[Structure Line]],6)</f>
        <v>MTS507</v>
      </c>
      <c r="D174" t="str">
        <f>MID(TableOUMPEDUSC[[#This Row],[Structure Line]],8,LEN(TableOUMPEDUSC[[#This Row],[Structure Line]]))</f>
        <v>Curriculum and Instruction Lower Secondary: English</v>
      </c>
      <c r="E174" s="119">
        <f>TableOUMPEDUSC[[#This Row],[Credit Points]]</f>
        <v>25</v>
      </c>
      <c r="F174">
        <v>1</v>
      </c>
      <c r="G174" t="s">
        <v>548</v>
      </c>
      <c r="H174">
        <v>1</v>
      </c>
      <c r="I174" t="s">
        <v>514</v>
      </c>
      <c r="J174" t="s">
        <v>293</v>
      </c>
      <c r="K174">
        <v>1</v>
      </c>
      <c r="L174" t="s">
        <v>551</v>
      </c>
      <c r="M174">
        <v>25</v>
      </c>
      <c r="N174" s="275">
        <v>42736</v>
      </c>
      <c r="O174" s="275"/>
    </row>
    <row r="175" spans="1:18" x14ac:dyDescent="0.25">
      <c r="A175" t="str">
        <f>TableOUMPEDUSC[[#This Row],[Study Package Code]]</f>
        <v>EDSC5043</v>
      </c>
      <c r="B175" s="1">
        <f>TableOUMPEDUSC[[#This Row],[Ver]]</f>
        <v>1</v>
      </c>
      <c r="C175" t="str">
        <f>LEFT(TableOUMPEDUSC[[#This Row],[Structure Line]],6)</f>
        <v>MTS508</v>
      </c>
      <c r="D175" t="str">
        <f>MID(TableOUMPEDUSC[[#This Row],[Structure Line]],8,LEN(TableOUMPEDUSC[[#This Row],[Structure Line]]))</f>
        <v>Curriculum and Instruction Lower Secondary: Humanities and Social Sciences</v>
      </c>
      <c r="E175" s="119">
        <f>TableOUMPEDUSC[[#This Row],[Credit Points]]</f>
        <v>25</v>
      </c>
      <c r="F175">
        <v>1</v>
      </c>
      <c r="G175" t="s">
        <v>548</v>
      </c>
      <c r="H175">
        <v>1</v>
      </c>
      <c r="I175" t="s">
        <v>514</v>
      </c>
      <c r="J175" t="s">
        <v>295</v>
      </c>
      <c r="K175">
        <v>1</v>
      </c>
      <c r="L175" t="s">
        <v>552</v>
      </c>
      <c r="M175">
        <v>25</v>
      </c>
      <c r="N175" s="275">
        <v>42736</v>
      </c>
      <c r="O175" s="275"/>
    </row>
    <row r="176" spans="1:18" x14ac:dyDescent="0.25">
      <c r="A176" t="str">
        <f>TableOUMPEDUSC[[#This Row],[Study Package Code]]</f>
        <v>EDSC5044</v>
      </c>
      <c r="B176" s="1">
        <f>TableOUMPEDUSC[[#This Row],[Ver]]</f>
        <v>1</v>
      </c>
      <c r="C176" t="str">
        <f>LEFT(TableOUMPEDUSC[[#This Row],[Structure Line]],6)</f>
        <v>MTS509</v>
      </c>
      <c r="D176" t="str">
        <f>MID(TableOUMPEDUSC[[#This Row],[Structure Line]],8,LEN(TableOUMPEDUSC[[#This Row],[Structure Line]]))</f>
        <v>Curriculum and Instruction Lower Secondary: Mathematics</v>
      </c>
      <c r="E176" s="119">
        <f>TableOUMPEDUSC[[#This Row],[Credit Points]]</f>
        <v>25</v>
      </c>
      <c r="F176">
        <v>1</v>
      </c>
      <c r="G176" t="s">
        <v>548</v>
      </c>
      <c r="H176">
        <v>1</v>
      </c>
      <c r="I176" t="s">
        <v>514</v>
      </c>
      <c r="J176" t="s">
        <v>296</v>
      </c>
      <c r="K176">
        <v>1</v>
      </c>
      <c r="L176" t="s">
        <v>553</v>
      </c>
      <c r="M176">
        <v>25</v>
      </c>
      <c r="N176" s="275">
        <v>42736</v>
      </c>
      <c r="O176" s="275"/>
    </row>
    <row r="177" spans="1:18" x14ac:dyDescent="0.25">
      <c r="A177" t="str">
        <f>TableOUMPEDUSC[[#This Row],[Study Package Code]]</f>
        <v>EDSC5045</v>
      </c>
      <c r="B177" s="1">
        <f>TableOUMPEDUSC[[#This Row],[Ver]]</f>
        <v>1</v>
      </c>
      <c r="C177" t="str">
        <f>LEFT(TableOUMPEDUSC[[#This Row],[Structure Line]],6)</f>
        <v>MTS510</v>
      </c>
      <c r="D177" t="str">
        <f>MID(TableOUMPEDUSC[[#This Row],[Structure Line]],8,LEN(TableOUMPEDUSC[[#This Row],[Structure Line]]))</f>
        <v>Curriculum and Instruction Lower Secondary: Science</v>
      </c>
      <c r="E177" s="119">
        <f>TableOUMPEDUSC[[#This Row],[Credit Points]]</f>
        <v>25</v>
      </c>
      <c r="F177">
        <v>1</v>
      </c>
      <c r="G177" t="s">
        <v>548</v>
      </c>
      <c r="H177">
        <v>1</v>
      </c>
      <c r="I177" t="s">
        <v>514</v>
      </c>
      <c r="J177" t="s">
        <v>297</v>
      </c>
      <c r="K177">
        <v>1</v>
      </c>
      <c r="L177" t="s">
        <v>554</v>
      </c>
      <c r="M177">
        <v>25</v>
      </c>
      <c r="N177" s="275">
        <v>42736</v>
      </c>
      <c r="O177" s="275"/>
    </row>
    <row r="178" spans="1:18" x14ac:dyDescent="0.25">
      <c r="A178" t="str">
        <f>TableOUMPEDUSC[[#This Row],[Study Package Code]]</f>
        <v>EDSC5046</v>
      </c>
      <c r="B178" s="1">
        <f>TableOUMPEDUSC[[#This Row],[Ver]]</f>
        <v>2</v>
      </c>
      <c r="C178" t="str">
        <f>LEFT(TableOUMPEDUSC[[#This Row],[Structure Line]],6)</f>
        <v>MTS511</v>
      </c>
      <c r="D178" t="str">
        <f>MID(TableOUMPEDUSC[[#This Row],[Structure Line]],8,LEN(TableOUMPEDUSC[[#This Row],[Structure Line]]))</f>
        <v>Curriculum and Instruction Senior Secondary: The Arts</v>
      </c>
      <c r="E178" s="119">
        <f>TableOUMPEDUSC[[#This Row],[Credit Points]]</f>
        <v>25</v>
      </c>
      <c r="F178">
        <v>1</v>
      </c>
      <c r="G178" t="s">
        <v>548</v>
      </c>
      <c r="H178">
        <v>1</v>
      </c>
      <c r="I178" t="s">
        <v>514</v>
      </c>
      <c r="J178" t="s">
        <v>300</v>
      </c>
      <c r="K178">
        <v>2</v>
      </c>
      <c r="L178" t="s">
        <v>555</v>
      </c>
      <c r="M178">
        <v>25</v>
      </c>
      <c r="N178" s="275">
        <v>43831</v>
      </c>
      <c r="O178" s="275"/>
    </row>
    <row r="179" spans="1:18" x14ac:dyDescent="0.25">
      <c r="A179" t="str">
        <f>TableOUMPEDUSC[[#This Row],[Study Package Code]]</f>
        <v>EDSC5048</v>
      </c>
      <c r="B179" s="1">
        <f>TableOUMPEDUSC[[#This Row],[Ver]]</f>
        <v>2</v>
      </c>
      <c r="C179" t="str">
        <f>LEFT(TableOUMPEDUSC[[#This Row],[Structure Line]],6)</f>
        <v>MTS513</v>
      </c>
      <c r="D179" t="str">
        <f>MID(TableOUMPEDUSC[[#This Row],[Structure Line]],8,LEN(TableOUMPEDUSC[[#This Row],[Structure Line]]))</f>
        <v>Curriculum and Instruction Senior Secondary: Humanities and Social Sciences</v>
      </c>
      <c r="E179" s="119">
        <f>TableOUMPEDUSC[[#This Row],[Credit Points]]</f>
        <v>25</v>
      </c>
      <c r="F179">
        <v>1</v>
      </c>
      <c r="G179" t="s">
        <v>548</v>
      </c>
      <c r="H179">
        <v>1</v>
      </c>
      <c r="I179" t="s">
        <v>514</v>
      </c>
      <c r="J179" t="s">
        <v>303</v>
      </c>
      <c r="K179">
        <v>2</v>
      </c>
      <c r="L179" t="s">
        <v>556</v>
      </c>
      <c r="M179">
        <v>25</v>
      </c>
      <c r="N179" s="275">
        <v>43831</v>
      </c>
      <c r="O179" s="275"/>
    </row>
    <row r="180" spans="1:18" x14ac:dyDescent="0.25">
      <c r="A180" t="str">
        <f>TableOUMPEDUSC[[#This Row],[Study Package Code]]</f>
        <v>EDSC5049</v>
      </c>
      <c r="B180" s="1">
        <f>TableOUMPEDUSC[[#This Row],[Ver]]</f>
        <v>2</v>
      </c>
      <c r="C180" t="str">
        <f>LEFT(TableOUMPEDUSC[[#This Row],[Structure Line]],6)</f>
        <v>MTS514</v>
      </c>
      <c r="D180" t="str">
        <f>MID(TableOUMPEDUSC[[#This Row],[Structure Line]],8,LEN(TableOUMPEDUSC[[#This Row],[Structure Line]]))</f>
        <v>Curriculum and Instruction Senior Secondary: Mathematics</v>
      </c>
      <c r="E180" s="119">
        <f>TableOUMPEDUSC[[#This Row],[Credit Points]]</f>
        <v>25</v>
      </c>
      <c r="F180">
        <v>1</v>
      </c>
      <c r="G180" t="s">
        <v>548</v>
      </c>
      <c r="H180">
        <v>1</v>
      </c>
      <c r="I180" t="s">
        <v>514</v>
      </c>
      <c r="J180" t="s">
        <v>304</v>
      </c>
      <c r="K180">
        <v>2</v>
      </c>
      <c r="L180" t="s">
        <v>557</v>
      </c>
      <c r="M180">
        <v>25</v>
      </c>
      <c r="N180" s="275">
        <v>43831</v>
      </c>
      <c r="O180" s="275"/>
    </row>
    <row r="181" spans="1:18" x14ac:dyDescent="0.25">
      <c r="A181" t="str">
        <f>TableOUMPEDUSC[[#This Row],[Study Package Code]]</f>
        <v>EDSC5050</v>
      </c>
      <c r="B181" s="1">
        <f>TableOUMPEDUSC[[#This Row],[Ver]]</f>
        <v>2</v>
      </c>
      <c r="C181" t="str">
        <f>LEFT(TableOUMPEDUSC[[#This Row],[Structure Line]],6)</f>
        <v>MTS515</v>
      </c>
      <c r="D181" t="str">
        <f>MID(TableOUMPEDUSC[[#This Row],[Structure Line]],8,LEN(TableOUMPEDUSC[[#This Row],[Structure Line]]))</f>
        <v>Curriculum and Instruction Senior Secondary: Science</v>
      </c>
      <c r="E181" s="119">
        <f>TableOUMPEDUSC[[#This Row],[Credit Points]]</f>
        <v>25</v>
      </c>
      <c r="F181">
        <v>1</v>
      </c>
      <c r="G181" t="s">
        <v>548</v>
      </c>
      <c r="H181">
        <v>1</v>
      </c>
      <c r="I181" t="s">
        <v>514</v>
      </c>
      <c r="J181" t="s">
        <v>305</v>
      </c>
      <c r="K181">
        <v>2</v>
      </c>
      <c r="L181" t="s">
        <v>558</v>
      </c>
      <c r="M181">
        <v>25</v>
      </c>
      <c r="N181" s="275">
        <v>43831</v>
      </c>
      <c r="O181" s="275"/>
    </row>
    <row r="182" spans="1:18" x14ac:dyDescent="0.25">
      <c r="A182" t="str">
        <f>TableOUMPEDUSC[[#This Row],[Study Package Code]]</f>
        <v>EDSC5054</v>
      </c>
      <c r="B182" s="1">
        <f>TableOUMPEDUSC[[#This Row],[Ver]]</f>
        <v>1</v>
      </c>
      <c r="C182" t="str">
        <f>LEFT(TableOUMPEDUSC[[#This Row],[Structure Line]],6)</f>
        <v>MTS512</v>
      </c>
      <c r="D182" t="str">
        <f>MID(TableOUMPEDUSC[[#This Row],[Structure Line]],8,LEN(TableOUMPEDUSC[[#This Row],[Structure Line]]))</f>
        <v>Curriculum and Instruction Senior Secondary: English</v>
      </c>
      <c r="E182" s="119">
        <f>TableOUMPEDUSC[[#This Row],[Credit Points]]</f>
        <v>25</v>
      </c>
      <c r="F182">
        <v>1</v>
      </c>
      <c r="G182" t="s">
        <v>548</v>
      </c>
      <c r="H182">
        <v>1</v>
      </c>
      <c r="I182" t="s">
        <v>514</v>
      </c>
      <c r="J182" t="s">
        <v>301</v>
      </c>
      <c r="K182">
        <v>1</v>
      </c>
      <c r="L182" t="s">
        <v>559</v>
      </c>
      <c r="M182">
        <v>25</v>
      </c>
      <c r="N182" s="275">
        <v>43831</v>
      </c>
      <c r="O182" s="275"/>
    </row>
    <row r="183" spans="1:18" x14ac:dyDescent="0.25">
      <c r="A183" t="str">
        <f>TableOUMPEDUSC[[#This Row],[Study Package Code]]</f>
        <v>EDSC5056</v>
      </c>
      <c r="B183" s="1">
        <f>TableOUMPEDUSC[[#This Row],[Ver]]</f>
        <v>1</v>
      </c>
      <c r="C183" t="str">
        <f>LEFT(TableOUMPEDUSC[[#This Row],[Structure Line]],6)</f>
        <v>MTS516</v>
      </c>
      <c r="D183" t="str">
        <f>MID(TableOUMPEDUSC[[#This Row],[Structure Line]],8,LEN(TableOUMPEDUSC[[#This Row],[Structure Line]]))</f>
        <v>Curriculum and Instruction Lower Secondary: Health and Physical Education</v>
      </c>
      <c r="E183" s="119">
        <f>TableOUMPEDUSC[[#This Row],[Credit Points]]</f>
        <v>25</v>
      </c>
      <c r="F183">
        <v>1</v>
      </c>
      <c r="G183" t="s">
        <v>548</v>
      </c>
      <c r="H183">
        <v>1</v>
      </c>
      <c r="I183" t="s">
        <v>514</v>
      </c>
      <c r="J183" t="s">
        <v>294</v>
      </c>
      <c r="K183">
        <v>1</v>
      </c>
      <c r="L183" t="s">
        <v>560</v>
      </c>
      <c r="M183">
        <v>25</v>
      </c>
      <c r="N183" s="275">
        <v>43831</v>
      </c>
      <c r="O183" s="275"/>
    </row>
    <row r="184" spans="1:18" x14ac:dyDescent="0.25">
      <c r="A184" t="str">
        <f>TableOUMPEDUSC[[#This Row],[Study Package Code]]</f>
        <v>EDSC5058</v>
      </c>
      <c r="B184" s="1">
        <f>TableOUMPEDUSC[[#This Row],[Ver]]</f>
        <v>1</v>
      </c>
      <c r="C184" t="str">
        <f>LEFT(TableOUMPEDUSC[[#This Row],[Structure Line]],6)</f>
        <v>MTS517</v>
      </c>
      <c r="D184" t="str">
        <f>MID(TableOUMPEDUSC[[#This Row],[Structure Line]],8,LEN(TableOUMPEDUSC[[#This Row],[Structure Line]]))</f>
        <v>Curriculum and Instruction Senior Secondary: Health and Physical Education</v>
      </c>
      <c r="E184" s="119">
        <f>TableOUMPEDUSC[[#This Row],[Credit Points]]</f>
        <v>25</v>
      </c>
      <c r="F184">
        <v>1</v>
      </c>
      <c r="G184" t="s">
        <v>548</v>
      </c>
      <c r="H184">
        <v>1</v>
      </c>
      <c r="I184" t="s">
        <v>514</v>
      </c>
      <c r="J184" t="s">
        <v>302</v>
      </c>
      <c r="K184">
        <v>1</v>
      </c>
      <c r="L184" t="s">
        <v>561</v>
      </c>
      <c r="M184">
        <v>25</v>
      </c>
      <c r="N184" s="275">
        <v>43831</v>
      </c>
      <c r="O184" s="275"/>
    </row>
    <row r="185" spans="1:18" x14ac:dyDescent="0.25">
      <c r="B185"/>
      <c r="E185"/>
      <c r="F185" s="115"/>
      <c r="G185" s="116" t="s">
        <v>501</v>
      </c>
      <c r="H185" s="277">
        <v>44197</v>
      </c>
      <c r="J185" s="276" t="s">
        <v>84</v>
      </c>
      <c r="K185" s="118" t="s">
        <v>85</v>
      </c>
      <c r="L185" s="175" t="s">
        <v>83</v>
      </c>
      <c r="N185" s="116" t="s">
        <v>503</v>
      </c>
      <c r="O185" s="296">
        <v>45302</v>
      </c>
    </row>
    <row r="186" spans="1:18" x14ac:dyDescent="0.25">
      <c r="A186" t="s">
        <v>0</v>
      </c>
      <c r="B186" s="1" t="s">
        <v>79</v>
      </c>
      <c r="C186" t="s">
        <v>21</v>
      </c>
      <c r="D186" t="s">
        <v>3</v>
      </c>
      <c r="E186" s="119" t="s">
        <v>504</v>
      </c>
      <c r="F186" t="s">
        <v>505</v>
      </c>
      <c r="G186" t="s">
        <v>506</v>
      </c>
      <c r="H186" t="s">
        <v>507</v>
      </c>
      <c r="I186" t="s">
        <v>22</v>
      </c>
      <c r="J186" t="s">
        <v>508</v>
      </c>
      <c r="K186" t="s">
        <v>1</v>
      </c>
      <c r="L186" t="s">
        <v>62</v>
      </c>
      <c r="M186" t="s">
        <v>80</v>
      </c>
      <c r="N186" s="274" t="s">
        <v>509</v>
      </c>
      <c r="O186" s="274" t="s">
        <v>510</v>
      </c>
      <c r="Q186" t="s">
        <v>511</v>
      </c>
      <c r="R186" t="s">
        <v>512</v>
      </c>
    </row>
    <row r="187" spans="1:18" x14ac:dyDescent="0.25">
      <c r="A187" t="str">
        <f>TableOCEDUCS1[[#This Row],[Study Package Code]]</f>
        <v>OptionOC-EDUC</v>
      </c>
      <c r="B187" s="1">
        <f>TableOCEDUCS1[[#This Row],[Ver]]</f>
        <v>0</v>
      </c>
      <c r="D187" t="str">
        <f>TableOCEDUCS1[[#This Row],[Structure Line]]</f>
        <v>Choose Options to the value of 100CP</v>
      </c>
      <c r="E187" s="119">
        <f>TableOCEDUCS1[[#This Row],[Credit Points]]</f>
        <v>100</v>
      </c>
      <c r="F187">
        <v>1</v>
      </c>
      <c r="G187" t="s">
        <v>548</v>
      </c>
      <c r="H187">
        <v>1</v>
      </c>
      <c r="I187" t="s">
        <v>514</v>
      </c>
      <c r="J187" t="s">
        <v>490</v>
      </c>
      <c r="L187" t="s">
        <v>595</v>
      </c>
      <c r="M187">
        <v>100</v>
      </c>
      <c r="N187" s="275"/>
      <c r="O187" s="275"/>
      <c r="Q187" t="s">
        <v>490</v>
      </c>
      <c r="R187">
        <v>0</v>
      </c>
    </row>
    <row r="188" spans="1:18" x14ac:dyDescent="0.25">
      <c r="A188" t="str">
        <f>TableOCEDUCS1[[#This Row],[Study Package Code]]</f>
        <v>EDEC5016</v>
      </c>
      <c r="B188" s="1">
        <f>TableOCEDUCS1[[#This Row],[Ver]]</f>
        <v>1</v>
      </c>
      <c r="C188" t="str">
        <f>LEFT(TableOCEDUCS1[[#This Row],[Structure Line]],7)</f>
        <v>MTEC503</v>
      </c>
      <c r="D188" t="str">
        <f>MID(TableOCEDUCS1[[#This Row],[Structure Line]],9,LEN(TableOCEDUCS1[[#This Row],[Structure Line]]))</f>
        <v>Numeracy for 5 to 8 Year-Olds</v>
      </c>
      <c r="E188" s="119">
        <f>TableOCEDUCS1[[#This Row],[Credit Points]]</f>
        <v>25</v>
      </c>
      <c r="F188">
        <v>1</v>
      </c>
      <c r="G188" t="s">
        <v>548</v>
      </c>
      <c r="H188">
        <v>1</v>
      </c>
      <c r="I188" t="s">
        <v>514</v>
      </c>
      <c r="J188" t="s">
        <v>74</v>
      </c>
      <c r="K188">
        <v>1</v>
      </c>
      <c r="L188" t="s">
        <v>520</v>
      </c>
      <c r="M188">
        <v>25</v>
      </c>
      <c r="N188" s="275">
        <v>43101</v>
      </c>
      <c r="O188" s="275"/>
      <c r="Q188" t="s">
        <v>74</v>
      </c>
      <c r="R188">
        <v>1</v>
      </c>
    </row>
    <row r="189" spans="1:18" x14ac:dyDescent="0.25">
      <c r="A189" t="str">
        <f>TableOCEDUCS1[[#This Row],[Study Package Code]]</f>
        <v>EDEC5018</v>
      </c>
      <c r="B189" s="1">
        <f>TableOCEDUCS1[[#This Row],[Ver]]</f>
        <v>1</v>
      </c>
      <c r="C189" t="str">
        <f>LEFT(TableOCEDUCS1[[#This Row],[Structure Line]],7)</f>
        <v>MTEC509</v>
      </c>
      <c r="D189" t="str">
        <f>MID(TableOCEDUCS1[[#This Row],[Structure Line]],9,LEN(TableOCEDUCS1[[#This Row],[Structure Line]]))</f>
        <v>Creative and Media Arts in Early Childhood</v>
      </c>
      <c r="E189" s="119">
        <f>TableOCEDUCS1[[#This Row],[Credit Points]]</f>
        <v>25</v>
      </c>
      <c r="F189">
        <v>1</v>
      </c>
      <c r="G189" t="s">
        <v>548</v>
      </c>
      <c r="H189">
        <v>1</v>
      </c>
      <c r="I189" t="s">
        <v>514</v>
      </c>
      <c r="J189" t="s">
        <v>102</v>
      </c>
      <c r="K189">
        <v>1</v>
      </c>
      <c r="L189" t="s">
        <v>529</v>
      </c>
      <c r="M189">
        <v>25</v>
      </c>
      <c r="N189" s="275">
        <v>43101</v>
      </c>
      <c r="O189" s="275"/>
      <c r="Q189" t="s">
        <v>102</v>
      </c>
      <c r="R189">
        <v>1</v>
      </c>
    </row>
    <row r="190" spans="1:18" x14ac:dyDescent="0.25">
      <c r="A190" t="str">
        <f>TableOCEDUCS1[[#This Row],[Study Package Code]]</f>
        <v>EDEC5019</v>
      </c>
      <c r="B190" s="1">
        <f>TableOCEDUCS1[[#This Row],[Ver]]</f>
        <v>1</v>
      </c>
      <c r="C190" t="str">
        <f>LEFT(TableOCEDUCS1[[#This Row],[Structure Line]],7)</f>
        <v>MTEC508</v>
      </c>
      <c r="D190" t="str">
        <f>MID(TableOCEDUCS1[[#This Row],[Structure Line]],9,LEN(TableOCEDUCS1[[#This Row],[Structure Line]]))</f>
        <v>Humanities and Science in Early Childhood</v>
      </c>
      <c r="E190" s="119">
        <f>TableOCEDUCS1[[#This Row],[Credit Points]]</f>
        <v>25</v>
      </c>
      <c r="F190">
        <v>1</v>
      </c>
      <c r="G190" t="s">
        <v>548</v>
      </c>
      <c r="H190">
        <v>1</v>
      </c>
      <c r="I190" t="s">
        <v>514</v>
      </c>
      <c r="J190" t="s">
        <v>73</v>
      </c>
      <c r="K190">
        <v>1</v>
      </c>
      <c r="L190" t="s">
        <v>528</v>
      </c>
      <c r="M190">
        <v>25</v>
      </c>
      <c r="N190" s="275">
        <v>43101</v>
      </c>
      <c r="O190" s="275"/>
      <c r="Q190" t="s">
        <v>73</v>
      </c>
      <c r="R190">
        <v>1</v>
      </c>
    </row>
    <row r="191" spans="1:18" x14ac:dyDescent="0.25">
      <c r="A191" t="str">
        <f>TableOCEDUCS1[[#This Row],[Study Package Code]]</f>
        <v>EDPR5010</v>
      </c>
      <c r="B191" s="1">
        <f>TableOCEDUCS1[[#This Row],[Ver]]</f>
        <v>1</v>
      </c>
      <c r="C191" t="str">
        <f>LEFT(TableOCEDUCS1[[#This Row],[Structure Line]],6)</f>
        <v>MTP501</v>
      </c>
      <c r="D191" t="str">
        <f>MID(TableOCEDUCS1[[#This Row],[Structure Line]],8,LEN(TableOCEDUCS1[[#This Row],[Structure Line]]))</f>
        <v>Teaching Number, Algebra and Probability in the Primary Years</v>
      </c>
      <c r="E191" s="119">
        <f>TableOCEDUCS1[[#This Row],[Credit Points]]</f>
        <v>25</v>
      </c>
      <c r="F191">
        <v>1</v>
      </c>
      <c r="G191" t="s">
        <v>548</v>
      </c>
      <c r="H191">
        <v>1</v>
      </c>
      <c r="I191" t="s">
        <v>514</v>
      </c>
      <c r="J191" t="s">
        <v>77</v>
      </c>
      <c r="K191">
        <v>1</v>
      </c>
      <c r="L191" t="s">
        <v>533</v>
      </c>
      <c r="M191">
        <v>25</v>
      </c>
      <c r="N191" s="275">
        <v>42736</v>
      </c>
      <c r="O191" s="275"/>
      <c r="Q191" t="s">
        <v>77</v>
      </c>
      <c r="R191">
        <v>1</v>
      </c>
    </row>
    <row r="192" spans="1:18" x14ac:dyDescent="0.25">
      <c r="A192" t="str">
        <f>TableOCEDUCS1[[#This Row],[Study Package Code]]</f>
        <v>EDPR5012</v>
      </c>
      <c r="B192" s="1">
        <f>TableOCEDUCS1[[#This Row],[Ver]]</f>
        <v>1</v>
      </c>
      <c r="C192" t="str">
        <f>LEFT(TableOCEDUCS1[[#This Row],[Structure Line]],6)</f>
        <v>MTP505</v>
      </c>
      <c r="D192" t="str">
        <f>MID(TableOCEDUCS1[[#This Row],[Structure Line]],8,LEN(TableOCEDUCS1[[#This Row],[Structure Line]]))</f>
        <v>Teaching Science in the Primary Years</v>
      </c>
      <c r="E192" s="119">
        <f>TableOCEDUCS1[[#This Row],[Credit Points]]</f>
        <v>25</v>
      </c>
      <c r="F192">
        <v>1</v>
      </c>
      <c r="G192" t="s">
        <v>548</v>
      </c>
      <c r="H192">
        <v>1</v>
      </c>
      <c r="I192" t="s">
        <v>514</v>
      </c>
      <c r="J192" t="s">
        <v>76</v>
      </c>
      <c r="K192">
        <v>1</v>
      </c>
      <c r="L192" t="s">
        <v>535</v>
      </c>
      <c r="M192">
        <v>25</v>
      </c>
      <c r="N192" s="275">
        <v>42736</v>
      </c>
      <c r="O192" s="275"/>
      <c r="Q192" t="s">
        <v>76</v>
      </c>
      <c r="R192">
        <v>1</v>
      </c>
    </row>
    <row r="193" spans="1:18" x14ac:dyDescent="0.25">
      <c r="A193" t="str">
        <f>TableOCEDUCS1[[#This Row],[Study Package Code]]</f>
        <v>EDPR5016</v>
      </c>
      <c r="B193" s="1">
        <f>TableOCEDUCS1[[#This Row],[Ver]]</f>
        <v>1</v>
      </c>
      <c r="C193" t="str">
        <f>LEFT(TableOCEDUCS1[[#This Row],[Structure Line]],6)</f>
        <v>MTP509</v>
      </c>
      <c r="D193" t="str">
        <f>MID(TableOCEDUCS1[[#This Row],[Structure Line]],8,LEN(TableOCEDUCS1[[#This Row],[Structure Line]]))</f>
        <v>Teaching Arts in the Primary Years</v>
      </c>
      <c r="E193" s="119">
        <f>TableOCEDUCS1[[#This Row],[Credit Points]]</f>
        <v>25</v>
      </c>
      <c r="F193">
        <v>1</v>
      </c>
      <c r="G193" t="s">
        <v>548</v>
      </c>
      <c r="H193">
        <v>1</v>
      </c>
      <c r="I193" t="s">
        <v>514</v>
      </c>
      <c r="J193" t="s">
        <v>111</v>
      </c>
      <c r="K193">
        <v>1</v>
      </c>
      <c r="L193" t="s">
        <v>540</v>
      </c>
      <c r="M193">
        <v>25</v>
      </c>
      <c r="N193" s="275">
        <v>42736</v>
      </c>
      <c r="O193" s="275"/>
      <c r="Q193" t="s">
        <v>111</v>
      </c>
      <c r="R193">
        <v>1</v>
      </c>
    </row>
    <row r="194" spans="1:18" x14ac:dyDescent="0.25">
      <c r="A194" t="str">
        <f>TableOCEDUCS1[[#This Row],[Study Package Code]]</f>
        <v>EDPR5017</v>
      </c>
      <c r="B194" s="1">
        <f>TableOCEDUCS1[[#This Row],[Ver]]</f>
        <v>1</v>
      </c>
      <c r="C194" t="str">
        <f>LEFT(TableOCEDUCS1[[#This Row],[Structure Line]],6)</f>
        <v>MTP504</v>
      </c>
      <c r="D194" t="str">
        <f>MID(TableOCEDUCS1[[#This Row],[Structure Line]],8,LEN(TableOCEDUCS1[[#This Row],[Structure Line]]))</f>
        <v>Teaching Humanities and Social Sciences in the Primary Years</v>
      </c>
      <c r="E194" s="119">
        <f>TableOCEDUCS1[[#This Row],[Credit Points]]</f>
        <v>25</v>
      </c>
      <c r="F194">
        <v>1</v>
      </c>
      <c r="G194" t="s">
        <v>548</v>
      </c>
      <c r="H194">
        <v>1</v>
      </c>
      <c r="I194" t="s">
        <v>514</v>
      </c>
      <c r="J194" t="s">
        <v>103</v>
      </c>
      <c r="K194">
        <v>1</v>
      </c>
      <c r="L194" t="s">
        <v>538</v>
      </c>
      <c r="M194">
        <v>25</v>
      </c>
      <c r="N194" s="275">
        <v>42736</v>
      </c>
      <c r="O194" s="275"/>
      <c r="Q194" t="s">
        <v>103</v>
      </c>
      <c r="R194">
        <v>1</v>
      </c>
    </row>
    <row r="195" spans="1:18" x14ac:dyDescent="0.25">
      <c r="A195" t="str">
        <f>TableOCEDUCS1[[#This Row],[Study Package Code]]</f>
        <v>EDSC5040</v>
      </c>
      <c r="B195" s="1">
        <f>TableOCEDUCS1[[#This Row],[Ver]]</f>
        <v>1</v>
      </c>
      <c r="C195" t="str">
        <f>LEFT(TableOCEDUCS1[[#This Row],[Structure Line]],6)</f>
        <v>MTS503</v>
      </c>
      <c r="D195" t="str">
        <f>MID(TableOCEDUCS1[[#This Row],[Structure Line]],8,LEN(TableOCEDUCS1[[#This Row],[Structure Line]]))</f>
        <v>Managing the Learning Environment</v>
      </c>
      <c r="E195" s="119">
        <f>TableOCEDUCS1[[#This Row],[Credit Points]]</f>
        <v>25</v>
      </c>
      <c r="F195">
        <v>1</v>
      </c>
      <c r="G195" t="s">
        <v>548</v>
      </c>
      <c r="H195">
        <v>1</v>
      </c>
      <c r="I195" t="s">
        <v>514</v>
      </c>
      <c r="J195" t="s">
        <v>261</v>
      </c>
      <c r="K195">
        <v>1</v>
      </c>
      <c r="L195" t="s">
        <v>546</v>
      </c>
      <c r="M195">
        <v>25</v>
      </c>
      <c r="N195" s="275">
        <v>42736</v>
      </c>
      <c r="O195" s="275"/>
      <c r="Q195" t="s">
        <v>261</v>
      </c>
      <c r="R195">
        <v>1</v>
      </c>
    </row>
    <row r="196" spans="1:18" x14ac:dyDescent="0.25">
      <c r="A196" t="str">
        <f>TableOCEDUCS1[[#This Row],[Study Package Code]]</f>
        <v>EDUC5012</v>
      </c>
      <c r="B196" s="1">
        <f>TableOCEDUCS1[[#This Row],[Ver]]</f>
        <v>2</v>
      </c>
      <c r="C196" t="str">
        <f>LEFT(TableOCEDUCS1[[#This Row],[Structure Line]],7)</f>
        <v>MTPS500</v>
      </c>
      <c r="D196" t="str">
        <f>MID(TableOCEDUCS1[[#This Row],[Structure Line]],9,LEN(TableOCEDUCS1[[#This Row],[Structure Line]]))</f>
        <v>Theories of Development and Learning</v>
      </c>
      <c r="E196" s="119">
        <f>TableOCEDUCS1[[#This Row],[Credit Points]]</f>
        <v>25</v>
      </c>
      <c r="F196">
        <v>1</v>
      </c>
      <c r="G196" t="s">
        <v>548</v>
      </c>
      <c r="H196">
        <v>1</v>
      </c>
      <c r="I196" t="s">
        <v>514</v>
      </c>
      <c r="J196" t="s">
        <v>65</v>
      </c>
      <c r="K196">
        <v>2</v>
      </c>
      <c r="L196" t="s">
        <v>524</v>
      </c>
      <c r="M196">
        <v>25</v>
      </c>
      <c r="N196" s="275">
        <v>44197</v>
      </c>
      <c r="O196" s="275"/>
      <c r="Q196" t="s">
        <v>65</v>
      </c>
      <c r="R196">
        <v>2</v>
      </c>
    </row>
    <row r="197" spans="1:18" x14ac:dyDescent="0.25">
      <c r="A197" t="str">
        <f>TableOCEDUCS1[[#This Row],[Study Package Code]]</f>
        <v>EDUC5013</v>
      </c>
      <c r="B197" s="1">
        <f>TableOCEDUCS1[[#This Row],[Ver]]</f>
        <v>1</v>
      </c>
      <c r="C197" t="str">
        <f>LEFT(TableOCEDUCS1[[#This Row],[Structure Line]],6)</f>
        <v>MTP503</v>
      </c>
      <c r="D197" t="str">
        <f>MID(TableOCEDUCS1[[#This Row],[Structure Line]],8,LEN(TableOCEDUCS1[[#This Row],[Structure Line]]))</f>
        <v>Developing Positive Learning Environments</v>
      </c>
      <c r="E197" s="119">
        <f>TableOCEDUCS1[[#This Row],[Credit Points]]</f>
        <v>25</v>
      </c>
      <c r="F197">
        <v>1</v>
      </c>
      <c r="G197" t="s">
        <v>548</v>
      </c>
      <c r="H197">
        <v>1</v>
      </c>
      <c r="I197" t="s">
        <v>514</v>
      </c>
      <c r="J197" t="s">
        <v>70</v>
      </c>
      <c r="K197">
        <v>1</v>
      </c>
      <c r="L197" t="s">
        <v>523</v>
      </c>
      <c r="M197">
        <v>25</v>
      </c>
      <c r="N197" s="275">
        <v>42736</v>
      </c>
      <c r="O197" s="275"/>
      <c r="Q197" t="s">
        <v>70</v>
      </c>
      <c r="R197">
        <v>1</v>
      </c>
    </row>
    <row r="198" spans="1:18" x14ac:dyDescent="0.25">
      <c r="A198" t="str">
        <f>TableOCEDUCS1[[#This Row],[Study Package Code]]</f>
        <v>EDUC5014</v>
      </c>
      <c r="B198" s="1">
        <f>TableOCEDUCS1[[#This Row],[Ver]]</f>
        <v>1</v>
      </c>
      <c r="C198" t="str">
        <f>LEFT(TableOCEDUCS1[[#This Row],[Structure Line]],7)</f>
        <v>MTPS501</v>
      </c>
      <c r="D198" t="str">
        <f>MID(TableOCEDUCS1[[#This Row],[Structure Line]],9,LEN(TableOCEDUCS1[[#This Row],[Structure Line]]))</f>
        <v>Pedagogies for Diversity</v>
      </c>
      <c r="E198" s="119">
        <f>TableOCEDUCS1[[#This Row],[Credit Points]]</f>
        <v>25</v>
      </c>
      <c r="F198">
        <v>1</v>
      </c>
      <c r="G198" t="s">
        <v>548</v>
      </c>
      <c r="H198">
        <v>1</v>
      </c>
      <c r="I198" t="s">
        <v>514</v>
      </c>
      <c r="J198" t="s">
        <v>94</v>
      </c>
      <c r="K198">
        <v>1</v>
      </c>
      <c r="L198" t="s">
        <v>542</v>
      </c>
      <c r="M198">
        <v>25</v>
      </c>
      <c r="N198" s="275">
        <v>42736</v>
      </c>
      <c r="O198" s="275"/>
      <c r="Q198" t="s">
        <v>94</v>
      </c>
      <c r="R198">
        <v>1</v>
      </c>
    </row>
    <row r="199" spans="1:18" x14ac:dyDescent="0.25">
      <c r="A199" t="str">
        <f>TableOCEDUCS1[[#This Row],[Study Package Code]]</f>
        <v>EDUC5017</v>
      </c>
      <c r="B199" s="1">
        <f>TableOCEDUCS1[[#This Row],[Ver]]</f>
        <v>1</v>
      </c>
      <c r="C199" t="str">
        <f>LEFT(TableOCEDUCS1[[#This Row],[Structure Line]],7)</f>
        <v>MTPS504</v>
      </c>
      <c r="D199" t="str">
        <f>MID(TableOCEDUCS1[[#This Row],[Structure Line]],9,LEN(TableOCEDUCS1[[#This Row],[Structure Line]]))</f>
        <v>Creative Technologies</v>
      </c>
      <c r="E199" s="119">
        <f>TableOCEDUCS1[[#This Row],[Credit Points]]</f>
        <v>25</v>
      </c>
      <c r="F199">
        <v>1</v>
      </c>
      <c r="G199" t="s">
        <v>548</v>
      </c>
      <c r="H199">
        <v>1</v>
      </c>
      <c r="I199" t="s">
        <v>514</v>
      </c>
      <c r="J199" t="s">
        <v>93</v>
      </c>
      <c r="K199">
        <v>1</v>
      </c>
      <c r="L199" t="s">
        <v>532</v>
      </c>
      <c r="M199">
        <v>25</v>
      </c>
      <c r="N199" s="275">
        <v>42736</v>
      </c>
      <c r="O199" s="275"/>
      <c r="Q199" t="s">
        <v>93</v>
      </c>
      <c r="R199">
        <v>1</v>
      </c>
    </row>
    <row r="200" spans="1:18" x14ac:dyDescent="0.25">
      <c r="A200" t="str">
        <f>TableOCEDUCS1[[#This Row],[Study Package Code]]</f>
        <v>EDUC5034</v>
      </c>
      <c r="B200" s="1">
        <f>TableOCEDUCS1[[#This Row],[Ver]]</f>
        <v>1</v>
      </c>
      <c r="C200" t="str">
        <f>LEFT(TableOCEDUCS1[[#This Row],[Structure Line]],6)</f>
        <v>MTC520</v>
      </c>
      <c r="D200" t="str">
        <f>MID(TableOCEDUCS1[[#This Row],[Structure Line]],8,LEN(TableOCEDUCS1[[#This Row],[Structure Line]]))</f>
        <v>Mentoring, Coaching and Tutoring</v>
      </c>
      <c r="E200" s="119">
        <f>TableOCEDUCS1[[#This Row],[Credit Points]]</f>
        <v>25</v>
      </c>
      <c r="F200">
        <v>1</v>
      </c>
      <c r="G200" t="s">
        <v>548</v>
      </c>
      <c r="H200">
        <v>1</v>
      </c>
      <c r="I200" t="s">
        <v>514</v>
      </c>
      <c r="J200" t="s">
        <v>309</v>
      </c>
      <c r="K200">
        <v>1</v>
      </c>
      <c r="L200" t="s">
        <v>563</v>
      </c>
      <c r="M200">
        <v>25</v>
      </c>
      <c r="N200" s="275">
        <v>44562</v>
      </c>
      <c r="O200" s="275"/>
      <c r="Q200" t="s">
        <v>309</v>
      </c>
      <c r="R200">
        <v>1</v>
      </c>
    </row>
    <row r="201" spans="1:18" x14ac:dyDescent="0.25">
      <c r="B201"/>
      <c r="E201"/>
      <c r="F201" s="115"/>
      <c r="G201" s="116" t="s">
        <v>501</v>
      </c>
      <c r="H201" s="277">
        <v>44197</v>
      </c>
      <c r="J201" s="276" t="s">
        <v>91</v>
      </c>
      <c r="K201" s="118" t="s">
        <v>85</v>
      </c>
      <c r="L201" s="175" t="s">
        <v>90</v>
      </c>
      <c r="N201" s="116" t="s">
        <v>503</v>
      </c>
      <c r="O201" s="296">
        <v>45302</v>
      </c>
    </row>
    <row r="202" spans="1:18" x14ac:dyDescent="0.25">
      <c r="A202" t="s">
        <v>0</v>
      </c>
      <c r="B202" s="1" t="s">
        <v>79</v>
      </c>
      <c r="C202" t="s">
        <v>21</v>
      </c>
      <c r="D202" t="s">
        <v>3</v>
      </c>
      <c r="E202" s="119" t="s">
        <v>504</v>
      </c>
      <c r="F202" t="s">
        <v>505</v>
      </c>
      <c r="G202" t="s">
        <v>506</v>
      </c>
      <c r="H202" t="s">
        <v>507</v>
      </c>
      <c r="I202" t="s">
        <v>22</v>
      </c>
      <c r="J202" t="s">
        <v>508</v>
      </c>
      <c r="K202" t="s">
        <v>1</v>
      </c>
      <c r="L202" t="s">
        <v>62</v>
      </c>
      <c r="M202" t="s">
        <v>80</v>
      </c>
      <c r="N202" s="274" t="s">
        <v>509</v>
      </c>
      <c r="O202" s="274" t="s">
        <v>510</v>
      </c>
      <c r="Q202" t="s">
        <v>511</v>
      </c>
      <c r="R202" t="s">
        <v>512</v>
      </c>
    </row>
    <row r="203" spans="1:18" x14ac:dyDescent="0.25">
      <c r="A203" t="str">
        <f>TableOCEDUC[[#This Row],[Study Package Code]]</f>
        <v>OptionOC-EDUC</v>
      </c>
      <c r="B203" s="1">
        <f>TableOCEDUC[[#This Row],[Ver]]</f>
        <v>0</v>
      </c>
      <c r="D203" t="str">
        <f>TableOCEDUC[[#This Row],[Structure Line]]</f>
        <v>Choose Options to the value of 100CP</v>
      </c>
      <c r="E203" s="119">
        <f>TableOCEDUC[[#This Row],[Credit Points]]</f>
        <v>100</v>
      </c>
      <c r="F203">
        <v>1</v>
      </c>
      <c r="G203" t="s">
        <v>548</v>
      </c>
      <c r="H203">
        <v>0</v>
      </c>
      <c r="I203" t="s">
        <v>514</v>
      </c>
      <c r="J203" t="s">
        <v>490</v>
      </c>
      <c r="L203" t="s">
        <v>595</v>
      </c>
      <c r="M203">
        <v>100</v>
      </c>
      <c r="N203" s="275"/>
      <c r="O203" s="275"/>
      <c r="Q203" t="s">
        <v>490</v>
      </c>
      <c r="R203">
        <v>0</v>
      </c>
    </row>
    <row r="204" spans="1:18" x14ac:dyDescent="0.25">
      <c r="A204" t="str">
        <f>TableOCEDUC[[#This Row],[Study Package Code]]</f>
        <v>EDEC5016</v>
      </c>
      <c r="B204" s="1">
        <f>TableOCEDUC[[#This Row],[Ver]]</f>
        <v>1</v>
      </c>
      <c r="C204" t="str">
        <f>LEFT(TableOCEDUC[[#This Row],[Structure Line]],7)</f>
        <v>MTEC503</v>
      </c>
      <c r="D204" t="str">
        <f>MID(TableOCEDUC[[#This Row],[Structure Line]],9,LEN(TableOCEDUC[[#This Row],[Structure Line]]))</f>
        <v>Numeracy for 5 to 8 Year-Olds</v>
      </c>
      <c r="E204" s="119">
        <f>TableOCEDUC[[#This Row],[Credit Points]]</f>
        <v>25</v>
      </c>
      <c r="F204">
        <v>1</v>
      </c>
      <c r="G204" t="s">
        <v>548</v>
      </c>
      <c r="H204">
        <v>0</v>
      </c>
      <c r="I204" t="s">
        <v>514</v>
      </c>
      <c r="J204" t="s">
        <v>74</v>
      </c>
      <c r="K204">
        <v>1</v>
      </c>
      <c r="L204" t="s">
        <v>520</v>
      </c>
      <c r="M204">
        <v>25</v>
      </c>
      <c r="N204" s="275">
        <v>43101</v>
      </c>
      <c r="O204" s="275"/>
      <c r="Q204" t="s">
        <v>74</v>
      </c>
      <c r="R204">
        <v>1</v>
      </c>
    </row>
    <row r="205" spans="1:18" x14ac:dyDescent="0.25">
      <c r="A205" t="str">
        <f>TableOCEDUC[[#This Row],[Study Package Code]]</f>
        <v>EDEC5018</v>
      </c>
      <c r="B205" s="1">
        <f>TableOCEDUC[[#This Row],[Ver]]</f>
        <v>1</v>
      </c>
      <c r="C205" t="str">
        <f>LEFT(TableOCEDUC[[#This Row],[Structure Line]],7)</f>
        <v>MTEC509</v>
      </c>
      <c r="D205" t="str">
        <f>MID(TableOCEDUC[[#This Row],[Structure Line]],9,LEN(TableOCEDUC[[#This Row],[Structure Line]]))</f>
        <v>Creative and Media Arts in Early Childhood</v>
      </c>
      <c r="E205" s="119">
        <f>TableOCEDUC[[#This Row],[Credit Points]]</f>
        <v>25</v>
      </c>
      <c r="F205">
        <v>1</v>
      </c>
      <c r="G205" t="s">
        <v>548</v>
      </c>
      <c r="H205">
        <v>0</v>
      </c>
      <c r="I205" t="s">
        <v>514</v>
      </c>
      <c r="J205" t="s">
        <v>102</v>
      </c>
      <c r="K205">
        <v>1</v>
      </c>
      <c r="L205" t="s">
        <v>529</v>
      </c>
      <c r="M205">
        <v>25</v>
      </c>
      <c r="N205" s="275">
        <v>43101</v>
      </c>
      <c r="O205" s="275"/>
      <c r="Q205" t="s">
        <v>102</v>
      </c>
      <c r="R205">
        <v>1</v>
      </c>
    </row>
    <row r="206" spans="1:18" x14ac:dyDescent="0.25">
      <c r="A206" t="str">
        <f>TableOCEDUC[[#This Row],[Study Package Code]]</f>
        <v>EDEC5019</v>
      </c>
      <c r="B206" s="1">
        <f>TableOCEDUC[[#This Row],[Ver]]</f>
        <v>1</v>
      </c>
      <c r="C206" t="str">
        <f>LEFT(TableOCEDUC[[#This Row],[Structure Line]],7)</f>
        <v>MTEC508</v>
      </c>
      <c r="D206" t="str">
        <f>MID(TableOCEDUC[[#This Row],[Structure Line]],9,LEN(TableOCEDUC[[#This Row],[Structure Line]]))</f>
        <v>Humanities and Science in Early Childhood</v>
      </c>
      <c r="E206" s="119">
        <f>TableOCEDUC[[#This Row],[Credit Points]]</f>
        <v>25</v>
      </c>
      <c r="F206">
        <v>1</v>
      </c>
      <c r="G206" t="s">
        <v>548</v>
      </c>
      <c r="H206">
        <v>0</v>
      </c>
      <c r="I206" t="s">
        <v>514</v>
      </c>
      <c r="J206" t="s">
        <v>73</v>
      </c>
      <c r="K206">
        <v>1</v>
      </c>
      <c r="L206" t="s">
        <v>528</v>
      </c>
      <c r="M206">
        <v>25</v>
      </c>
      <c r="N206" s="275">
        <v>43101</v>
      </c>
      <c r="O206" s="275"/>
      <c r="Q206" t="s">
        <v>73</v>
      </c>
      <c r="R206">
        <v>1</v>
      </c>
    </row>
    <row r="207" spans="1:18" x14ac:dyDescent="0.25">
      <c r="A207" t="str">
        <f>TableOCEDUC[[#This Row],[Study Package Code]]</f>
        <v>EDPR5010</v>
      </c>
      <c r="B207" s="1">
        <f>TableOCEDUC[[#This Row],[Ver]]</f>
        <v>1</v>
      </c>
      <c r="C207" t="str">
        <f>LEFT(TableOCEDUC[[#This Row],[Structure Line]],6)</f>
        <v>MTP501</v>
      </c>
      <c r="D207" t="str">
        <f>MID(TableOCEDUC[[#This Row],[Structure Line]],8,LEN(TableOCEDUC[[#This Row],[Structure Line]]))</f>
        <v>Teaching Number, Algebra and Probability in the Primary Years</v>
      </c>
      <c r="E207" s="119">
        <f>TableOCEDUC[[#This Row],[Credit Points]]</f>
        <v>25</v>
      </c>
      <c r="F207">
        <v>1</v>
      </c>
      <c r="G207" t="s">
        <v>548</v>
      </c>
      <c r="H207">
        <v>0</v>
      </c>
      <c r="I207" t="s">
        <v>514</v>
      </c>
      <c r="J207" t="s">
        <v>77</v>
      </c>
      <c r="K207">
        <v>1</v>
      </c>
      <c r="L207" t="s">
        <v>533</v>
      </c>
      <c r="M207">
        <v>25</v>
      </c>
      <c r="N207" s="275">
        <v>42736</v>
      </c>
      <c r="O207" s="275"/>
      <c r="Q207" t="s">
        <v>77</v>
      </c>
      <c r="R207">
        <v>1</v>
      </c>
    </row>
    <row r="208" spans="1:18" x14ac:dyDescent="0.25">
      <c r="A208" t="str">
        <f>TableOCEDUC[[#This Row],[Study Package Code]]</f>
        <v>EDPR5012</v>
      </c>
      <c r="B208" s="1">
        <f>TableOCEDUC[[#This Row],[Ver]]</f>
        <v>1</v>
      </c>
      <c r="C208" t="str">
        <f>LEFT(TableOCEDUC[[#This Row],[Structure Line]],6)</f>
        <v>MTP505</v>
      </c>
      <c r="D208" t="str">
        <f>MID(TableOCEDUC[[#This Row],[Structure Line]],8,LEN(TableOCEDUC[[#This Row],[Structure Line]]))</f>
        <v>Teaching Science in the Primary Years</v>
      </c>
      <c r="E208" s="119">
        <f>TableOCEDUC[[#This Row],[Credit Points]]</f>
        <v>25</v>
      </c>
      <c r="F208">
        <v>1</v>
      </c>
      <c r="G208" t="s">
        <v>548</v>
      </c>
      <c r="H208">
        <v>0</v>
      </c>
      <c r="I208" t="s">
        <v>514</v>
      </c>
      <c r="J208" t="s">
        <v>76</v>
      </c>
      <c r="K208">
        <v>1</v>
      </c>
      <c r="L208" t="s">
        <v>535</v>
      </c>
      <c r="M208">
        <v>25</v>
      </c>
      <c r="N208" s="275">
        <v>42736</v>
      </c>
      <c r="O208" s="275"/>
      <c r="Q208" t="s">
        <v>76</v>
      </c>
      <c r="R208">
        <v>1</v>
      </c>
    </row>
    <row r="209" spans="1:18" x14ac:dyDescent="0.25">
      <c r="A209" t="str">
        <f>TableOCEDUC[[#This Row],[Study Package Code]]</f>
        <v>EDPR5016</v>
      </c>
      <c r="B209" s="1">
        <f>TableOCEDUC[[#This Row],[Ver]]</f>
        <v>1</v>
      </c>
      <c r="C209" t="str">
        <f>LEFT(TableOCEDUC[[#This Row],[Structure Line]],6)</f>
        <v>MTP509</v>
      </c>
      <c r="D209" t="str">
        <f>MID(TableOCEDUC[[#This Row],[Structure Line]],8,LEN(TableOCEDUC[[#This Row],[Structure Line]]))</f>
        <v>Teaching Arts in the Primary Years</v>
      </c>
      <c r="E209" s="119">
        <f>TableOCEDUC[[#This Row],[Credit Points]]</f>
        <v>25</v>
      </c>
      <c r="F209">
        <v>1</v>
      </c>
      <c r="G209" t="s">
        <v>548</v>
      </c>
      <c r="H209">
        <v>0</v>
      </c>
      <c r="I209" t="s">
        <v>514</v>
      </c>
      <c r="J209" t="s">
        <v>111</v>
      </c>
      <c r="K209">
        <v>1</v>
      </c>
      <c r="L209" t="s">
        <v>540</v>
      </c>
      <c r="M209">
        <v>25</v>
      </c>
      <c r="N209" s="275">
        <v>42736</v>
      </c>
      <c r="O209" s="275"/>
      <c r="Q209" t="s">
        <v>111</v>
      </c>
      <c r="R209">
        <v>1</v>
      </c>
    </row>
    <row r="210" spans="1:18" x14ac:dyDescent="0.25">
      <c r="A210" t="str">
        <f>TableOCEDUC[[#This Row],[Study Package Code]]</f>
        <v>EDPR5017</v>
      </c>
      <c r="B210" s="1">
        <f>TableOCEDUC[[#This Row],[Ver]]</f>
        <v>1</v>
      </c>
      <c r="C210" t="str">
        <f>LEFT(TableOCEDUC[[#This Row],[Structure Line]],6)</f>
        <v>MTP504</v>
      </c>
      <c r="D210" t="str">
        <f>MID(TableOCEDUC[[#This Row],[Structure Line]],8,LEN(TableOCEDUC[[#This Row],[Structure Line]]))</f>
        <v>Teaching Humanities and Social Sciences in the Primary Years</v>
      </c>
      <c r="E210" s="119">
        <f>TableOCEDUC[[#This Row],[Credit Points]]</f>
        <v>25</v>
      </c>
      <c r="F210">
        <v>1</v>
      </c>
      <c r="G210" t="s">
        <v>548</v>
      </c>
      <c r="H210">
        <v>0</v>
      </c>
      <c r="I210" t="s">
        <v>514</v>
      </c>
      <c r="J210" t="s">
        <v>103</v>
      </c>
      <c r="K210">
        <v>1</v>
      </c>
      <c r="L210" t="s">
        <v>538</v>
      </c>
      <c r="M210">
        <v>25</v>
      </c>
      <c r="N210" s="275">
        <v>42736</v>
      </c>
      <c r="O210" s="275"/>
      <c r="Q210" t="s">
        <v>103</v>
      </c>
      <c r="R210">
        <v>1</v>
      </c>
    </row>
    <row r="211" spans="1:18" x14ac:dyDescent="0.25">
      <c r="A211" t="str">
        <f>TableOCEDUC[[#This Row],[Study Package Code]]</f>
        <v>EDSC5040</v>
      </c>
      <c r="B211" s="1">
        <f>TableOCEDUC[[#This Row],[Ver]]</f>
        <v>1</v>
      </c>
      <c r="C211" t="str">
        <f>LEFT(TableOCEDUC[[#This Row],[Structure Line]],6)</f>
        <v>MTS503</v>
      </c>
      <c r="D211" t="str">
        <f>MID(TableOCEDUC[[#This Row],[Structure Line]],8,LEN(TableOCEDUC[[#This Row],[Structure Line]]))</f>
        <v>Managing the Learning Environment</v>
      </c>
      <c r="E211" s="119">
        <f>TableOCEDUC[[#This Row],[Credit Points]]</f>
        <v>25</v>
      </c>
      <c r="F211">
        <v>1</v>
      </c>
      <c r="G211" t="s">
        <v>548</v>
      </c>
      <c r="H211">
        <v>0</v>
      </c>
      <c r="I211" t="s">
        <v>514</v>
      </c>
      <c r="J211" t="s">
        <v>261</v>
      </c>
      <c r="K211">
        <v>1</v>
      </c>
      <c r="L211" t="s">
        <v>546</v>
      </c>
      <c r="M211">
        <v>25</v>
      </c>
      <c r="N211" s="275">
        <v>42736</v>
      </c>
      <c r="O211" s="275"/>
      <c r="Q211" t="s">
        <v>261</v>
      </c>
      <c r="R211">
        <v>1</v>
      </c>
    </row>
    <row r="212" spans="1:18" x14ac:dyDescent="0.25">
      <c r="A212" t="str">
        <f>TableOCEDUC[[#This Row],[Study Package Code]]</f>
        <v>EDUC5012</v>
      </c>
      <c r="B212" s="1">
        <f>TableOCEDUC[[#This Row],[Ver]]</f>
        <v>2</v>
      </c>
      <c r="C212" t="str">
        <f>LEFT(TableOCEDUC[[#This Row],[Structure Line]],7)</f>
        <v>MTPS500</v>
      </c>
      <c r="D212" t="str">
        <f>MID(TableOCEDUC[[#This Row],[Structure Line]],9,LEN(TableOCEDUC[[#This Row],[Structure Line]]))</f>
        <v>Theories of Development and Learning</v>
      </c>
      <c r="E212" s="119">
        <f>TableOCEDUC[[#This Row],[Credit Points]]</f>
        <v>25</v>
      </c>
      <c r="F212">
        <v>1</v>
      </c>
      <c r="G212" t="s">
        <v>548</v>
      </c>
      <c r="H212">
        <v>0</v>
      </c>
      <c r="I212" t="s">
        <v>514</v>
      </c>
      <c r="J212" t="s">
        <v>65</v>
      </c>
      <c r="K212">
        <v>2</v>
      </c>
      <c r="L212" t="s">
        <v>524</v>
      </c>
      <c r="M212">
        <v>25</v>
      </c>
      <c r="N212" s="275">
        <v>44197</v>
      </c>
      <c r="O212" s="275"/>
      <c r="Q212" t="s">
        <v>65</v>
      </c>
      <c r="R212">
        <v>2</v>
      </c>
    </row>
    <row r="213" spans="1:18" x14ac:dyDescent="0.25">
      <c r="A213" t="str">
        <f>TableOCEDUC[[#This Row],[Study Package Code]]</f>
        <v>EDUC5013</v>
      </c>
      <c r="B213" s="1">
        <f>TableOCEDUC[[#This Row],[Ver]]</f>
        <v>1</v>
      </c>
      <c r="C213" t="str">
        <f>LEFT(TableOCEDUC[[#This Row],[Structure Line]],6)</f>
        <v>MTP503</v>
      </c>
      <c r="D213" t="str">
        <f>MID(TableOCEDUC[[#This Row],[Structure Line]],8,LEN(TableOCEDUC[[#This Row],[Structure Line]]))</f>
        <v>Developing Positive Learning Environments</v>
      </c>
      <c r="E213" s="119">
        <f>TableOCEDUC[[#This Row],[Credit Points]]</f>
        <v>25</v>
      </c>
      <c r="F213">
        <v>1</v>
      </c>
      <c r="G213" t="s">
        <v>548</v>
      </c>
      <c r="H213">
        <v>0</v>
      </c>
      <c r="I213" t="s">
        <v>514</v>
      </c>
      <c r="J213" t="s">
        <v>70</v>
      </c>
      <c r="K213">
        <v>1</v>
      </c>
      <c r="L213" t="s">
        <v>523</v>
      </c>
      <c r="M213">
        <v>25</v>
      </c>
      <c r="N213" s="275">
        <v>42736</v>
      </c>
      <c r="O213" s="275"/>
      <c r="Q213" t="s">
        <v>70</v>
      </c>
      <c r="R213">
        <v>1</v>
      </c>
    </row>
    <row r="214" spans="1:18" x14ac:dyDescent="0.25">
      <c r="A214" t="str">
        <f>TableOCEDUC[[#This Row],[Study Package Code]]</f>
        <v>EDUC5014</v>
      </c>
      <c r="B214" s="1">
        <f>TableOCEDUC[[#This Row],[Ver]]</f>
        <v>1</v>
      </c>
      <c r="C214" t="str">
        <f>LEFT(TableOCEDUC[[#This Row],[Structure Line]],7)</f>
        <v>MTPS501</v>
      </c>
      <c r="D214" t="str">
        <f>MID(TableOCEDUC[[#This Row],[Structure Line]],9,LEN(TableOCEDUC[[#This Row],[Structure Line]]))</f>
        <v>Pedagogies for Diversity</v>
      </c>
      <c r="E214" s="119">
        <f>TableOCEDUC[[#This Row],[Credit Points]]</f>
        <v>25</v>
      </c>
      <c r="F214">
        <v>1</v>
      </c>
      <c r="G214" t="s">
        <v>548</v>
      </c>
      <c r="H214">
        <v>0</v>
      </c>
      <c r="I214" t="s">
        <v>514</v>
      </c>
      <c r="J214" t="s">
        <v>94</v>
      </c>
      <c r="K214">
        <v>1</v>
      </c>
      <c r="L214" t="s">
        <v>542</v>
      </c>
      <c r="M214">
        <v>25</v>
      </c>
      <c r="N214" s="275">
        <v>42736</v>
      </c>
      <c r="O214" s="275"/>
      <c r="Q214" t="s">
        <v>94</v>
      </c>
      <c r="R214">
        <v>1</v>
      </c>
    </row>
    <row r="215" spans="1:18" x14ac:dyDescent="0.25">
      <c r="A215" t="str">
        <f>TableOCEDUC[[#This Row],[Study Package Code]]</f>
        <v>EDUC5017</v>
      </c>
      <c r="B215" s="1">
        <f>TableOCEDUC[[#This Row],[Ver]]</f>
        <v>1</v>
      </c>
      <c r="C215" t="str">
        <f>LEFT(TableOCEDUC[[#This Row],[Structure Line]],7)</f>
        <v>MTPS504</v>
      </c>
      <c r="D215" t="str">
        <f>MID(TableOCEDUC[[#This Row],[Structure Line]],9,LEN(TableOCEDUC[[#This Row],[Structure Line]]))</f>
        <v>Creative Technologies</v>
      </c>
      <c r="E215" s="119">
        <f>TableOCEDUC[[#This Row],[Credit Points]]</f>
        <v>25</v>
      </c>
      <c r="F215">
        <v>1</v>
      </c>
      <c r="G215" t="s">
        <v>548</v>
      </c>
      <c r="H215">
        <v>0</v>
      </c>
      <c r="I215" t="s">
        <v>514</v>
      </c>
      <c r="J215" t="s">
        <v>93</v>
      </c>
      <c r="K215">
        <v>1</v>
      </c>
      <c r="L215" t="s">
        <v>532</v>
      </c>
      <c r="M215">
        <v>25</v>
      </c>
      <c r="N215" s="275">
        <v>42736</v>
      </c>
      <c r="O215" s="275"/>
      <c r="Q215" t="s">
        <v>93</v>
      </c>
      <c r="R215">
        <v>1</v>
      </c>
    </row>
    <row r="216" spans="1:18" x14ac:dyDescent="0.25">
      <c r="A216" t="str">
        <f>TableOCEDUC[[#This Row],[Study Package Code]]</f>
        <v>EDUC5034</v>
      </c>
      <c r="B216" s="1">
        <f>TableOCEDUC[[#This Row],[Ver]]</f>
        <v>1</v>
      </c>
      <c r="C216" t="str">
        <f>LEFT(TableOCEDUC[[#This Row],[Structure Line]],6)</f>
        <v>MTC520</v>
      </c>
      <c r="D216" t="str">
        <f>MID(TableOCEDUC[[#This Row],[Structure Line]],8,LEN(TableOCEDUC[[#This Row],[Structure Line]]))</f>
        <v>Mentoring, Coaching and Tutoring</v>
      </c>
      <c r="E216" s="119">
        <f>TableOCEDUC[[#This Row],[Credit Points]]</f>
        <v>25</v>
      </c>
      <c r="F216">
        <v>1</v>
      </c>
      <c r="G216" t="s">
        <v>548</v>
      </c>
      <c r="H216">
        <v>0</v>
      </c>
      <c r="I216" t="s">
        <v>514</v>
      </c>
      <c r="J216" t="s">
        <v>309</v>
      </c>
      <c r="K216">
        <v>1</v>
      </c>
      <c r="L216" t="s">
        <v>563</v>
      </c>
      <c r="M216">
        <v>25</v>
      </c>
      <c r="N216" s="275">
        <v>44562</v>
      </c>
      <c r="O216" s="275"/>
      <c r="Q216" t="s">
        <v>309</v>
      </c>
      <c r="R216">
        <v>1</v>
      </c>
    </row>
    <row r="218" spans="1:18" x14ac:dyDescent="0.25">
      <c r="B218"/>
      <c r="E218"/>
      <c r="F218" s="115"/>
      <c r="G218" s="116" t="s">
        <v>501</v>
      </c>
      <c r="H218" s="277">
        <v>44197</v>
      </c>
      <c r="J218" s="276" t="s">
        <v>96</v>
      </c>
      <c r="K218" s="118" t="s">
        <v>85</v>
      </c>
      <c r="L218" s="175" t="s">
        <v>95</v>
      </c>
      <c r="N218" s="116" t="s">
        <v>503</v>
      </c>
      <c r="O218" s="296">
        <v>45302</v>
      </c>
    </row>
    <row r="219" spans="1:18" x14ac:dyDescent="0.25">
      <c r="A219" t="s">
        <v>0</v>
      </c>
      <c r="B219" s="1" t="s">
        <v>79</v>
      </c>
      <c r="C219" t="s">
        <v>21</v>
      </c>
      <c r="D219" t="s">
        <v>3</v>
      </c>
      <c r="E219" s="119" t="s">
        <v>504</v>
      </c>
      <c r="F219" t="s">
        <v>505</v>
      </c>
      <c r="G219" t="s">
        <v>506</v>
      </c>
      <c r="H219" t="s">
        <v>507</v>
      </c>
      <c r="I219" t="s">
        <v>22</v>
      </c>
      <c r="J219" t="s">
        <v>508</v>
      </c>
      <c r="K219" t="s">
        <v>1</v>
      </c>
      <c r="L219" t="s">
        <v>62</v>
      </c>
      <c r="M219" t="s">
        <v>80</v>
      </c>
      <c r="N219" s="274" t="s">
        <v>509</v>
      </c>
      <c r="O219" s="274" t="s">
        <v>510</v>
      </c>
      <c r="Q219" t="s">
        <v>511</v>
      </c>
      <c r="R219" t="s">
        <v>512</v>
      </c>
    </row>
    <row r="220" spans="1:18" x14ac:dyDescent="0.25">
      <c r="A220" t="str">
        <f>TableOCEDHE1[[#This Row],[Study Package Code]]</f>
        <v>EDHE5001</v>
      </c>
      <c r="B220" s="1">
        <f>TableOCEDHE1[[#This Row],[Ver]]</f>
        <v>1</v>
      </c>
      <c r="C220" t="str">
        <f>LEFT(TableOCEDHE1[[#This Row],[Structure Line]],8)</f>
        <v xml:space="preserve">EDHE501 </v>
      </c>
      <c r="D220" t="str">
        <f>MID(TableOCEDHE1[[#This Row],[Structure Line]],9,LEN(TableOCEDHE1[[#This Row],[Structure Line]]))</f>
        <v>The Learning Cycle: Design and Curriculum</v>
      </c>
      <c r="E220" s="119">
        <f>TableOCEDHE1[[#This Row],[Credit Points]]</f>
        <v>25</v>
      </c>
      <c r="F220">
        <v>1</v>
      </c>
      <c r="G220" t="s">
        <v>516</v>
      </c>
      <c r="H220">
        <v>1</v>
      </c>
      <c r="I220" t="s">
        <v>514</v>
      </c>
      <c r="J220" t="s">
        <v>238</v>
      </c>
      <c r="K220">
        <v>1</v>
      </c>
      <c r="L220" t="s">
        <v>596</v>
      </c>
      <c r="M220">
        <v>25</v>
      </c>
      <c r="N220" s="275">
        <v>43466</v>
      </c>
      <c r="O220" s="275"/>
      <c r="Q220" t="s">
        <v>238</v>
      </c>
      <c r="R220">
        <v>1</v>
      </c>
    </row>
    <row r="221" spans="1:18" x14ac:dyDescent="0.25">
      <c r="A221" t="str">
        <f>TableOCEDHE1[[#This Row],[Study Package Code]]</f>
        <v>EDHE5002</v>
      </c>
      <c r="B221" s="1">
        <f>TableOCEDHE1[[#This Row],[Ver]]</f>
        <v>1</v>
      </c>
      <c r="C221" t="str">
        <f>LEFT(TableOCEDHE1[[#This Row],[Structure Line]],8)</f>
        <v xml:space="preserve">EDHE502 </v>
      </c>
      <c r="D221" t="str">
        <f>MID(TableOCEDHE1[[#This Row],[Structure Line]],9,LEN(TableOCEDHE1[[#This Row],[Structure Line]]))</f>
        <v>Design Thinking and Educational Innovation</v>
      </c>
      <c r="E221" s="119">
        <f>TableOCEDHE1[[#This Row],[Credit Points]]</f>
        <v>25</v>
      </c>
      <c r="F221">
        <v>2</v>
      </c>
      <c r="G221" t="s">
        <v>516</v>
      </c>
      <c r="H221">
        <v>1</v>
      </c>
      <c r="I221" t="s">
        <v>514</v>
      </c>
      <c r="J221" t="s">
        <v>239</v>
      </c>
      <c r="K221">
        <v>1</v>
      </c>
      <c r="L221" t="s">
        <v>597</v>
      </c>
      <c r="M221">
        <v>25</v>
      </c>
      <c r="N221" s="275">
        <v>43466</v>
      </c>
      <c r="O221" s="275"/>
      <c r="Q221" t="s">
        <v>239</v>
      </c>
      <c r="R221">
        <v>1</v>
      </c>
    </row>
    <row r="222" spans="1:18" x14ac:dyDescent="0.25">
      <c r="A222" t="str">
        <f>TableOCEDHE1[[#This Row],[Study Package Code]]</f>
        <v>EDHE5004</v>
      </c>
      <c r="B222" s="1">
        <f>TableOCEDHE1[[#This Row],[Ver]]</f>
        <v>1</v>
      </c>
      <c r="C222" t="str">
        <f>LEFT(TableOCEDHE1[[#This Row],[Structure Line]],8)</f>
        <v xml:space="preserve">EDHE504 </v>
      </c>
      <c r="D222" t="str">
        <f>MID(TableOCEDHE1[[#This Row],[Structure Line]],9,LEN(TableOCEDHE1[[#This Row],[Structure Line]]))</f>
        <v>Research for the Scholarship of Learning and Teaching</v>
      </c>
      <c r="E222" s="119">
        <f>TableOCEDHE1[[#This Row],[Credit Points]]</f>
        <v>25</v>
      </c>
      <c r="F222">
        <v>3</v>
      </c>
      <c r="G222" t="s">
        <v>516</v>
      </c>
      <c r="H222">
        <v>1</v>
      </c>
      <c r="I222" t="s">
        <v>514</v>
      </c>
      <c r="J222" t="s">
        <v>240</v>
      </c>
      <c r="K222">
        <v>1</v>
      </c>
      <c r="L222" t="s">
        <v>598</v>
      </c>
      <c r="M222">
        <v>25</v>
      </c>
      <c r="N222" s="275">
        <v>43466</v>
      </c>
      <c r="O222" s="275"/>
      <c r="Q222" t="s">
        <v>240</v>
      </c>
      <c r="R222">
        <v>1</v>
      </c>
    </row>
    <row r="223" spans="1:18" x14ac:dyDescent="0.25">
      <c r="A223" t="str">
        <f>TableOCEDHE1[[#This Row],[Study Package Code]]</f>
        <v>EDHE5005</v>
      </c>
      <c r="B223" s="1">
        <f>TableOCEDHE1[[#This Row],[Ver]]</f>
        <v>1</v>
      </c>
      <c r="C223" t="str">
        <f>LEFT(TableOCEDHE1[[#This Row],[Structure Line]],8)</f>
        <v xml:space="preserve">EDHE505 </v>
      </c>
      <c r="D223" t="str">
        <f>MID(TableOCEDHE1[[#This Row],[Structure Line]],9,LEN(TableOCEDHE1[[#This Row],[Structure Line]]))</f>
        <v>Teaching Portfolio</v>
      </c>
      <c r="E223" s="119">
        <f>TableOCEDHE1[[#This Row],[Credit Points]]</f>
        <v>25</v>
      </c>
      <c r="F223">
        <v>4</v>
      </c>
      <c r="G223" t="s">
        <v>516</v>
      </c>
      <c r="H223">
        <v>1</v>
      </c>
      <c r="I223" t="s">
        <v>514</v>
      </c>
      <c r="J223" t="s">
        <v>241</v>
      </c>
      <c r="K223">
        <v>1</v>
      </c>
      <c r="L223" t="s">
        <v>599</v>
      </c>
      <c r="M223">
        <v>25</v>
      </c>
      <c r="N223" s="275">
        <v>43466</v>
      </c>
      <c r="O223" s="275"/>
      <c r="Q223" t="s">
        <v>241</v>
      </c>
      <c r="R223">
        <v>1</v>
      </c>
    </row>
    <row r="224" spans="1:18" x14ac:dyDescent="0.25">
      <c r="B224"/>
      <c r="E224"/>
      <c r="F224" s="115"/>
      <c r="G224" s="116" t="s">
        <v>501</v>
      </c>
      <c r="H224" s="277">
        <v>43466</v>
      </c>
      <c r="J224" s="276" t="s">
        <v>99</v>
      </c>
      <c r="K224" s="118" t="s">
        <v>85</v>
      </c>
      <c r="L224" s="248" t="s">
        <v>46</v>
      </c>
      <c r="N224" s="116" t="s">
        <v>503</v>
      </c>
      <c r="O224" s="296">
        <v>45302</v>
      </c>
    </row>
    <row r="225" spans="1:18" x14ac:dyDescent="0.25">
      <c r="A225" t="s">
        <v>0</v>
      </c>
      <c r="B225" s="1" t="s">
        <v>79</v>
      </c>
      <c r="C225" t="s">
        <v>21</v>
      </c>
      <c r="D225" t="s">
        <v>3</v>
      </c>
      <c r="E225" s="119" t="s">
        <v>504</v>
      </c>
      <c r="F225" t="s">
        <v>505</v>
      </c>
      <c r="G225" t="s">
        <v>506</v>
      </c>
      <c r="H225" t="s">
        <v>507</v>
      </c>
      <c r="I225" t="s">
        <v>22</v>
      </c>
      <c r="J225" t="s">
        <v>508</v>
      </c>
      <c r="K225" t="s">
        <v>1</v>
      </c>
      <c r="L225" t="s">
        <v>62</v>
      </c>
      <c r="M225" t="s">
        <v>80</v>
      </c>
      <c r="N225" s="274" t="s">
        <v>509</v>
      </c>
      <c r="O225" s="274" t="s">
        <v>510</v>
      </c>
      <c r="Q225" t="s">
        <v>511</v>
      </c>
      <c r="R225" t="s">
        <v>512</v>
      </c>
    </row>
    <row r="226" spans="1:18" x14ac:dyDescent="0.25">
      <c r="A226" t="str">
        <f>TableOCEDHE[[#This Row],[Study Package Code]]</f>
        <v>EDHE5004</v>
      </c>
      <c r="B226" s="1">
        <f>TableOCEDHE[[#This Row],[Ver]]</f>
        <v>1</v>
      </c>
      <c r="C226" t="str">
        <f>LEFT(TableOCEDHE[[#This Row],[Structure Line]],8)</f>
        <v xml:space="preserve">EDHE504 </v>
      </c>
      <c r="D226" t="str">
        <f>MID(TableOCEDHE[[#This Row],[Structure Line]],9,LEN(TableOCEDHE[[#This Row],[Structure Line]]))</f>
        <v>Research for the Scholarship of Learning and Teaching</v>
      </c>
      <c r="E226" s="119">
        <f>TableOCEDHE[[#This Row],[Credit Points]]</f>
        <v>25</v>
      </c>
      <c r="F226">
        <v>1</v>
      </c>
      <c r="G226" t="s">
        <v>516</v>
      </c>
      <c r="H226">
        <v>1</v>
      </c>
      <c r="I226" t="s">
        <v>514</v>
      </c>
      <c r="J226" t="s">
        <v>240</v>
      </c>
      <c r="K226">
        <v>1</v>
      </c>
      <c r="L226" t="s">
        <v>598</v>
      </c>
      <c r="M226">
        <v>25</v>
      </c>
      <c r="N226" s="275">
        <v>43466</v>
      </c>
      <c r="O226" s="275"/>
      <c r="Q226" t="s">
        <v>240</v>
      </c>
      <c r="R226">
        <v>1</v>
      </c>
    </row>
    <row r="227" spans="1:18" x14ac:dyDescent="0.25">
      <c r="A227" t="str">
        <f>TableOCEDHE[[#This Row],[Study Package Code]]</f>
        <v>EDHE5005</v>
      </c>
      <c r="B227" s="1">
        <f>TableOCEDHE[[#This Row],[Ver]]</f>
        <v>1</v>
      </c>
      <c r="C227" t="str">
        <f>LEFT(TableOCEDHE[[#This Row],[Structure Line]],8)</f>
        <v xml:space="preserve">EDHE505 </v>
      </c>
      <c r="D227" t="str">
        <f>MID(TableOCEDHE[[#This Row],[Structure Line]],9,LEN(TableOCEDHE[[#This Row],[Structure Line]]))</f>
        <v>Teaching Portfolio</v>
      </c>
      <c r="E227" s="119">
        <f>TableOCEDHE[[#This Row],[Credit Points]]</f>
        <v>25</v>
      </c>
      <c r="F227">
        <v>2</v>
      </c>
      <c r="G227" t="s">
        <v>516</v>
      </c>
      <c r="H227">
        <v>1</v>
      </c>
      <c r="I227" t="s">
        <v>514</v>
      </c>
      <c r="J227" t="s">
        <v>241</v>
      </c>
      <c r="K227">
        <v>1</v>
      </c>
      <c r="L227" t="s">
        <v>599</v>
      </c>
      <c r="M227">
        <v>25</v>
      </c>
      <c r="N227" s="275">
        <v>43466</v>
      </c>
      <c r="O227" s="275"/>
      <c r="Q227" t="s">
        <v>241</v>
      </c>
      <c r="R227">
        <v>1</v>
      </c>
    </row>
    <row r="228" spans="1:18" x14ac:dyDescent="0.25">
      <c r="A228" t="str">
        <f>TableOCEDHE[[#This Row],[Study Package Code]]</f>
        <v>EDHE5001</v>
      </c>
      <c r="B228" s="1">
        <f>TableOCEDHE[[#This Row],[Ver]]</f>
        <v>1</v>
      </c>
      <c r="C228" t="str">
        <f>LEFT(TableOCEDHE[[#This Row],[Structure Line]],8)</f>
        <v xml:space="preserve">EDHE501 </v>
      </c>
      <c r="D228" t="str">
        <f>MID(TableOCEDHE[[#This Row],[Structure Line]],9,LEN(TableOCEDHE[[#This Row],[Structure Line]]))</f>
        <v>The Learning Cycle: Design and Curriculum</v>
      </c>
      <c r="E228" s="119">
        <f>TableOCEDHE[[#This Row],[Credit Points]]</f>
        <v>25</v>
      </c>
      <c r="F228">
        <v>3</v>
      </c>
      <c r="G228" t="s">
        <v>516</v>
      </c>
      <c r="H228">
        <v>1</v>
      </c>
      <c r="I228" t="s">
        <v>514</v>
      </c>
      <c r="J228" t="s">
        <v>238</v>
      </c>
      <c r="K228">
        <v>1</v>
      </c>
      <c r="L228" t="s">
        <v>596</v>
      </c>
      <c r="M228">
        <v>25</v>
      </c>
      <c r="N228" s="275">
        <v>43466</v>
      </c>
      <c r="O228" s="275"/>
      <c r="Q228" t="s">
        <v>238</v>
      </c>
      <c r="R228">
        <v>1</v>
      </c>
    </row>
    <row r="229" spans="1:18" x14ac:dyDescent="0.25">
      <c r="A229" t="str">
        <f>TableOCEDHE[[#This Row],[Study Package Code]]</f>
        <v>EDHE5002</v>
      </c>
      <c r="B229" s="1">
        <f>TableOCEDHE[[#This Row],[Ver]]</f>
        <v>1</v>
      </c>
      <c r="C229" t="str">
        <f>LEFT(TableOCEDHE[[#This Row],[Structure Line]],8)</f>
        <v xml:space="preserve">EDHE502 </v>
      </c>
      <c r="D229" t="str">
        <f>MID(TableOCEDHE[[#This Row],[Structure Line]],9,LEN(TableOCEDHE[[#This Row],[Structure Line]]))</f>
        <v>Design Thinking and Educational Innovation</v>
      </c>
      <c r="E229" s="119">
        <f>TableOCEDHE[[#This Row],[Credit Points]]</f>
        <v>25</v>
      </c>
      <c r="F229">
        <v>4</v>
      </c>
      <c r="G229" t="s">
        <v>516</v>
      </c>
      <c r="H229">
        <v>1</v>
      </c>
      <c r="I229" t="s">
        <v>514</v>
      </c>
      <c r="J229" t="s">
        <v>239</v>
      </c>
      <c r="K229">
        <v>1</v>
      </c>
      <c r="L229" t="s">
        <v>597</v>
      </c>
      <c r="M229">
        <v>25</v>
      </c>
      <c r="N229" s="275">
        <v>43466</v>
      </c>
      <c r="O229" s="275"/>
      <c r="Q229" t="s">
        <v>239</v>
      </c>
      <c r="R229">
        <v>1</v>
      </c>
    </row>
  </sheetData>
  <conditionalFormatting sqref="J10:J25">
    <cfRule type="duplicateValues" dxfId="248" priority="127"/>
  </conditionalFormatting>
  <conditionalFormatting sqref="J28:J43">
    <cfRule type="duplicateValues" dxfId="247" priority="128"/>
  </conditionalFormatting>
  <conditionalFormatting sqref="J46:J85">
    <cfRule type="duplicateValues" dxfId="246" priority="131"/>
    <cfRule type="duplicateValues" dxfId="245" priority="132"/>
  </conditionalFormatting>
  <conditionalFormatting sqref="J89:J95">
    <cfRule type="duplicateValues" dxfId="244" priority="134"/>
  </conditionalFormatting>
  <conditionalFormatting sqref="J98:J103">
    <cfRule type="duplicateValues" dxfId="243" priority="135"/>
  </conditionalFormatting>
  <conditionalFormatting sqref="J106:J111">
    <cfRule type="duplicateValues" dxfId="242" priority="64"/>
  </conditionalFormatting>
  <conditionalFormatting sqref="J115:J130">
    <cfRule type="duplicateValues" dxfId="241" priority="63"/>
  </conditionalFormatting>
  <conditionalFormatting sqref="J133:J136">
    <cfRule type="duplicateValues" dxfId="240" priority="136"/>
  </conditionalFormatting>
  <conditionalFormatting sqref="J139:J142">
    <cfRule type="duplicateValues" dxfId="239" priority="61"/>
  </conditionalFormatting>
  <conditionalFormatting sqref="J187:J200">
    <cfRule type="duplicateValues" dxfId="238" priority="137"/>
  </conditionalFormatting>
  <conditionalFormatting sqref="J203:J216">
    <cfRule type="duplicateValues" dxfId="237" priority="58"/>
  </conditionalFormatting>
  <conditionalFormatting sqref="J220:J223">
    <cfRule type="duplicateValues" dxfId="236" priority="57"/>
  </conditionalFormatting>
  <conditionalFormatting sqref="J226:J229">
    <cfRule type="duplicateValues" dxfId="235" priority="56"/>
  </conditionalFormatting>
  <conditionalFormatting sqref="O4:O7 O174:O184">
    <cfRule type="notContainsBlanks" dxfId="234" priority="54">
      <formula>LEN(TRIM(O4))&gt;0</formula>
    </cfRule>
  </conditionalFormatting>
  <conditionalFormatting sqref="O10:O25">
    <cfRule type="notContainsBlanks" dxfId="233" priority="53">
      <formula>LEN(TRIM(O10))&gt;0</formula>
    </cfRule>
  </conditionalFormatting>
  <conditionalFormatting sqref="O28:O43">
    <cfRule type="notContainsBlanks" dxfId="232" priority="52">
      <formula>LEN(TRIM(O28))&gt;0</formula>
    </cfRule>
  </conditionalFormatting>
  <conditionalFormatting sqref="O46:O85">
    <cfRule type="notContainsBlanks" dxfId="231" priority="51">
      <formula>LEN(TRIM(O46))&gt;0</formula>
    </cfRule>
  </conditionalFormatting>
  <conditionalFormatting sqref="O89:O95">
    <cfRule type="notContainsBlanks" dxfId="230" priority="50">
      <formula>LEN(TRIM(O89))&gt;0</formula>
    </cfRule>
  </conditionalFormatting>
  <conditionalFormatting sqref="O98:O103">
    <cfRule type="notContainsBlanks" dxfId="229" priority="49">
      <formula>LEN(TRIM(O98))&gt;0</formula>
    </cfRule>
  </conditionalFormatting>
  <conditionalFormatting sqref="O106:O111">
    <cfRule type="notContainsBlanks" dxfId="228" priority="48">
      <formula>LEN(TRIM(O106))&gt;0</formula>
    </cfRule>
  </conditionalFormatting>
  <conditionalFormatting sqref="O115:O130">
    <cfRule type="notContainsBlanks" dxfId="227" priority="47">
      <formula>LEN(TRIM(O115))&gt;0</formula>
    </cfRule>
  </conditionalFormatting>
  <conditionalFormatting sqref="O133:O136">
    <cfRule type="notContainsBlanks" dxfId="226" priority="46">
      <formula>LEN(TRIM(O133))&gt;0</formula>
    </cfRule>
  </conditionalFormatting>
  <conditionalFormatting sqref="O139:O142">
    <cfRule type="notContainsBlanks" dxfId="225" priority="45">
      <formula>LEN(TRIM(O139))&gt;0</formula>
    </cfRule>
  </conditionalFormatting>
  <conditionalFormatting sqref="O145:O148">
    <cfRule type="notContainsBlanks" dxfId="224" priority="44">
      <formula>LEN(TRIM(O145))&gt;0</formula>
    </cfRule>
  </conditionalFormatting>
  <conditionalFormatting sqref="O187:O200">
    <cfRule type="notContainsBlanks" dxfId="223" priority="43">
      <formula>LEN(TRIM(O187))&gt;0</formula>
    </cfRule>
  </conditionalFormatting>
  <conditionalFormatting sqref="O203:O216">
    <cfRule type="notContainsBlanks" dxfId="222" priority="42">
      <formula>LEN(TRIM(O203))&gt;0</formula>
    </cfRule>
  </conditionalFormatting>
  <conditionalFormatting sqref="O220:O223">
    <cfRule type="notContainsBlanks" dxfId="221" priority="41">
      <formula>LEN(TRIM(O220))&gt;0</formula>
    </cfRule>
  </conditionalFormatting>
  <conditionalFormatting sqref="O226:O229">
    <cfRule type="notContainsBlanks" dxfId="220" priority="40">
      <formula>LEN(TRIM(O226))&gt;0</formula>
    </cfRule>
  </conditionalFormatting>
  <conditionalFormatting sqref="Q4:R7 Q151:R153 Q156:R163 Q166:R184">
    <cfRule type="expression" dxfId="219" priority="39">
      <formula>Q4&lt;&gt;J4</formula>
    </cfRule>
  </conditionalFormatting>
  <conditionalFormatting sqref="Q10:R25">
    <cfRule type="expression" dxfId="218" priority="24">
      <formula>Q10&lt;&gt;J10</formula>
    </cfRule>
  </conditionalFormatting>
  <conditionalFormatting sqref="Q28:R43">
    <cfRule type="expression" dxfId="217" priority="23">
      <formula>Q28&lt;&gt;J28</formula>
    </cfRule>
  </conditionalFormatting>
  <conditionalFormatting sqref="Q46:R85">
    <cfRule type="expression" dxfId="216" priority="22">
      <formula>Q46&lt;&gt;J46</formula>
    </cfRule>
  </conditionalFormatting>
  <conditionalFormatting sqref="Q89:R95">
    <cfRule type="expression" dxfId="215" priority="21">
      <formula>Q89&lt;&gt;J89</formula>
    </cfRule>
  </conditionalFormatting>
  <conditionalFormatting sqref="Q98:R103">
    <cfRule type="expression" dxfId="214" priority="20">
      <formula>Q98&lt;&gt;J98</formula>
    </cfRule>
  </conditionalFormatting>
  <conditionalFormatting sqref="Q106:R111">
    <cfRule type="expression" dxfId="213" priority="19">
      <formula>Q106&lt;&gt;J106</formula>
    </cfRule>
  </conditionalFormatting>
  <conditionalFormatting sqref="Q115:R130">
    <cfRule type="expression" dxfId="212" priority="18">
      <formula>Q115&lt;&gt;J115</formula>
    </cfRule>
  </conditionalFormatting>
  <conditionalFormatting sqref="Q133:R136">
    <cfRule type="expression" dxfId="211" priority="17">
      <formula>Q133&lt;&gt;J133</formula>
    </cfRule>
  </conditionalFormatting>
  <conditionalFormatting sqref="Q139:R142">
    <cfRule type="expression" dxfId="210" priority="16">
      <formula>Q139&lt;&gt;J139</formula>
    </cfRule>
  </conditionalFormatting>
  <conditionalFormatting sqref="Q145:R148">
    <cfRule type="expression" dxfId="209" priority="15">
      <formula>Q145&lt;&gt;J145</formula>
    </cfRule>
  </conditionalFormatting>
  <conditionalFormatting sqref="Q187:R200">
    <cfRule type="expression" dxfId="208" priority="13">
      <formula>Q187&lt;&gt;J187</formula>
    </cfRule>
  </conditionalFormatting>
  <conditionalFormatting sqref="Q203:R216">
    <cfRule type="expression" dxfId="207" priority="12">
      <formula>Q203&lt;&gt;J203</formula>
    </cfRule>
  </conditionalFormatting>
  <conditionalFormatting sqref="Q220:R223">
    <cfRule type="expression" dxfId="206" priority="11">
      <formula>Q220&lt;&gt;J220</formula>
    </cfRule>
  </conditionalFormatting>
  <conditionalFormatting sqref="Q226:R229">
    <cfRule type="expression" dxfId="205" priority="10">
      <formula>Q226&lt;&gt;J226</formula>
    </cfRule>
  </conditionalFormatting>
  <conditionalFormatting sqref="O151:O153">
    <cfRule type="notContainsBlanks" dxfId="204" priority="8">
      <formula>LEN(TRIM(O151))&gt;0</formula>
    </cfRule>
  </conditionalFormatting>
  <conditionalFormatting sqref="J151:J153">
    <cfRule type="duplicateValues" dxfId="203" priority="140"/>
  </conditionalFormatting>
  <conditionalFormatting sqref="O156:O163">
    <cfRule type="notContainsBlanks" dxfId="202" priority="5">
      <formula>LEN(TRIM(O156))&gt;0</formula>
    </cfRule>
  </conditionalFormatting>
  <conditionalFormatting sqref="J156:J163">
    <cfRule type="duplicateValues" dxfId="201" priority="143"/>
  </conditionalFormatting>
  <conditionalFormatting sqref="O166:O184">
    <cfRule type="notContainsBlanks" dxfId="200" priority="1">
      <formula>LEN(TRIM(O166))&gt;0</formula>
    </cfRule>
  </conditionalFormatting>
  <conditionalFormatting sqref="J166:J184">
    <cfRule type="duplicateValues" dxfId="199" priority="3"/>
  </conditionalFormatting>
  <conditionalFormatting sqref="Q184:R184">
    <cfRule type="expression" dxfId="198" priority="146">
      <formula>Q184&lt;&gt;J173</formula>
    </cfRule>
  </conditionalFormatting>
  <conditionalFormatting sqref="J145:J148">
    <cfRule type="duplicateValues" dxfId="197" priority="149"/>
  </conditionalFormatting>
  <pageMargins left="0.7" right="0.7" top="0.75" bottom="0.75" header="0.3" footer="0.3"/>
  <pageSetup paperSize="9" orientation="portrait" r:id="rId1"/>
  <tableParts count="3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5"/>
  <sheetViews>
    <sheetView topLeftCell="A13" workbookViewId="0">
      <selection activeCell="D7" sqref="D7"/>
    </sheetView>
  </sheetViews>
  <sheetFormatPr defaultRowHeight="15.75" x14ac:dyDescent="0.25"/>
  <cols>
    <col min="1" max="1" width="39.625" bestFit="1" customWidth="1"/>
    <col min="2" max="5" width="15.375" bestFit="1" customWidth="1"/>
    <col min="6" max="6" width="16.125" bestFit="1" customWidth="1"/>
    <col min="7" max="7" width="10.375" bestFit="1" customWidth="1"/>
  </cols>
  <sheetData>
    <row r="1" spans="1:7" x14ac:dyDescent="0.25">
      <c r="A1" s="80" t="s">
        <v>600</v>
      </c>
      <c r="F1" s="282" t="s">
        <v>601</v>
      </c>
      <c r="G1" s="283">
        <v>45302</v>
      </c>
    </row>
    <row r="2" spans="1:7" x14ac:dyDescent="0.25">
      <c r="A2" t="s">
        <v>602</v>
      </c>
      <c r="B2" t="s">
        <v>603</v>
      </c>
    </row>
    <row r="4" spans="1:7" x14ac:dyDescent="0.25">
      <c r="A4" t="s">
        <v>604</v>
      </c>
      <c r="B4" t="s">
        <v>591</v>
      </c>
      <c r="C4" t="s">
        <v>592</v>
      </c>
      <c r="D4" t="s">
        <v>593</v>
      </c>
      <c r="E4" t="s">
        <v>594</v>
      </c>
    </row>
    <row r="5" spans="1:7" x14ac:dyDescent="0.25">
      <c r="A5" t="s">
        <v>117</v>
      </c>
      <c r="C5">
        <v>1</v>
      </c>
    </row>
    <row r="6" spans="1:7" x14ac:dyDescent="0.25">
      <c r="A6" t="s">
        <v>88</v>
      </c>
      <c r="C6">
        <v>1</v>
      </c>
    </row>
    <row r="7" spans="1:7" x14ac:dyDescent="0.25">
      <c r="A7" t="s">
        <v>97</v>
      </c>
      <c r="D7">
        <v>1</v>
      </c>
    </row>
    <row r="8" spans="1:7" x14ac:dyDescent="0.25">
      <c r="A8" t="s">
        <v>74</v>
      </c>
      <c r="D8">
        <v>1</v>
      </c>
    </row>
    <row r="9" spans="1:7" x14ac:dyDescent="0.25">
      <c r="A9" t="s">
        <v>67</v>
      </c>
      <c r="B9">
        <v>1</v>
      </c>
      <c r="C9">
        <v>1</v>
      </c>
    </row>
    <row r="10" spans="1:7" x14ac:dyDescent="0.25">
      <c r="A10" t="s">
        <v>102</v>
      </c>
      <c r="B10">
        <v>1</v>
      </c>
    </row>
    <row r="11" spans="1:7" x14ac:dyDescent="0.25">
      <c r="A11" t="s">
        <v>73</v>
      </c>
      <c r="C11">
        <v>1</v>
      </c>
    </row>
    <row r="12" spans="1:7" x14ac:dyDescent="0.25">
      <c r="A12" t="s">
        <v>75</v>
      </c>
      <c r="E12">
        <v>1</v>
      </c>
    </row>
    <row r="13" spans="1:7" x14ac:dyDescent="0.25">
      <c r="A13" t="s">
        <v>110</v>
      </c>
      <c r="E13">
        <v>1</v>
      </c>
    </row>
    <row r="14" spans="1:7" x14ac:dyDescent="0.25">
      <c r="A14" t="s">
        <v>118</v>
      </c>
      <c r="D14">
        <v>1</v>
      </c>
    </row>
    <row r="15" spans="1:7" x14ac:dyDescent="0.25">
      <c r="A15" t="s">
        <v>238</v>
      </c>
      <c r="B15">
        <v>1</v>
      </c>
      <c r="D15">
        <v>1</v>
      </c>
    </row>
    <row r="16" spans="1:7" x14ac:dyDescent="0.25">
      <c r="A16" t="s">
        <v>239</v>
      </c>
      <c r="C16">
        <v>1</v>
      </c>
      <c r="E16">
        <v>1</v>
      </c>
    </row>
    <row r="17" spans="1:5" x14ac:dyDescent="0.25">
      <c r="A17" t="s">
        <v>240</v>
      </c>
      <c r="B17">
        <v>1</v>
      </c>
      <c r="D17">
        <v>1</v>
      </c>
    </row>
    <row r="18" spans="1:5" x14ac:dyDescent="0.25">
      <c r="A18" t="s">
        <v>241</v>
      </c>
      <c r="C18">
        <v>1</v>
      </c>
      <c r="E18">
        <v>1</v>
      </c>
    </row>
    <row r="19" spans="1:5" x14ac:dyDescent="0.25">
      <c r="A19" t="s">
        <v>77</v>
      </c>
      <c r="C19">
        <v>1</v>
      </c>
      <c r="E19">
        <v>1</v>
      </c>
    </row>
    <row r="20" spans="1:5" x14ac:dyDescent="0.25">
      <c r="A20" t="s">
        <v>89</v>
      </c>
      <c r="B20">
        <v>1</v>
      </c>
      <c r="C20">
        <v>1</v>
      </c>
    </row>
    <row r="21" spans="1:5" x14ac:dyDescent="0.25">
      <c r="A21" t="s">
        <v>76</v>
      </c>
      <c r="B21">
        <v>1</v>
      </c>
      <c r="C21">
        <v>1</v>
      </c>
    </row>
    <row r="22" spans="1:5" x14ac:dyDescent="0.25">
      <c r="A22" t="s">
        <v>98</v>
      </c>
      <c r="C22">
        <v>1</v>
      </c>
      <c r="D22">
        <v>1</v>
      </c>
    </row>
    <row r="23" spans="1:5" x14ac:dyDescent="0.25">
      <c r="A23" t="s">
        <v>112</v>
      </c>
      <c r="C23">
        <v>1</v>
      </c>
    </row>
    <row r="24" spans="1:5" x14ac:dyDescent="0.25">
      <c r="A24" t="s">
        <v>111</v>
      </c>
      <c r="B24">
        <v>1</v>
      </c>
    </row>
    <row r="25" spans="1:5" x14ac:dyDescent="0.25">
      <c r="A25" t="s">
        <v>103</v>
      </c>
      <c r="E25">
        <v>1</v>
      </c>
    </row>
    <row r="26" spans="1:5" x14ac:dyDescent="0.25">
      <c r="A26" t="s">
        <v>120</v>
      </c>
      <c r="D26">
        <v>1</v>
      </c>
    </row>
    <row r="27" spans="1:5" x14ac:dyDescent="0.25">
      <c r="A27" t="s">
        <v>257</v>
      </c>
      <c r="B27">
        <v>1</v>
      </c>
      <c r="C27">
        <v>1</v>
      </c>
    </row>
    <row r="28" spans="1:5" x14ac:dyDescent="0.25">
      <c r="A28" t="s">
        <v>258</v>
      </c>
      <c r="C28">
        <v>1</v>
      </c>
      <c r="E28">
        <v>1</v>
      </c>
    </row>
    <row r="29" spans="1:5" x14ac:dyDescent="0.25">
      <c r="A29" t="s">
        <v>267</v>
      </c>
      <c r="B29">
        <v>1</v>
      </c>
      <c r="C29">
        <v>1</v>
      </c>
    </row>
    <row r="30" spans="1:5" x14ac:dyDescent="0.25">
      <c r="A30" t="s">
        <v>261</v>
      </c>
      <c r="B30">
        <v>1</v>
      </c>
      <c r="D30">
        <v>1</v>
      </c>
    </row>
    <row r="31" spans="1:5" x14ac:dyDescent="0.25">
      <c r="A31" t="s">
        <v>292</v>
      </c>
      <c r="C31">
        <v>1</v>
      </c>
      <c r="E31">
        <v>1</v>
      </c>
    </row>
    <row r="32" spans="1:5" x14ac:dyDescent="0.25">
      <c r="A32" t="s">
        <v>293</v>
      </c>
      <c r="C32">
        <v>1</v>
      </c>
      <c r="E32">
        <v>1</v>
      </c>
    </row>
    <row r="33" spans="1:5" x14ac:dyDescent="0.25">
      <c r="A33" t="s">
        <v>295</v>
      </c>
      <c r="C33">
        <v>1</v>
      </c>
      <c r="E33">
        <v>1</v>
      </c>
    </row>
    <row r="34" spans="1:5" x14ac:dyDescent="0.25">
      <c r="A34" t="s">
        <v>296</v>
      </c>
      <c r="C34">
        <v>1</v>
      </c>
      <c r="E34">
        <v>1</v>
      </c>
    </row>
    <row r="35" spans="1:5" x14ac:dyDescent="0.25">
      <c r="A35" t="s">
        <v>297</v>
      </c>
      <c r="C35">
        <v>1</v>
      </c>
      <c r="E35">
        <v>1</v>
      </c>
    </row>
    <row r="36" spans="1:5" x14ac:dyDescent="0.25">
      <c r="A36" t="s">
        <v>300</v>
      </c>
      <c r="B36">
        <v>1</v>
      </c>
      <c r="C36">
        <v>1</v>
      </c>
      <c r="D36">
        <v>1</v>
      </c>
      <c r="E36">
        <v>1</v>
      </c>
    </row>
    <row r="37" spans="1:5" x14ac:dyDescent="0.25">
      <c r="A37" t="s">
        <v>303</v>
      </c>
      <c r="B37">
        <v>1</v>
      </c>
      <c r="C37">
        <v>1</v>
      </c>
      <c r="D37">
        <v>1</v>
      </c>
      <c r="E37">
        <v>1</v>
      </c>
    </row>
    <row r="38" spans="1:5" x14ac:dyDescent="0.25">
      <c r="A38" t="s">
        <v>304</v>
      </c>
      <c r="B38">
        <v>1</v>
      </c>
      <c r="C38">
        <v>1</v>
      </c>
      <c r="D38">
        <v>1</v>
      </c>
      <c r="E38">
        <v>1</v>
      </c>
    </row>
    <row r="39" spans="1:5" x14ac:dyDescent="0.25">
      <c r="A39" t="s">
        <v>305</v>
      </c>
      <c r="B39">
        <v>1</v>
      </c>
      <c r="C39">
        <v>1</v>
      </c>
      <c r="D39">
        <v>1</v>
      </c>
      <c r="E39">
        <v>1</v>
      </c>
    </row>
    <row r="40" spans="1:5" x14ac:dyDescent="0.25">
      <c r="A40" t="s">
        <v>273</v>
      </c>
      <c r="C40">
        <v>1</v>
      </c>
      <c r="D40">
        <v>1</v>
      </c>
    </row>
    <row r="41" spans="1:5" x14ac:dyDescent="0.25">
      <c r="A41" t="s">
        <v>301</v>
      </c>
      <c r="B41">
        <v>1</v>
      </c>
      <c r="C41">
        <v>1</v>
      </c>
      <c r="D41">
        <v>1</v>
      </c>
      <c r="E41">
        <v>1</v>
      </c>
    </row>
    <row r="42" spans="1:5" x14ac:dyDescent="0.25">
      <c r="A42" t="s">
        <v>294</v>
      </c>
      <c r="C42">
        <v>1</v>
      </c>
      <c r="E42">
        <v>1</v>
      </c>
    </row>
    <row r="43" spans="1:5" x14ac:dyDescent="0.25">
      <c r="A43" t="s">
        <v>302</v>
      </c>
      <c r="B43">
        <v>1</v>
      </c>
      <c r="C43">
        <v>1</v>
      </c>
      <c r="D43">
        <v>1</v>
      </c>
      <c r="E43">
        <v>1</v>
      </c>
    </row>
    <row r="44" spans="1:5" x14ac:dyDescent="0.25">
      <c r="A44" t="s">
        <v>311</v>
      </c>
      <c r="C44">
        <v>1</v>
      </c>
      <c r="E44">
        <v>1</v>
      </c>
    </row>
    <row r="45" spans="1:5" x14ac:dyDescent="0.25">
      <c r="A45" t="s">
        <v>279</v>
      </c>
      <c r="B45">
        <v>1</v>
      </c>
    </row>
    <row r="46" spans="1:5" x14ac:dyDescent="0.25">
      <c r="A46" t="s">
        <v>65</v>
      </c>
      <c r="B46">
        <v>1</v>
      </c>
      <c r="D46">
        <v>1</v>
      </c>
    </row>
    <row r="47" spans="1:5" x14ac:dyDescent="0.25">
      <c r="A47" t="s">
        <v>70</v>
      </c>
      <c r="C47">
        <v>1</v>
      </c>
      <c r="E47">
        <v>1</v>
      </c>
    </row>
    <row r="48" spans="1:5" x14ac:dyDescent="0.25">
      <c r="A48" t="s">
        <v>94</v>
      </c>
      <c r="B48">
        <v>1</v>
      </c>
      <c r="D48">
        <v>1</v>
      </c>
    </row>
    <row r="49" spans="1:5" x14ac:dyDescent="0.25">
      <c r="A49" t="s">
        <v>93</v>
      </c>
      <c r="C49">
        <v>1</v>
      </c>
      <c r="D49">
        <v>1</v>
      </c>
      <c r="E49">
        <v>1</v>
      </c>
    </row>
    <row r="50" spans="1:5" x14ac:dyDescent="0.25">
      <c r="A50" t="s">
        <v>221</v>
      </c>
      <c r="C50">
        <v>1</v>
      </c>
      <c r="E50">
        <v>1</v>
      </c>
    </row>
    <row r="51" spans="1:5" x14ac:dyDescent="0.25">
      <c r="A51" t="s">
        <v>230</v>
      </c>
      <c r="B51">
        <v>1</v>
      </c>
      <c r="D51">
        <v>1</v>
      </c>
    </row>
    <row r="52" spans="1:5" x14ac:dyDescent="0.25">
      <c r="A52" t="s">
        <v>220</v>
      </c>
      <c r="B52">
        <v>1</v>
      </c>
      <c r="D52">
        <v>1</v>
      </c>
    </row>
    <row r="53" spans="1:5" x14ac:dyDescent="0.25">
      <c r="A53" t="s">
        <v>225</v>
      </c>
      <c r="C53">
        <v>1</v>
      </c>
      <c r="E53">
        <v>1</v>
      </c>
    </row>
    <row r="54" spans="1:5" x14ac:dyDescent="0.25">
      <c r="A54" t="s">
        <v>232</v>
      </c>
      <c r="B54">
        <v>1</v>
      </c>
      <c r="D54">
        <v>1</v>
      </c>
    </row>
    <row r="55" spans="1:5" x14ac:dyDescent="0.25">
      <c r="A55" t="s">
        <v>71</v>
      </c>
      <c r="B55">
        <v>1</v>
      </c>
      <c r="D55">
        <v>1</v>
      </c>
    </row>
    <row r="56" spans="1:5" x14ac:dyDescent="0.25">
      <c r="A56" t="s">
        <v>309</v>
      </c>
      <c r="C56">
        <v>1</v>
      </c>
      <c r="E56">
        <v>1</v>
      </c>
    </row>
    <row r="57" spans="1:5" x14ac:dyDescent="0.25">
      <c r="A57" t="s">
        <v>171</v>
      </c>
      <c r="D57">
        <v>1</v>
      </c>
    </row>
    <row r="58" spans="1:5" x14ac:dyDescent="0.25">
      <c r="A58" t="s">
        <v>227</v>
      </c>
      <c r="C58">
        <v>1</v>
      </c>
      <c r="E58">
        <v>1</v>
      </c>
    </row>
    <row r="59" spans="1:5" x14ac:dyDescent="0.25">
      <c r="A59" t="s">
        <v>162</v>
      </c>
      <c r="B59">
        <v>1</v>
      </c>
      <c r="D59">
        <v>1</v>
      </c>
    </row>
    <row r="60" spans="1:5" x14ac:dyDescent="0.25">
      <c r="A60" t="s">
        <v>179</v>
      </c>
      <c r="C60">
        <v>1</v>
      </c>
      <c r="E60">
        <v>1</v>
      </c>
    </row>
    <row r="61" spans="1:5" x14ac:dyDescent="0.25">
      <c r="A61" t="s">
        <v>223</v>
      </c>
      <c r="C61">
        <v>1</v>
      </c>
      <c r="E61">
        <v>1</v>
      </c>
    </row>
    <row r="62" spans="1:5" x14ac:dyDescent="0.25">
      <c r="A62" t="s">
        <v>222</v>
      </c>
      <c r="B62">
        <v>1</v>
      </c>
      <c r="D62">
        <v>1</v>
      </c>
    </row>
    <row r="63" spans="1:5" x14ac:dyDescent="0.25">
      <c r="A63" t="s">
        <v>164</v>
      </c>
      <c r="C63">
        <v>1</v>
      </c>
      <c r="E63">
        <v>1</v>
      </c>
    </row>
    <row r="64" spans="1:5" x14ac:dyDescent="0.25">
      <c r="A64" t="s">
        <v>175</v>
      </c>
      <c r="D64">
        <v>1</v>
      </c>
    </row>
    <row r="65" spans="1:5" x14ac:dyDescent="0.25">
      <c r="A65" t="s">
        <v>181</v>
      </c>
      <c r="B65">
        <v>1</v>
      </c>
      <c r="D65">
        <v>1</v>
      </c>
    </row>
    <row r="66" spans="1:5" x14ac:dyDescent="0.25">
      <c r="A66" t="s">
        <v>170</v>
      </c>
      <c r="C66">
        <v>1</v>
      </c>
      <c r="E66">
        <v>1</v>
      </c>
    </row>
    <row r="67" spans="1:5" x14ac:dyDescent="0.25">
      <c r="A67" t="s">
        <v>172</v>
      </c>
      <c r="B67">
        <v>1</v>
      </c>
    </row>
    <row r="68" spans="1:5" x14ac:dyDescent="0.25">
      <c r="A68" t="s">
        <v>169</v>
      </c>
      <c r="B68">
        <v>1</v>
      </c>
    </row>
    <row r="69" spans="1:5" x14ac:dyDescent="0.25">
      <c r="A69" t="s">
        <v>173</v>
      </c>
      <c r="D69">
        <v>1</v>
      </c>
    </row>
    <row r="70" spans="1:5" x14ac:dyDescent="0.25">
      <c r="A70" t="s">
        <v>174</v>
      </c>
      <c r="B70">
        <v>1</v>
      </c>
    </row>
    <row r="71" spans="1:5" x14ac:dyDescent="0.25">
      <c r="A71" t="s">
        <v>119</v>
      </c>
      <c r="B71">
        <v>1</v>
      </c>
      <c r="D71">
        <v>1</v>
      </c>
    </row>
    <row r="72" spans="1:5" x14ac:dyDescent="0.25">
      <c r="A72" t="s">
        <v>129</v>
      </c>
      <c r="B72">
        <v>1</v>
      </c>
      <c r="C72">
        <v>1</v>
      </c>
      <c r="D72">
        <v>1</v>
      </c>
      <c r="E72">
        <v>1</v>
      </c>
    </row>
    <row r="73" spans="1:5" x14ac:dyDescent="0.25">
      <c r="A73" t="s">
        <v>121</v>
      </c>
      <c r="B73">
        <v>1</v>
      </c>
      <c r="E73">
        <v>1</v>
      </c>
    </row>
    <row r="74" spans="1:5" x14ac:dyDescent="0.25">
      <c r="A74" t="s">
        <v>180</v>
      </c>
      <c r="B74">
        <v>1</v>
      </c>
      <c r="D74">
        <v>1</v>
      </c>
    </row>
    <row r="75" spans="1:5" x14ac:dyDescent="0.25">
      <c r="A75" t="s">
        <v>226</v>
      </c>
      <c r="B75">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W35"/>
  <sheetViews>
    <sheetView showGridLines="0" topLeftCell="A3" workbookViewId="0">
      <selection activeCell="D7" sqref="D7"/>
    </sheetView>
  </sheetViews>
  <sheetFormatPr defaultColWidth="9" defaultRowHeight="15" x14ac:dyDescent="0.25"/>
  <cols>
    <col min="1" max="1" width="8.5" style="16" customWidth="1"/>
    <col min="2" max="2" width="3.25" style="16" customWidth="1"/>
    <col min="3" max="3" width="11.875" style="16" bestFit="1" customWidth="1"/>
    <col min="4" max="4" width="62.25" style="13" bestFit="1" customWidth="1"/>
    <col min="5" max="5" width="7.2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2"/>
      <c r="K1" s="11"/>
      <c r="L1" s="11" t="s">
        <v>7</v>
      </c>
    </row>
    <row r="2" spans="1:23" hidden="1" x14ac:dyDescent="0.25">
      <c r="A2" s="176"/>
      <c r="B2" s="178">
        <v>2</v>
      </c>
      <c r="C2" s="178">
        <v>3</v>
      </c>
      <c r="D2" s="178">
        <v>4</v>
      </c>
      <c r="E2" s="178"/>
      <c r="F2" s="178">
        <v>6</v>
      </c>
      <c r="G2" s="178">
        <v>5</v>
      </c>
      <c r="H2" s="178">
        <v>7</v>
      </c>
      <c r="I2" s="178">
        <v>8</v>
      </c>
      <c r="J2" s="178">
        <v>9</v>
      </c>
      <c r="K2" s="178">
        <v>10</v>
      </c>
      <c r="L2" s="177"/>
    </row>
    <row r="3" spans="1:23" ht="39.950000000000003" customHeight="1" x14ac:dyDescent="0.25">
      <c r="A3" s="428" t="s">
        <v>8</v>
      </c>
      <c r="B3" s="428"/>
      <c r="C3" s="428"/>
      <c r="D3" s="428"/>
      <c r="E3" s="135"/>
      <c r="F3" s="135"/>
      <c r="G3" s="135"/>
      <c r="H3" s="135"/>
      <c r="I3" s="135"/>
      <c r="J3" s="135"/>
      <c r="K3" s="135"/>
      <c r="L3" s="135"/>
    </row>
    <row r="4" spans="1:23" ht="25.5" x14ac:dyDescent="0.25">
      <c r="A4" s="14"/>
      <c r="B4" s="15"/>
      <c r="C4" s="15"/>
      <c r="D4" s="309" t="s">
        <v>9</v>
      </c>
      <c r="E4" s="265"/>
      <c r="F4" s="15"/>
      <c r="G4" s="72"/>
      <c r="H4" s="72"/>
      <c r="I4" s="72"/>
      <c r="J4" s="72"/>
      <c r="K4" s="72"/>
      <c r="L4" s="72"/>
    </row>
    <row r="5" spans="1:23" ht="20.100000000000001" customHeight="1" x14ac:dyDescent="0.25">
      <c r="B5" s="17"/>
      <c r="C5" s="190" t="s">
        <v>10</v>
      </c>
      <c r="D5" s="298" t="s">
        <v>11</v>
      </c>
      <c r="E5" s="18"/>
      <c r="F5" s="190" t="s">
        <v>12</v>
      </c>
      <c r="G5" s="18" t="str">
        <f>IFERROR(CONCATENATE(VLOOKUP(D5,TableCourses[],2,FALSE)," ",VLOOKUP(D5,TableCourses[],3,FALSE)),"")</f>
        <v>OM-TEACH1 v.2</v>
      </c>
      <c r="H5" s="18"/>
      <c r="I5" s="18"/>
      <c r="J5" s="18"/>
      <c r="K5" s="18"/>
      <c r="L5" s="19"/>
    </row>
    <row r="6" spans="1:23" ht="20.100000000000001" customHeight="1" x14ac:dyDescent="0.25">
      <c r="B6" s="17"/>
      <c r="C6" s="190" t="s">
        <v>13</v>
      </c>
      <c r="D6" s="170" t="s">
        <v>36</v>
      </c>
      <c r="E6" s="18"/>
      <c r="F6" s="190" t="s">
        <v>15</v>
      </c>
      <c r="G6" s="18" t="str">
        <f>IFERROR(CONCATENATE(VLOOKUP(D6,TableMajorsMTeach[],2,FALSE)," ",VLOOKUP(D6,TableMajorsMTeach[],3,FALSE)),"")</f>
        <v>OUMP-TCHPE v.2</v>
      </c>
      <c r="H6" s="18"/>
      <c r="I6" s="18"/>
      <c r="J6" s="18"/>
      <c r="K6" s="18"/>
      <c r="L6" s="306" t="e">
        <f>CONCATENATE(VLOOKUP(D6,TableMajorsMTeach[],2,FALSE),VLOOKUP(D7,TableStudyPeriods[],2,FALSE))</f>
        <v>#N/A</v>
      </c>
    </row>
    <row r="7" spans="1:23" ht="20.100000000000001" customHeight="1" x14ac:dyDescent="0.25">
      <c r="A7" s="20"/>
      <c r="B7" s="21"/>
      <c r="C7" s="190" t="s">
        <v>16</v>
      </c>
      <c r="D7" s="171" t="s">
        <v>17</v>
      </c>
      <c r="E7" s="22"/>
      <c r="F7" s="190" t="s">
        <v>18</v>
      </c>
      <c r="G7" s="18" t="str">
        <f>IFERROR(VLOOKUP($D$5,TableCourses[],4,FALSE),"")</f>
        <v>400 credit points required</v>
      </c>
      <c r="H7" s="76"/>
      <c r="I7" s="76"/>
      <c r="J7" s="76"/>
      <c r="K7" s="76"/>
      <c r="L7" s="76"/>
      <c r="M7" s="23"/>
      <c r="N7" s="23"/>
      <c r="O7" s="23"/>
      <c r="P7" s="23"/>
      <c r="Q7" s="23"/>
      <c r="R7" s="23"/>
      <c r="S7" s="23"/>
      <c r="T7" s="23"/>
      <c r="U7" s="23"/>
      <c r="V7" s="23"/>
      <c r="W7" s="23"/>
    </row>
    <row r="8" spans="1:23" s="26" customFormat="1" ht="14.1" customHeight="1" x14ac:dyDescent="0.25">
      <c r="A8" s="160"/>
      <c r="B8" s="160"/>
      <c r="C8" s="160"/>
      <c r="D8" s="161"/>
      <c r="E8" s="162"/>
      <c r="F8" s="160"/>
      <c r="G8" s="160"/>
      <c r="H8" s="163" t="s">
        <v>19</v>
      </c>
      <c r="I8" s="179"/>
      <c r="J8" s="179"/>
      <c r="K8" s="174"/>
      <c r="L8" s="165"/>
      <c r="M8" s="24"/>
      <c r="N8" s="24"/>
      <c r="O8" s="24"/>
      <c r="P8" s="25"/>
      <c r="Q8" s="25"/>
      <c r="R8" s="25"/>
      <c r="S8" s="25"/>
      <c r="T8" s="25"/>
      <c r="U8" s="25"/>
      <c r="V8" s="25"/>
      <c r="W8" s="25"/>
    </row>
    <row r="9" spans="1:23" s="26" customFormat="1" ht="21" x14ac:dyDescent="0.25">
      <c r="A9" s="160" t="s">
        <v>20</v>
      </c>
      <c r="B9" s="160"/>
      <c r="C9" s="160" t="s">
        <v>21</v>
      </c>
      <c r="D9" s="161" t="s">
        <v>3</v>
      </c>
      <c r="E9" s="186" t="s">
        <v>22</v>
      </c>
      <c r="F9" s="160" t="s">
        <v>23</v>
      </c>
      <c r="G9" s="160" t="s">
        <v>24</v>
      </c>
      <c r="H9" s="167" t="s">
        <v>25</v>
      </c>
      <c r="I9" s="180" t="s">
        <v>26</v>
      </c>
      <c r="J9" s="180" t="s">
        <v>27</v>
      </c>
      <c r="K9" s="181" t="s">
        <v>28</v>
      </c>
      <c r="L9" s="166" t="s">
        <v>29</v>
      </c>
      <c r="M9" s="24"/>
      <c r="N9" s="24"/>
      <c r="O9" s="24"/>
      <c r="P9" s="25"/>
      <c r="Q9" s="25"/>
      <c r="R9" s="25"/>
      <c r="S9" s="25"/>
      <c r="T9" s="25"/>
      <c r="U9" s="25"/>
      <c r="V9" s="25"/>
      <c r="W9" s="25"/>
    </row>
    <row r="10" spans="1:23" s="29" customFormat="1" ht="21" customHeight="1" x14ac:dyDescent="0.15">
      <c r="A10" s="64" t="str">
        <f>IFERROR(IF(HLOOKUP($L$6,RangeUnitsetsECEPR,M10,FALSE)=0,"",HLOOKUP($L$6,RangeUnitsetsECEPR,M10,FALSE)),"")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IF(OR(A10="",A10="--"),"",VLOOKUP($D$7,TableStudyPeriods[],2,FALSE))</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74">
        <v>2</v>
      </c>
      <c r="N10" s="27"/>
      <c r="O10" s="27"/>
      <c r="P10" s="28"/>
      <c r="Q10" s="28"/>
      <c r="R10" s="28"/>
      <c r="S10" s="28"/>
      <c r="T10" s="28"/>
      <c r="U10" s="28"/>
      <c r="V10" s="28"/>
      <c r="W10" s="28"/>
    </row>
    <row r="11" spans="1:23" s="29" customFormat="1" ht="21" customHeight="1" x14ac:dyDescent="0.15">
      <c r="A11" s="64" t="str">
        <f>IFERROR(IF(HLOOKUP($L$6,RangeUnitsetsECEPR,M11,FALSE)=0,"",HLOOKUP($L$6,RangeUnitsetsECEPR,M11,FALSE)),"")</f>
        <v/>
      </c>
      <c r="B11" s="58" t="str">
        <f>IFERROR(IF(VLOOKUP($A11,TableHandbook[],2,FALSE)=0,"",VLOOKUP($A11,TableHandbook[],2,FALSE)),"")</f>
        <v/>
      </c>
      <c r="C11" s="58" t="str">
        <f>IFERROR(IF(VLOOKUP($A11,TableHandbook[],3,FALSE)=0,"",VLOOKUP($A11,TableHandbook[],3,FALSE)),"")</f>
        <v/>
      </c>
      <c r="D11" s="65" t="str">
        <f>IFERROR(IF(VLOOKUP($A11,TableHandbook[],4,FALSE)=0,"",VLOOKUP($A11,TableHandbook[],4,FALSE)),"")</f>
        <v/>
      </c>
      <c r="E11" s="58" t="str">
        <f>IF(A11="","",E10)</f>
        <v/>
      </c>
      <c r="F11" s="57" t="str">
        <f>IFERROR(IF(VLOOKUP($A11,TableHandbook[],6,FALSE)=0,"",VLOOKUP($A11,TableHandbook[],6,FALSE)),"")</f>
        <v/>
      </c>
      <c r="G11" s="58" t="str">
        <f>IFERROR(IF(VLOOKUP($A11,TableHandbook[],5,FALSE)=0,"",VLOOKUP($A11,TableHandbook[],5,FALSE)),"")</f>
        <v/>
      </c>
      <c r="H11" s="68" t="str">
        <f>IFERROR(VLOOKUP($A11,TableHandbook[],H$2,FALSE),"")</f>
        <v/>
      </c>
      <c r="I11" s="58" t="str">
        <f>IFERROR(VLOOKUP($A11,TableHandbook[],I$2,FALSE),"")</f>
        <v/>
      </c>
      <c r="J11" s="58" t="str">
        <f>IFERROR(VLOOKUP($A11,TableHandbook[],J$2,FALSE),"")</f>
        <v/>
      </c>
      <c r="K11" s="182" t="str">
        <f>IFERROR(VLOOKUP($A11,TableHandbook[],K$2,FALSE),"")</f>
        <v/>
      </c>
      <c r="L11" s="66"/>
      <c r="M11" s="74">
        <v>3</v>
      </c>
      <c r="N11" s="27"/>
      <c r="O11" s="27"/>
      <c r="P11" s="28"/>
      <c r="Q11" s="28"/>
      <c r="R11" s="28"/>
      <c r="S11" s="28"/>
      <c r="T11" s="28"/>
      <c r="U11" s="28"/>
      <c r="V11" s="28"/>
      <c r="W11" s="28"/>
    </row>
    <row r="12" spans="1:23" s="29" customFormat="1" ht="4.5" customHeight="1" x14ac:dyDescent="0.15">
      <c r="A12" s="30"/>
      <c r="B12" s="31"/>
      <c r="C12" s="31"/>
      <c r="D12" s="32"/>
      <c r="E12" s="31"/>
      <c r="F12" s="33"/>
      <c r="G12" s="31"/>
      <c r="H12" s="134"/>
      <c r="I12" s="183"/>
      <c r="J12" s="183"/>
      <c r="K12" s="184"/>
      <c r="L12" s="34"/>
      <c r="M12" s="35"/>
      <c r="N12" s="27"/>
      <c r="O12" s="27"/>
      <c r="P12" s="27"/>
      <c r="Q12" s="28"/>
      <c r="R12" s="28"/>
      <c r="S12" s="28"/>
      <c r="T12" s="28"/>
      <c r="U12" s="28"/>
      <c r="V12" s="28"/>
      <c r="W12" s="28"/>
    </row>
    <row r="13" spans="1:23" s="29" customFormat="1" ht="21" customHeight="1" x14ac:dyDescent="0.15">
      <c r="A13" s="64" t="str">
        <f>IFERROR(IF(HLOOKUP($L$6,RangeUnitsetsECEPR,M13,FALSE)=0,"",HLOOKUP($L$6,RangeUnitsetsECEPR,M13,FALSE)),"")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IF(OR(A13="",A13="--"),"",VLOOKUP($D$7,TableStudyPeriods[],3,FALSE))</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7"/>
      <c r="M13" s="74">
        <v>4</v>
      </c>
      <c r="N13" s="27"/>
      <c r="O13" s="27"/>
      <c r="P13" s="28"/>
      <c r="Q13" s="28"/>
      <c r="R13" s="28"/>
      <c r="S13" s="28"/>
      <c r="T13" s="28"/>
      <c r="U13" s="28"/>
      <c r="V13" s="28"/>
      <c r="W13" s="28"/>
    </row>
    <row r="14" spans="1:23" s="29" customFormat="1" ht="21" customHeight="1" x14ac:dyDescent="0.15">
      <c r="A14" s="64" t="str">
        <f>IFERROR(IF(HLOOKUP($L$6,RangeUnitsetsECEPR,M14,FALSE)=0,"",HLOOKUP($L$6,RangeUnitsetsECEPR,M14,FALSE)),"")</f>
        <v/>
      </c>
      <c r="B14" s="58" t="str">
        <f>IFERROR(IF(VLOOKUP($A14,TableHandbook[],2,FALSE)=0,"",VLOOKUP($A14,TableHandbook[],2,FALSE)),"")</f>
        <v/>
      </c>
      <c r="C14" s="58" t="str">
        <f>IFERROR(IF(VLOOKUP($A14,TableHandbook[],3,FALSE)=0,"",VLOOKUP($A14,TableHandbook[],3,FALSE)),"")</f>
        <v/>
      </c>
      <c r="D14" s="65" t="str">
        <f>IFERROR(IF(VLOOKUP($A14,TableHandbook[],4,FALSE)=0,"",VLOOKUP($A14,TableHandbook[],4,FALSE)),"")</f>
        <v/>
      </c>
      <c r="E14" s="58" t="str">
        <f>IF(A14="","",E13)</f>
        <v/>
      </c>
      <c r="F14" s="57" t="str">
        <f>IFERROR(IF(VLOOKUP($A14,TableHandbook[],6,FALSE)=0,"",VLOOKUP($A14,TableHandbook[],6,FALSE)),"")</f>
        <v/>
      </c>
      <c r="G14" s="58" t="str">
        <f>IFERROR(IF(VLOOKUP($A14,TableHandbook[],5,FALSE)=0,"",VLOOKUP($A14,TableHandbook[],5,FALSE)),"")</f>
        <v/>
      </c>
      <c r="H14" s="68" t="str">
        <f>IFERROR(VLOOKUP($A14,TableHandbook[],H$2,FALSE),"")</f>
        <v/>
      </c>
      <c r="I14" s="58" t="str">
        <f>IFERROR(VLOOKUP($A14,TableHandbook[],I$2,FALSE),"")</f>
        <v/>
      </c>
      <c r="J14" s="58" t="str">
        <f>IFERROR(VLOOKUP($A14,TableHandbook[],J$2,FALSE),"")</f>
        <v/>
      </c>
      <c r="K14" s="182" t="str">
        <f>IFERROR(VLOOKUP($A14,TableHandbook[],K$2,FALSE),"")</f>
        <v/>
      </c>
      <c r="L14" s="66"/>
      <c r="M14" s="74">
        <v>5</v>
      </c>
      <c r="N14" s="27"/>
      <c r="O14" s="27"/>
      <c r="P14" s="28"/>
      <c r="Q14" s="28"/>
      <c r="R14" s="28"/>
      <c r="S14" s="28"/>
      <c r="T14" s="28"/>
      <c r="U14" s="28"/>
      <c r="V14" s="28"/>
      <c r="W14" s="28"/>
    </row>
    <row r="15" spans="1:23" s="29" customFormat="1" ht="4.5" customHeight="1" x14ac:dyDescent="0.15">
      <c r="A15" s="30"/>
      <c r="B15" s="31"/>
      <c r="C15" s="31"/>
      <c r="D15" s="32"/>
      <c r="E15" s="31"/>
      <c r="F15" s="33"/>
      <c r="G15" s="31"/>
      <c r="H15" s="134"/>
      <c r="I15" s="183"/>
      <c r="J15" s="183"/>
      <c r="K15" s="184"/>
      <c r="L15" s="34"/>
      <c r="M15" s="35"/>
      <c r="N15" s="27"/>
      <c r="O15" s="27"/>
      <c r="P15" s="27"/>
      <c r="Q15" s="28"/>
      <c r="R15" s="28"/>
      <c r="S15" s="28"/>
      <c r="T15" s="28"/>
      <c r="U15" s="28"/>
      <c r="V15" s="28"/>
      <c r="W15" s="28"/>
    </row>
    <row r="16" spans="1:23" s="29" customFormat="1" ht="21" customHeight="1" x14ac:dyDescent="0.15">
      <c r="A16" s="64" t="str">
        <f>IFERROR(IF(HLOOKUP($L$6,RangeUnitsetsECEPR,M16,FALSE)=0,"",HLOOKUP($L$6,RangeUnitsetsECEPR,M16,FALSE)),"")</f>
        <v/>
      </c>
      <c r="B16" s="60" t="str">
        <f>IFERROR(IF(VLOOKUP($A16,TableHandbook[],2,FALSE)=0,"",VLOOKUP($A16,TableHandbook[],2,FALSE)),"")</f>
        <v/>
      </c>
      <c r="C16" s="60" t="str">
        <f>IFERROR(IF(VLOOKUP($A16,TableHandbook[],3,FALSE)=0,"",VLOOKUP($A16,TableHandbook[],3,FALSE)),"")</f>
        <v/>
      </c>
      <c r="D16" s="65" t="str">
        <f>IFERROR(IF(VLOOKUP($A16,TableHandbook[],4,FALSE)=0,"",VLOOKUP($A16,TableHandbook[],4,FALSE)),"")</f>
        <v/>
      </c>
      <c r="E16" s="58" t="str">
        <f>IF(OR(A16="",A16="--"),"",VLOOKUP($D$7,TableStudyPeriods[],4,FALSE))</f>
        <v/>
      </c>
      <c r="F16" s="57" t="str">
        <f>IFERROR(IF(VLOOKUP($A16,TableHandbook[],6,FALSE)=0,"",VLOOKUP($A16,TableHandbook[],6,FALSE)),"")</f>
        <v/>
      </c>
      <c r="G16" s="60" t="str">
        <f>IFERROR(IF(VLOOKUP($A16,TableHandbook[],5,FALSE)=0,"",VLOOKUP($A16,TableHandbook[],5,FALSE)),"")</f>
        <v/>
      </c>
      <c r="H16" s="70" t="str">
        <f>IFERROR(VLOOKUP($A16,TableHandbook[],H$2,FALSE),"")</f>
        <v/>
      </c>
      <c r="I16" s="60" t="str">
        <f>IFERROR(VLOOKUP($A16,TableHandbook[],I$2,FALSE),"")</f>
        <v/>
      </c>
      <c r="J16" s="60" t="str">
        <f>IFERROR(VLOOKUP($A16,TableHandbook[],J$2,FALSE),"")</f>
        <v/>
      </c>
      <c r="K16" s="185" t="str">
        <f>IFERROR(VLOOKUP($A16,TableHandbook[],K$2,FALSE),"")</f>
        <v/>
      </c>
      <c r="L16" s="67"/>
      <c r="M16" s="74">
        <v>6</v>
      </c>
      <c r="N16" s="27"/>
      <c r="O16" s="27"/>
      <c r="P16" s="28"/>
      <c r="Q16" s="28"/>
      <c r="R16" s="28"/>
      <c r="S16" s="28"/>
      <c r="T16" s="28"/>
      <c r="U16" s="28"/>
      <c r="V16" s="28"/>
      <c r="W16" s="28"/>
    </row>
    <row r="17" spans="1:23" s="38" customFormat="1" ht="21" customHeight="1" x14ac:dyDescent="0.15">
      <c r="A17" s="64" t="str">
        <f>IFERROR(IF(HLOOKUP($L$6,RangeUnitsetsECEPR,M17,FALSE)=0,"",HLOOKUP($L$6,RangeUnitsetsECEPR,M17,FALSE)),"")</f>
        <v/>
      </c>
      <c r="B17" s="60" t="str">
        <f>IFERROR(IF(VLOOKUP($A17,TableHandbook[],2,FALSE)=0,"",VLOOKUP($A17,TableHandbook[],2,FALSE)),"")</f>
        <v/>
      </c>
      <c r="C17" s="60" t="str">
        <f>IFERROR(IF(VLOOKUP($A17,TableHandbook[],3,FALSE)=0,"",VLOOKUP($A17,TableHandbook[],3,FALSE)),"")</f>
        <v/>
      </c>
      <c r="D17" s="65" t="str">
        <f>IFERROR(IF(VLOOKUP($A17,TableHandbook[],4,FALSE)=0,"",VLOOKUP($A17,TableHandbook[],4,FALSE)),"")</f>
        <v/>
      </c>
      <c r="E17" s="58" t="str">
        <f>IF(A17="","",E16)</f>
        <v/>
      </c>
      <c r="F17" s="57" t="str">
        <f>IFERROR(IF(VLOOKUP($A17,TableHandbook[],6,FALSE)=0,"",VLOOKUP($A17,TableHandbook[],6,FALSE)),"")</f>
        <v/>
      </c>
      <c r="G17" s="60" t="str">
        <f>IFERROR(IF(VLOOKUP($A17,TableHandbook[],5,FALSE)=0,"",VLOOKUP($A17,TableHandbook[],5,FALSE)),"")</f>
        <v/>
      </c>
      <c r="H17" s="70" t="str">
        <f>IFERROR(VLOOKUP($A17,TableHandbook[],H$2,FALSE),"")</f>
        <v/>
      </c>
      <c r="I17" s="60" t="str">
        <f>IFERROR(VLOOKUP($A17,TableHandbook[],I$2,FALSE),"")</f>
        <v/>
      </c>
      <c r="J17" s="60" t="str">
        <f>IFERROR(VLOOKUP($A17,TableHandbook[],J$2,FALSE),"")</f>
        <v/>
      </c>
      <c r="K17" s="185" t="str">
        <f>IFERROR(VLOOKUP($A17,TableHandbook[],K$2,FALSE),"")</f>
        <v/>
      </c>
      <c r="L17" s="67"/>
      <c r="M17" s="74">
        <v>7</v>
      </c>
      <c r="N17" s="36"/>
      <c r="O17" s="36"/>
      <c r="P17" s="37"/>
      <c r="Q17" s="37"/>
      <c r="R17" s="37"/>
      <c r="S17" s="37"/>
      <c r="T17" s="37"/>
      <c r="U17" s="37"/>
      <c r="V17" s="37"/>
      <c r="W17" s="37"/>
    </row>
    <row r="18" spans="1:23" s="29" customFormat="1" ht="4.5" customHeight="1" x14ac:dyDescent="0.15">
      <c r="A18" s="30"/>
      <c r="B18" s="31"/>
      <c r="C18" s="31"/>
      <c r="D18" s="32"/>
      <c r="E18" s="31"/>
      <c r="F18" s="33"/>
      <c r="G18" s="31"/>
      <c r="H18" s="134"/>
      <c r="I18" s="183"/>
      <c r="J18" s="183"/>
      <c r="K18" s="184"/>
      <c r="L18" s="34"/>
      <c r="M18" s="35"/>
      <c r="N18" s="27"/>
      <c r="O18" s="27"/>
      <c r="P18" s="27"/>
      <c r="Q18" s="28"/>
      <c r="R18" s="28"/>
      <c r="S18" s="28"/>
      <c r="T18" s="28"/>
      <c r="U18" s="28"/>
      <c r="V18" s="28"/>
      <c r="W18" s="28"/>
    </row>
    <row r="19" spans="1:23" s="38" customFormat="1" ht="21" customHeight="1" x14ac:dyDescent="0.15">
      <c r="A19" s="64" t="str">
        <f>IFERROR(IF(HLOOKUP($L$6,RangeUnitsetsECEPR,M19,FALSE)=0,"",HLOOKUP($L$6,RangeUnitsetsECEPR,M19,FALSE)),"")</f>
        <v/>
      </c>
      <c r="B19" s="60" t="str">
        <f>IFERROR(IF(VLOOKUP($A19,TableHandbook[],2,FALSE)=0,"",VLOOKUP($A19,TableHandbook[],2,FALSE)),"")</f>
        <v/>
      </c>
      <c r="C19" s="60" t="str">
        <f>IFERROR(IF(VLOOKUP($A19,TableHandbook[],3,FALSE)=0,"",VLOOKUP($A19,TableHandbook[],3,FALSE)),"")</f>
        <v/>
      </c>
      <c r="D19" s="65" t="str">
        <f>IFERROR(IF(VLOOKUP($A19,TableHandbook[],4,FALSE)=0,"",VLOOKUP($A19,TableHandbook[],4,FALSE)),"")</f>
        <v/>
      </c>
      <c r="E19" s="58" t="str">
        <f>IF(OR(A19="",A19="--"),"",VLOOKUP($D$7,TableStudyPeriods[],5,FALSE))</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185" t="str">
        <f>IFERROR(VLOOKUP($A19,TableHandbook[],K$2,FALSE),"")</f>
        <v/>
      </c>
      <c r="L19" s="67"/>
      <c r="M19" s="74">
        <v>8</v>
      </c>
      <c r="N19" s="36"/>
      <c r="O19" s="36"/>
      <c r="P19" s="37"/>
      <c r="Q19" s="37"/>
      <c r="R19" s="37"/>
      <c r="S19" s="37"/>
      <c r="T19" s="37"/>
      <c r="U19" s="37"/>
      <c r="V19" s="37"/>
      <c r="W19" s="37"/>
    </row>
    <row r="20" spans="1:23" s="38" customFormat="1" ht="21" customHeight="1" x14ac:dyDescent="0.15">
      <c r="A20" s="64" t="str">
        <f>IFERROR(IF(HLOOKUP($L$6,RangeUnitsetsECEPR,M20,FALSE)=0,"",HLOOKUP($L$6,RangeUnitsetsECEPR,M20,FALSE)),"")</f>
        <v/>
      </c>
      <c r="B20" s="60" t="str">
        <f>IFERROR(IF(VLOOKUP($A20,TableHandbook[],2,FALSE)=0,"",VLOOKUP($A20,TableHandbook[],2,FALSE)),"")</f>
        <v/>
      </c>
      <c r="C20" s="60" t="str">
        <f>IFERROR(IF(VLOOKUP($A20,TableHandbook[],3,FALSE)=0,"",VLOOKUP($A20,TableHandbook[],3,FALSE)),"")</f>
        <v/>
      </c>
      <c r="D20" s="63" t="str">
        <f>IFERROR(IF(VLOOKUP($A20,TableHandbook[],4,FALSE)=0,"",VLOOKUP($A20,TableHandbook[],4,FALSE)),"")</f>
        <v/>
      </c>
      <c r="E20" s="60" t="str">
        <f>IF(A20="","",E19)</f>
        <v/>
      </c>
      <c r="F20" s="57" t="str">
        <f>IFERROR(IF(VLOOKUP($A20,TableHandbook[],6,FALSE)=0,"",VLOOKUP($A20,TableHandbook[],6,FALSE)),"")</f>
        <v/>
      </c>
      <c r="G20" s="60" t="str">
        <f>IFERROR(IF(VLOOKUP($A20,TableHandbook[],5,FALSE)=0,"",VLOOKUP($A20,TableHandbook[],5,FALSE)),"")</f>
        <v/>
      </c>
      <c r="H20" s="70" t="str">
        <f>IFERROR(VLOOKUP($A20,TableHandbook[],H$2,FALSE),"")</f>
        <v/>
      </c>
      <c r="I20" s="60" t="str">
        <f>IFERROR(VLOOKUP($A20,TableHandbook[],I$2,FALSE),"")</f>
        <v/>
      </c>
      <c r="J20" s="60" t="str">
        <f>IFERROR(VLOOKUP($A20,TableHandbook[],J$2,FALSE),"")</f>
        <v/>
      </c>
      <c r="K20" s="185" t="str">
        <f>IFERROR(VLOOKUP($A20,TableHandbook[],K$2,FALSE),"")</f>
        <v/>
      </c>
      <c r="L20" s="67"/>
      <c r="M20" s="74">
        <v>9</v>
      </c>
      <c r="N20" s="36"/>
      <c r="O20" s="36"/>
      <c r="P20" s="37"/>
      <c r="Q20" s="37"/>
      <c r="R20" s="37"/>
      <c r="S20" s="37"/>
      <c r="T20" s="37"/>
      <c r="U20" s="37"/>
      <c r="V20" s="37"/>
      <c r="W20" s="37"/>
    </row>
    <row r="21" spans="1:23" s="26" customFormat="1" ht="21" x14ac:dyDescent="0.25">
      <c r="A21" s="160" t="s">
        <v>30</v>
      </c>
      <c r="B21" s="160"/>
      <c r="C21" s="160" t="s">
        <v>21</v>
      </c>
      <c r="D21" s="161" t="s">
        <v>3</v>
      </c>
      <c r="E21" s="186" t="s">
        <v>22</v>
      </c>
      <c r="F21" s="160" t="s">
        <v>23</v>
      </c>
      <c r="G21" s="160" t="s">
        <v>24</v>
      </c>
      <c r="H21" s="167" t="s">
        <v>25</v>
      </c>
      <c r="I21" s="180" t="s">
        <v>26</v>
      </c>
      <c r="J21" s="180" t="s">
        <v>27</v>
      </c>
      <c r="K21" s="181" t="s">
        <v>28</v>
      </c>
      <c r="L21" s="166" t="s">
        <v>29</v>
      </c>
      <c r="M21" s="24"/>
      <c r="N21" s="24"/>
      <c r="O21" s="24"/>
      <c r="P21" s="25"/>
      <c r="Q21" s="25"/>
      <c r="R21" s="25"/>
      <c r="S21" s="25"/>
      <c r="T21" s="25"/>
      <c r="U21" s="25"/>
      <c r="V21" s="25"/>
      <c r="W21" s="25"/>
    </row>
    <row r="22" spans="1:23" s="29" customFormat="1" ht="21" customHeight="1" x14ac:dyDescent="0.15">
      <c r="A22" s="64" t="str">
        <f>IFERROR(IF(HLOOKUP($L$6,RangeUnitsetsECEPR,M22,FALSE)=0,"",HLOOKUP($L$6,RangeUnitsetsECEPR,M22,FALSE)),"")</f>
        <v/>
      </c>
      <c r="B22" s="60" t="str">
        <f>IFERROR(IF(VLOOKUP($A22,TableHandbook[],2,FALSE)=0,"",VLOOKUP($A22,TableHandbook[],2,FALSE)),"")</f>
        <v/>
      </c>
      <c r="C22" s="60" t="str">
        <f>IFERROR(IF(VLOOKUP($A22,TableHandbook[],3,FALSE)=0,"",VLOOKUP($A22,TableHandbook[],3,FALSE)),"")</f>
        <v/>
      </c>
      <c r="D22" s="61" t="str">
        <f>IFERROR(IF(VLOOKUP($A22,TableHandbook[],4,FALSE)=0,"",VLOOKUP($A22,TableHandbook[],4,FALSE)),"")</f>
        <v/>
      </c>
      <c r="E22" s="60" t="str">
        <f>IF(OR(A22="",A22="--"),"",VLOOKUP($D$7,TableStudyPeriods[],2,FALSE))</f>
        <v/>
      </c>
      <c r="F22" s="57" t="str">
        <f>IFERROR(IF(VLOOKUP($A22,TableHandbook[],6,FALSE)=0,"",VLOOKUP($A22,TableHandbook[],6,FALSE)),"")</f>
        <v/>
      </c>
      <c r="G22" s="58" t="str">
        <f>IFERROR(IF(VLOOKUP($A22,TableHandbook[],5,FALSE)=0,"",VLOOKUP($A22,TableHandbook[],5,FALSE)),"")</f>
        <v/>
      </c>
      <c r="H22" s="68" t="str">
        <f>IFERROR(VLOOKUP($A22,TableHandbook[],H$2,FALSE),"")</f>
        <v/>
      </c>
      <c r="I22" s="58" t="str">
        <f>IFERROR(VLOOKUP($A22,TableHandbook[],I$2,FALSE),"")</f>
        <v/>
      </c>
      <c r="J22" s="58" t="str">
        <f>IFERROR(VLOOKUP($A22,TableHandbook[],J$2,FALSE),"")</f>
        <v/>
      </c>
      <c r="K22" s="182" t="str">
        <f>IFERROR(VLOOKUP($A22,TableHandbook[],K$2,FALSE),"")</f>
        <v/>
      </c>
      <c r="L22" s="62"/>
      <c r="M22" s="74">
        <v>10</v>
      </c>
      <c r="N22" s="27"/>
      <c r="O22" s="27"/>
      <c r="P22" s="28"/>
      <c r="Q22" s="28"/>
      <c r="R22" s="28"/>
      <c r="S22" s="28"/>
      <c r="T22" s="28"/>
      <c r="U22" s="28"/>
      <c r="V22" s="28"/>
      <c r="W22" s="28"/>
    </row>
    <row r="23" spans="1:23" s="29" customFormat="1" ht="21" customHeight="1" x14ac:dyDescent="0.15">
      <c r="A23" s="64" t="str">
        <f>IFERROR(IF(HLOOKUP($L$6,RangeUnitsetsECEPR,M23,FALSE)=0,"",HLOOKUP($L$6,RangeUnitsetsECEPR,M23,FALSE)),"")</f>
        <v/>
      </c>
      <c r="B23" s="60" t="str">
        <f>IFERROR(IF(VLOOKUP($A23,TableHandbook[],2,FALSE)=0,"",VLOOKUP($A23,TableHandbook[],2,FALSE)),"")</f>
        <v/>
      </c>
      <c r="C23" s="60" t="str">
        <f>IFERROR(IF(VLOOKUP($A23,TableHandbook[],3,FALSE)=0,"",VLOOKUP($A23,TableHandbook[],3,FALSE)),"")</f>
        <v/>
      </c>
      <c r="D23" s="63" t="str">
        <f>IFERROR(IF(VLOOKUP($A23,TableHandbook[],4,FALSE)=0,"",VLOOKUP($A23,TableHandbook[],4,FALSE)),"")</f>
        <v/>
      </c>
      <c r="E23" s="60" t="str">
        <f>IF(A23="","",E22)</f>
        <v/>
      </c>
      <c r="F23" s="57" t="str">
        <f>IFERROR(IF(VLOOKUP($A23,TableHandbook[],6,FALSE)=0,"",VLOOKUP($A23,TableHandbook[],6,FALSE)),"")</f>
        <v/>
      </c>
      <c r="G23" s="58" t="str">
        <f>IFERROR(IF(VLOOKUP($A23,TableHandbook[],5,FALSE)=0,"",VLOOKUP($A23,TableHandbook[],5,FALSE)),"")</f>
        <v/>
      </c>
      <c r="H23" s="68" t="str">
        <f>IFERROR(VLOOKUP($A23,TableHandbook[],H$2,FALSE),"")</f>
        <v/>
      </c>
      <c r="I23" s="58" t="str">
        <f>IFERROR(VLOOKUP($A23,TableHandbook[],I$2,FALSE),"")</f>
        <v/>
      </c>
      <c r="J23" s="58" t="str">
        <f>IFERROR(VLOOKUP($A23,TableHandbook[],J$2,FALSE),"")</f>
        <v/>
      </c>
      <c r="K23" s="182" t="str">
        <f>IFERROR(VLOOKUP($A23,TableHandbook[],K$2,FALSE),"")</f>
        <v/>
      </c>
      <c r="L23" s="62"/>
      <c r="M23" s="74">
        <v>11</v>
      </c>
      <c r="N23" s="27"/>
      <c r="O23" s="27"/>
      <c r="P23" s="28"/>
      <c r="Q23" s="28"/>
      <c r="R23" s="28"/>
      <c r="S23" s="28"/>
      <c r="T23" s="28"/>
      <c r="U23" s="28"/>
      <c r="V23" s="28"/>
      <c r="W23" s="28"/>
    </row>
    <row r="24" spans="1:23" s="29" customFormat="1" ht="4.5" customHeight="1" x14ac:dyDescent="0.15">
      <c r="A24" s="30"/>
      <c r="B24" s="31"/>
      <c r="C24" s="31"/>
      <c r="D24" s="32"/>
      <c r="E24" s="31"/>
      <c r="F24" s="33"/>
      <c r="G24" s="31"/>
      <c r="H24" s="134"/>
      <c r="I24" s="183"/>
      <c r="J24" s="183"/>
      <c r="K24" s="184"/>
      <c r="L24" s="34"/>
      <c r="M24" s="35"/>
      <c r="N24" s="27"/>
      <c r="O24" s="27"/>
      <c r="P24" s="27"/>
      <c r="Q24" s="28"/>
      <c r="R24" s="28"/>
      <c r="S24" s="28"/>
      <c r="T24" s="28"/>
      <c r="U24" s="28"/>
      <c r="V24" s="28"/>
      <c r="W24" s="28"/>
    </row>
    <row r="25" spans="1:23" s="29" customFormat="1" ht="21" customHeight="1" x14ac:dyDescent="0.15">
      <c r="A25" s="64" t="str">
        <f>IFERROR(IF(HLOOKUP($L$6,RangeUnitsetsECEPR,M25,FALSE)=0,"",HLOOKUP($L$6,RangeUnitsetsECEPR,M25,FALSE)),"")</f>
        <v/>
      </c>
      <c r="B25" s="60" t="str">
        <f>IFERROR(IF(VLOOKUP($A25,TableHandbook[],2,FALSE)=0,"",VLOOKUP($A25,TableHandbook[],2,FALSE)),"")</f>
        <v/>
      </c>
      <c r="C25" s="60" t="str">
        <f>IFERROR(IF(VLOOKUP($A25,TableHandbook[],3,FALSE)=0,"",VLOOKUP($A25,TableHandbook[],3,FALSE)),"")</f>
        <v/>
      </c>
      <c r="D25" s="63" t="str">
        <f>IFERROR(IF(VLOOKUP($A25,TableHandbook[],4,FALSE)=0,"",VLOOKUP($A25,TableHandbook[],4,FALSE)),"")</f>
        <v/>
      </c>
      <c r="E25" s="60" t="str">
        <f>IF(OR(A25="",A25="--"),"",VLOOKUP($D$7,TableStudyPeriods[],3,FALSE))</f>
        <v/>
      </c>
      <c r="F25" s="57" t="str">
        <f>IFERROR(IF(VLOOKUP($A25,TableHandbook[],6,FALSE)=0,"",VLOOKUP($A25,TableHandbook[],6,FALSE)),"")</f>
        <v/>
      </c>
      <c r="G25" s="58" t="str">
        <f>IFERROR(IF(VLOOKUP($A25,TableHandbook[],5,FALSE)=0,"",VLOOKUP($A25,TableHandbook[],5,FALSE)),"")</f>
        <v/>
      </c>
      <c r="H25" s="68" t="str">
        <f>IFERROR(VLOOKUP($A25,TableHandbook[],H$2,FALSE),"")</f>
        <v/>
      </c>
      <c r="I25" s="58" t="str">
        <f>IFERROR(VLOOKUP($A25,TableHandbook[],I$2,FALSE),"")</f>
        <v/>
      </c>
      <c r="J25" s="58" t="str">
        <f>IFERROR(VLOOKUP($A25,TableHandbook[],J$2,FALSE),"")</f>
        <v/>
      </c>
      <c r="K25" s="182" t="str">
        <f>IFERROR(VLOOKUP($A25,TableHandbook[],K$2,FALSE),"")</f>
        <v/>
      </c>
      <c r="L25" s="62"/>
      <c r="M25" s="74">
        <v>12</v>
      </c>
      <c r="N25" s="27"/>
      <c r="O25" s="27"/>
      <c r="P25" s="28"/>
      <c r="Q25" s="28"/>
      <c r="R25" s="28"/>
      <c r="S25" s="28"/>
      <c r="T25" s="28"/>
      <c r="U25" s="28"/>
      <c r="V25" s="28"/>
      <c r="W25" s="28"/>
    </row>
    <row r="26" spans="1:23" s="29" customFormat="1" ht="21" customHeight="1" x14ac:dyDescent="0.15">
      <c r="A26" s="64" t="str">
        <f>IFERROR(IF(HLOOKUP($L$6,RangeUnitsetsECEPR,M26,FALSE)=0,"",HLOOKUP($L$6,RangeUnitsetsECEPR,M26,FALSE)),"")</f>
        <v/>
      </c>
      <c r="B26" s="60" t="str">
        <f>IFERROR(IF(VLOOKUP($A26,TableHandbook[],2,FALSE)=0,"",VLOOKUP($A26,TableHandbook[],2,FALSE)),"")</f>
        <v/>
      </c>
      <c r="C26" s="60" t="str">
        <f>IFERROR(IF(VLOOKUP($A26,TableHandbook[],3,FALSE)=0,"",VLOOKUP($A26,TableHandbook[],3,FALSE)),"")</f>
        <v/>
      </c>
      <c r="D26" s="63" t="str">
        <f>IFERROR(IF(VLOOKUP($A26,TableHandbook[],4,FALSE)=0,"",VLOOKUP($A26,TableHandbook[],4,FALSE)),"")</f>
        <v/>
      </c>
      <c r="E26" s="60" t="str">
        <f>IF(A26="","",E25)</f>
        <v/>
      </c>
      <c r="F26" s="57" t="str">
        <f>IFERROR(IF(VLOOKUP($A26,TableHandbook[],6,FALSE)=0,"",VLOOKUP($A26,TableHandbook[],6,FALSE)),"")</f>
        <v/>
      </c>
      <c r="G26" s="58" t="str">
        <f>IFERROR(IF(VLOOKUP($A26,TableHandbook[],5,FALSE)=0,"",VLOOKUP($A26,TableHandbook[],5,FALSE)),"")</f>
        <v/>
      </c>
      <c r="H26" s="68" t="str">
        <f>IFERROR(VLOOKUP($A26,TableHandbook[],H$2,FALSE),"")</f>
        <v/>
      </c>
      <c r="I26" s="58" t="str">
        <f>IFERROR(VLOOKUP($A26,TableHandbook[],I$2,FALSE),"")</f>
        <v/>
      </c>
      <c r="J26" s="58" t="str">
        <f>IFERROR(VLOOKUP($A26,TableHandbook[],J$2,FALSE),"")</f>
        <v/>
      </c>
      <c r="K26" s="182" t="str">
        <f>IFERROR(VLOOKUP($A26,TableHandbook[],K$2,FALSE),"")</f>
        <v/>
      </c>
      <c r="L26" s="62"/>
      <c r="M26" s="74">
        <v>13</v>
      </c>
      <c r="N26" s="27"/>
      <c r="O26" s="27"/>
      <c r="P26" s="28"/>
      <c r="Q26" s="28"/>
      <c r="R26" s="28"/>
      <c r="S26" s="28"/>
      <c r="T26" s="28"/>
      <c r="U26" s="28"/>
      <c r="V26" s="28"/>
      <c r="W26" s="28"/>
    </row>
    <row r="27" spans="1:23" s="29" customFormat="1" ht="4.5" customHeight="1" x14ac:dyDescent="0.15">
      <c r="A27" s="30"/>
      <c r="B27" s="31"/>
      <c r="C27" s="31"/>
      <c r="D27" s="32"/>
      <c r="E27" s="31"/>
      <c r="F27" s="33"/>
      <c r="G27" s="31"/>
      <c r="H27" s="134"/>
      <c r="I27" s="183"/>
      <c r="J27" s="183"/>
      <c r="K27" s="184"/>
      <c r="L27" s="34"/>
      <c r="M27" s="35"/>
      <c r="N27" s="27"/>
      <c r="O27" s="27"/>
      <c r="P27" s="27"/>
      <c r="Q27" s="28"/>
      <c r="R27" s="28"/>
      <c r="S27" s="28"/>
      <c r="T27" s="28"/>
      <c r="U27" s="28"/>
      <c r="V27" s="28"/>
      <c r="W27" s="28"/>
    </row>
    <row r="28" spans="1:23" s="29" customFormat="1" ht="21" customHeight="1" x14ac:dyDescent="0.15">
      <c r="A28" s="64" t="str">
        <f>IFERROR(IF(HLOOKUP($L$6,RangeUnitsetsECEPR,M28,FALSE)=0,"",HLOOKUP($L$6,RangeUnitsetsECEPR,M28,FALSE)),"")</f>
        <v/>
      </c>
      <c r="B28" s="60" t="str">
        <f>IFERROR(IF(VLOOKUP($A28,TableHandbook[],2,FALSE)=0,"",VLOOKUP($A28,TableHandbook[],2,FALSE)),"")</f>
        <v/>
      </c>
      <c r="C28" s="60" t="str">
        <f>IFERROR(IF(VLOOKUP($A28,TableHandbook[],3,FALSE)=0,"",VLOOKUP($A28,TableHandbook[],3,FALSE)),"")</f>
        <v/>
      </c>
      <c r="D28" s="63" t="str">
        <f>IFERROR(IF(VLOOKUP($A28,TableHandbook[],4,FALSE)=0,"",VLOOKUP($A28,TableHandbook[],4,FALSE)),"")</f>
        <v/>
      </c>
      <c r="E28" s="60" t="str">
        <f>IF(OR(A28="",A28="--"),"",VLOOKUP($D$7,TableStudyPeriods[],4,FALSE))</f>
        <v/>
      </c>
      <c r="F28" s="57" t="str">
        <f>IFERROR(IF(VLOOKUP($A28,TableHandbook[],6,FALSE)=0,"",VLOOKUP($A28,TableHandbook[],6,FALSE)),"")</f>
        <v/>
      </c>
      <c r="G28" s="58" t="str">
        <f>IFERROR(IF(VLOOKUP($A28,TableHandbook[],5,FALSE)=0,"",VLOOKUP($A28,TableHandbook[],5,FALSE)),"")</f>
        <v/>
      </c>
      <c r="H28" s="70" t="str">
        <f>IFERROR(VLOOKUP($A28,TableHandbook[],H$2,FALSE),"")</f>
        <v/>
      </c>
      <c r="I28" s="60" t="str">
        <f>IFERROR(VLOOKUP($A28,TableHandbook[],I$2,FALSE),"")</f>
        <v/>
      </c>
      <c r="J28" s="60" t="str">
        <f>IFERROR(VLOOKUP($A28,TableHandbook[],J$2,FALSE),"")</f>
        <v/>
      </c>
      <c r="K28" s="185" t="str">
        <f>IFERROR(VLOOKUP($A28,TableHandbook[],K$2,FALSE),"")</f>
        <v/>
      </c>
      <c r="L28" s="62"/>
      <c r="M28" s="74">
        <v>14</v>
      </c>
      <c r="N28" s="27"/>
      <c r="O28" s="27"/>
      <c r="P28" s="28"/>
      <c r="Q28" s="28"/>
      <c r="R28" s="28"/>
      <c r="S28" s="28"/>
      <c r="T28" s="28"/>
      <c r="U28" s="28"/>
      <c r="V28" s="28"/>
      <c r="W28" s="28"/>
    </row>
    <row r="29" spans="1:23" s="29" customFormat="1" ht="21" customHeight="1" x14ac:dyDescent="0.15">
      <c r="A29" s="64" t="str">
        <f>IFERROR(IF(HLOOKUP($L$6,RangeUnitsetsECEPR,M29,FALSE)=0,"",HLOOKUP($L$6,RangeUnitsetsECEPR,M29,FALSE)),"")</f>
        <v/>
      </c>
      <c r="B29" s="60" t="str">
        <f>IFERROR(IF(VLOOKUP($A29,TableHandbook[],2,FALSE)=0,"",VLOOKUP($A29,TableHandbook[],2,FALSE)),"")</f>
        <v/>
      </c>
      <c r="C29" s="60" t="str">
        <f>IFERROR(IF(VLOOKUP($A29,TableHandbook[],3,FALSE)=0,"",VLOOKUP($A29,TableHandbook[],3,FALSE)),"")</f>
        <v/>
      </c>
      <c r="D29" s="63" t="str">
        <f>IFERROR(IF(VLOOKUP($A29,TableHandbook[],4,FALSE)=0,"",VLOOKUP($A29,TableHandbook[],4,FALSE)),"")</f>
        <v/>
      </c>
      <c r="E29" s="60" t="str">
        <f>IF(A29="","",E28)</f>
        <v/>
      </c>
      <c r="F29" s="57" t="str">
        <f>IFERROR(IF(VLOOKUP($A29,TableHandbook[],6,FALSE)=0,"",VLOOKUP($A29,TableHandbook[],6,FALSE)),"")</f>
        <v/>
      </c>
      <c r="G29" s="58" t="str">
        <f>IFERROR(IF(VLOOKUP($A29,TableHandbook[],5,FALSE)=0,"",VLOOKUP($A29,TableHandbook[],5,FALSE)),"")</f>
        <v/>
      </c>
      <c r="H29" s="70" t="str">
        <f>IFERROR(VLOOKUP($A29,TableHandbook[],H$2,FALSE),"")</f>
        <v/>
      </c>
      <c r="I29" s="60" t="str">
        <f>IFERROR(VLOOKUP($A29,TableHandbook[],I$2,FALSE),"")</f>
        <v/>
      </c>
      <c r="J29" s="60" t="str">
        <f>IFERROR(VLOOKUP($A29,TableHandbook[],J$2,FALSE),"")</f>
        <v/>
      </c>
      <c r="K29" s="185" t="str">
        <f>IFERROR(VLOOKUP($A29,TableHandbook[],K$2,FALSE),"")</f>
        <v/>
      </c>
      <c r="L29" s="62"/>
      <c r="M29" s="74">
        <v>15</v>
      </c>
      <c r="N29" s="27"/>
      <c r="O29" s="27"/>
      <c r="P29" s="28"/>
      <c r="Q29" s="28"/>
      <c r="R29" s="28"/>
      <c r="S29" s="28"/>
      <c r="T29" s="28"/>
      <c r="U29" s="28"/>
      <c r="V29" s="28"/>
      <c r="W29" s="28"/>
    </row>
    <row r="30" spans="1:23" s="38" customFormat="1" ht="4.5" customHeight="1" x14ac:dyDescent="0.15">
      <c r="A30" s="30"/>
      <c r="B30" s="31"/>
      <c r="C30" s="31"/>
      <c r="D30" s="32"/>
      <c r="E30" s="31"/>
      <c r="F30" s="33"/>
      <c r="G30" s="31"/>
      <c r="H30" s="134"/>
      <c r="I30" s="183"/>
      <c r="J30" s="183"/>
      <c r="K30" s="184"/>
      <c r="L30" s="34"/>
      <c r="M30" s="74"/>
      <c r="N30" s="36"/>
      <c r="O30" s="36"/>
      <c r="P30" s="37"/>
      <c r="Q30" s="37"/>
      <c r="R30" s="37"/>
      <c r="S30" s="37"/>
      <c r="T30" s="37"/>
      <c r="U30" s="37"/>
      <c r="V30" s="37"/>
      <c r="W30" s="37"/>
    </row>
    <row r="31" spans="1:23" s="38" customFormat="1" ht="21" customHeight="1" x14ac:dyDescent="0.15">
      <c r="A31" s="64" t="str">
        <f>IFERROR(IF(HLOOKUP($L$6,RangeUnitsetsECEPR,M31,FALSE)=0,"",HLOOKUP($L$6,RangeUnitsetsECEPR,M31,FALSE)),"")</f>
        <v/>
      </c>
      <c r="B31" s="60" t="str">
        <f>IFERROR(IF(VLOOKUP($A31,TableHandbook[],2,FALSE)=0,"",VLOOKUP($A31,TableHandbook[],2,FALSE)),"")</f>
        <v/>
      </c>
      <c r="C31" s="60" t="str">
        <f>IFERROR(IF(VLOOKUP($A31,TableHandbook[],3,FALSE)=0,"",VLOOKUP($A31,TableHandbook[],3,FALSE)),"")</f>
        <v/>
      </c>
      <c r="D31" s="63" t="str">
        <f>IFERROR(IF(VLOOKUP($A31,TableHandbook[],4,FALSE)=0,"",VLOOKUP($A31,TableHandbook[],4,FALSE)),"")</f>
        <v/>
      </c>
      <c r="E31" s="60" t="str">
        <f>IF(OR(A31="",A31="--"),"",VLOOKUP($D$7,TableStudyPeriods[],5,FALSE))</f>
        <v/>
      </c>
      <c r="F31" s="57" t="str">
        <f>IFERROR(IF(VLOOKUP($A31,TableHandbook[],6,FALSE)=0,"",VLOOKUP($A31,TableHandbook[],6,FALSE)),"")</f>
        <v/>
      </c>
      <c r="G31" s="58" t="str">
        <f>IFERROR(IF(VLOOKUP($A31,TableHandbook[],5,FALSE)=0,"",VLOOKUP($A31,TableHandbook[],5,FALSE)),"")</f>
        <v/>
      </c>
      <c r="H31" s="70" t="str">
        <f>IFERROR(VLOOKUP($A31,TableHandbook[],H$2,FALSE),"")</f>
        <v/>
      </c>
      <c r="I31" s="60" t="str">
        <f>IFERROR(VLOOKUP($A31,TableHandbook[],I$2,FALSE),"")</f>
        <v/>
      </c>
      <c r="J31" s="60" t="str">
        <f>IFERROR(VLOOKUP($A31,TableHandbook[],J$2,FALSE),"")</f>
        <v/>
      </c>
      <c r="K31" s="185" t="str">
        <f>IFERROR(VLOOKUP($A31,TableHandbook[],K$2,FALSE),"")</f>
        <v/>
      </c>
      <c r="L31" s="62"/>
      <c r="M31" s="74">
        <v>16</v>
      </c>
      <c r="N31" s="36"/>
      <c r="O31" s="36"/>
      <c r="P31" s="37"/>
      <c r="Q31" s="37"/>
      <c r="R31" s="37"/>
      <c r="S31" s="37"/>
      <c r="T31" s="37"/>
      <c r="U31" s="37"/>
      <c r="V31" s="37"/>
      <c r="W31" s="37"/>
    </row>
    <row r="32" spans="1:23" s="29" customFormat="1" ht="15" customHeight="1" x14ac:dyDescent="0.15">
      <c r="A32" s="235"/>
      <c r="B32" s="236"/>
      <c r="C32" s="236"/>
      <c r="D32" s="237"/>
      <c r="E32" s="236"/>
      <c r="F32" s="238"/>
      <c r="G32" s="235"/>
      <c r="H32" s="235"/>
      <c r="I32" s="235"/>
      <c r="J32" s="235"/>
      <c r="K32" s="235"/>
      <c r="L32" s="239"/>
      <c r="M32" s="74"/>
      <c r="N32" s="27"/>
      <c r="O32" s="27"/>
      <c r="P32" s="28"/>
      <c r="Q32" s="28"/>
      <c r="R32" s="28"/>
      <c r="S32" s="28"/>
      <c r="T32" s="28"/>
      <c r="U32" s="28"/>
      <c r="V32" s="28"/>
      <c r="W32" s="28"/>
    </row>
    <row r="33" spans="1:23" s="23" customFormat="1" ht="18" x14ac:dyDescent="0.25">
      <c r="A33" s="75" t="s">
        <v>32</v>
      </c>
      <c r="B33" s="75"/>
      <c r="C33" s="75"/>
      <c r="D33" s="75"/>
      <c r="E33" s="75"/>
      <c r="F33" s="75"/>
      <c r="G33" s="75"/>
      <c r="H33" s="75"/>
      <c r="I33" s="75"/>
      <c r="J33" s="75"/>
      <c r="K33" s="75"/>
      <c r="L33" s="75"/>
    </row>
    <row r="34" spans="1:23" s="45" customFormat="1" ht="17.25" x14ac:dyDescent="0.2">
      <c r="A34" s="39" t="s">
        <v>33</v>
      </c>
      <c r="B34" s="39"/>
      <c r="C34" s="39"/>
      <c r="D34" s="40"/>
      <c r="E34" s="40"/>
      <c r="F34" s="40"/>
      <c r="G34" s="40"/>
      <c r="H34" s="40"/>
      <c r="I34" s="40"/>
      <c r="J34" s="40"/>
      <c r="K34" s="40"/>
      <c r="L34" s="40"/>
      <c r="M34" s="43"/>
      <c r="N34" s="43"/>
      <c r="O34" s="43"/>
      <c r="P34" s="44"/>
      <c r="Q34" s="44"/>
      <c r="R34" s="44"/>
      <c r="S34" s="44"/>
      <c r="T34" s="44"/>
      <c r="U34" s="44"/>
      <c r="V34" s="44"/>
      <c r="W34" s="44"/>
    </row>
    <row r="35" spans="1:23" x14ac:dyDescent="0.25">
      <c r="A35" s="41" t="s">
        <v>34</v>
      </c>
      <c r="B35" s="41"/>
      <c r="C35" s="41"/>
      <c r="D35" s="41"/>
      <c r="E35" s="54"/>
      <c r="F35" s="42"/>
      <c r="G35" s="55"/>
      <c r="H35" s="55"/>
      <c r="I35" s="55"/>
      <c r="J35" s="55"/>
      <c r="K35" s="55"/>
      <c r="L35" s="55" t="s">
        <v>35</v>
      </c>
    </row>
  </sheetData>
  <sheetProtection formatCells="0"/>
  <mergeCells count="1">
    <mergeCell ref="A3:D3"/>
  </mergeCells>
  <conditionalFormatting sqref="D5:D7">
    <cfRule type="containsText" dxfId="347" priority="1" operator="containsText" text="Choose">
      <formula>NOT(ISERROR(SEARCH("Choose",D5)))</formula>
    </cfRule>
  </conditionalFormatting>
  <dataValidations count="1">
    <dataValidation type="list" allowBlank="1" showInputMessage="1" showErrorMessage="1" sqref="L27 L15 L12 L18 L24 L30"/>
  </dataValidations>
  <hyperlinks>
    <hyperlink ref="A34:L34"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7"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Unitsets!$A$22:$A$26</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59999389629810485"/>
    <pageSetUpPr fitToPage="1"/>
  </sheetPr>
  <dimension ref="A1:W36"/>
  <sheetViews>
    <sheetView showGridLines="0" topLeftCell="A3" workbookViewId="0">
      <selection activeCell="D7" sqref="D7"/>
    </sheetView>
  </sheetViews>
  <sheetFormatPr defaultColWidth="9" defaultRowHeight="15" x14ac:dyDescent="0.25"/>
  <cols>
    <col min="1" max="1" width="10.625" style="16" customWidth="1"/>
    <col min="2" max="2" width="3.25" style="16" customWidth="1"/>
    <col min="3" max="3" width="11.875" style="16" bestFit="1" customWidth="1"/>
    <col min="4" max="4" width="52.625" style="13" bestFit="1" customWidth="1"/>
    <col min="5" max="5" width="7.2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2"/>
      <c r="K1" s="11"/>
      <c r="L1" s="11" t="s">
        <v>7</v>
      </c>
    </row>
    <row r="2" spans="1:23" hidden="1" x14ac:dyDescent="0.25">
      <c r="A2" s="228"/>
      <c r="B2" s="228">
        <v>2</v>
      </c>
      <c r="C2" s="228">
        <v>3</v>
      </c>
      <c r="D2" s="228">
        <v>4</v>
      </c>
      <c r="E2" s="228"/>
      <c r="F2" s="228">
        <v>6</v>
      </c>
      <c r="G2" s="228">
        <v>5</v>
      </c>
      <c r="H2" s="228">
        <v>7</v>
      </c>
      <c r="I2" s="228">
        <v>8</v>
      </c>
      <c r="J2" s="228">
        <v>9</v>
      </c>
      <c r="K2" s="228">
        <v>10</v>
      </c>
      <c r="L2" s="260"/>
    </row>
    <row r="3" spans="1:23" ht="39.950000000000003" customHeight="1" x14ac:dyDescent="0.25">
      <c r="A3" s="428" t="s">
        <v>8</v>
      </c>
      <c r="B3" s="428"/>
      <c r="C3" s="428"/>
      <c r="D3" s="428"/>
      <c r="E3" s="135"/>
      <c r="F3" s="135"/>
      <c r="G3" s="135"/>
      <c r="H3" s="135"/>
      <c r="I3" s="135"/>
      <c r="J3" s="135"/>
      <c r="K3" s="135"/>
      <c r="L3" s="135"/>
    </row>
    <row r="4" spans="1:23" ht="25.5" x14ac:dyDescent="0.25">
      <c r="A4" s="14"/>
      <c r="B4" s="15"/>
      <c r="C4" s="15"/>
      <c r="D4" s="309" t="s">
        <v>9</v>
      </c>
      <c r="E4" s="265"/>
      <c r="F4" s="15"/>
      <c r="G4" s="72"/>
      <c r="H4" s="72"/>
      <c r="I4" s="72"/>
      <c r="J4" s="72"/>
      <c r="K4" s="72"/>
      <c r="L4" s="72"/>
    </row>
    <row r="5" spans="1:23" ht="20.100000000000001" customHeight="1" x14ac:dyDescent="0.25">
      <c r="B5" s="17"/>
      <c r="C5" s="190" t="s">
        <v>10</v>
      </c>
      <c r="D5" s="298" t="s">
        <v>37</v>
      </c>
      <c r="E5" s="18"/>
      <c r="F5" s="190" t="s">
        <v>12</v>
      </c>
      <c r="G5" s="18" t="str">
        <f>IFERROR(CONCATENATE(VLOOKUP(D5,TableCourses[],2,FALSE)," ",VLOOKUP(D5,TableCourses[],3,FALSE)),"")</f>
        <v>OM-EDUC v.2</v>
      </c>
      <c r="H5" s="18"/>
      <c r="I5" s="18"/>
      <c r="J5" s="18"/>
      <c r="K5" s="18"/>
      <c r="L5" s="19"/>
    </row>
    <row r="6" spans="1:23" ht="20.100000000000001" customHeight="1" x14ac:dyDescent="0.25">
      <c r="B6" s="17"/>
      <c r="C6" s="190" t="s">
        <v>38</v>
      </c>
      <c r="D6" s="170" t="s">
        <v>39</v>
      </c>
      <c r="E6" s="18"/>
      <c r="F6" s="190" t="s">
        <v>40</v>
      </c>
      <c r="G6" s="18" t="str">
        <f>IFERROR(CONCATENATE(VLOOKUP(D6,TableSpecialisationsOMEDUC[],2,FALSE)," ",VLOOKUP(D6,TableSpecialisationsOMEDUC[],3,FALSE)),"")</f>
        <v/>
      </c>
      <c r="H6" s="18"/>
      <c r="I6" s="18"/>
      <c r="J6" s="18"/>
      <c r="K6" s="18"/>
      <c r="L6" s="306" t="e">
        <f>CONCATENATE(VLOOKUP(D6,TableSpecialisationsOMEDUC[],2,FALSE),VLOOKUP(D7,TableStudyPeriods[],2,FALSE))</f>
        <v>#N/A</v>
      </c>
    </row>
    <row r="7" spans="1:23" ht="20.100000000000001" customHeight="1" x14ac:dyDescent="0.25">
      <c r="A7" s="20"/>
      <c r="B7" s="21"/>
      <c r="C7" s="190" t="s">
        <v>16</v>
      </c>
      <c r="D7" s="171" t="s">
        <v>17</v>
      </c>
      <c r="E7" s="22"/>
      <c r="F7" s="190" t="s">
        <v>18</v>
      </c>
      <c r="G7" s="18" t="str">
        <f>IFERROR(VLOOKUP($D$5,TableCourses[],4,FALSE),"")</f>
        <v>200 credit points required</v>
      </c>
      <c r="H7" s="76"/>
      <c r="I7" s="76"/>
      <c r="J7" s="76"/>
      <c r="K7" s="76"/>
      <c r="L7" s="76"/>
      <c r="M7" s="23"/>
      <c r="N7" s="23"/>
      <c r="O7" s="23"/>
      <c r="P7" s="23"/>
      <c r="Q7" s="23"/>
      <c r="R7" s="23"/>
      <c r="S7" s="23"/>
      <c r="T7" s="23"/>
      <c r="U7" s="23"/>
      <c r="V7" s="23"/>
      <c r="W7" s="23"/>
    </row>
    <row r="8" spans="1:23" s="26" customFormat="1" ht="14.1" customHeight="1" x14ac:dyDescent="0.25">
      <c r="A8" s="160"/>
      <c r="B8" s="160"/>
      <c r="C8" s="160"/>
      <c r="D8" s="161"/>
      <c r="E8" s="162"/>
      <c r="F8" s="160"/>
      <c r="G8" s="160"/>
      <c r="H8" s="163" t="s">
        <v>19</v>
      </c>
      <c r="I8" s="179"/>
      <c r="J8" s="179"/>
      <c r="K8" s="174"/>
      <c r="L8" s="165"/>
      <c r="M8" s="24"/>
      <c r="N8" s="24"/>
      <c r="O8" s="24"/>
      <c r="P8" s="25"/>
      <c r="Q8" s="25"/>
      <c r="R8" s="25"/>
      <c r="S8" s="25"/>
      <c r="T8" s="25"/>
      <c r="U8" s="25"/>
      <c r="V8" s="25"/>
      <c r="W8" s="25"/>
    </row>
    <row r="9" spans="1:23" s="26" customFormat="1" ht="21" x14ac:dyDescent="0.25">
      <c r="A9" s="160" t="s">
        <v>20</v>
      </c>
      <c r="B9" s="160"/>
      <c r="C9" s="160" t="s">
        <v>21</v>
      </c>
      <c r="D9" s="161" t="s">
        <v>3</v>
      </c>
      <c r="E9" s="186" t="s">
        <v>22</v>
      </c>
      <c r="F9" s="160" t="s">
        <v>41</v>
      </c>
      <c r="G9" s="160" t="s">
        <v>24</v>
      </c>
      <c r="H9" s="167" t="s">
        <v>25</v>
      </c>
      <c r="I9" s="180" t="s">
        <v>26</v>
      </c>
      <c r="J9" s="180" t="s">
        <v>27</v>
      </c>
      <c r="K9" s="181" t="s">
        <v>28</v>
      </c>
      <c r="L9" s="166" t="s">
        <v>29</v>
      </c>
      <c r="M9" s="24"/>
      <c r="N9" s="24"/>
      <c r="O9" s="24"/>
      <c r="P9" s="25"/>
      <c r="Q9" s="25"/>
      <c r="R9" s="25"/>
      <c r="S9" s="25"/>
      <c r="T9" s="25"/>
      <c r="U9" s="25"/>
      <c r="V9" s="25"/>
      <c r="W9" s="25"/>
    </row>
    <row r="10" spans="1:23" s="29" customFormat="1" ht="21" customHeight="1" x14ac:dyDescent="0.15">
      <c r="A10" s="64" t="str">
        <f>IFERROR(IF(HLOOKUP($L$6,RangeUnitsetsOMEDUC,M10,FALSE)=0,"",HLOOKUP($L$6,RangeUnitsetsOMEDUC,M10,FALSE)),"")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IF(OR(A10="",A10="--"),"",VLOOKUP($D$7,TableStudyPeriods[],2,FALSE))</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2</v>
      </c>
      <c r="N10" s="27"/>
      <c r="O10" s="27"/>
      <c r="P10" s="28"/>
      <c r="Q10" s="28"/>
      <c r="R10" s="28"/>
      <c r="S10" s="28"/>
      <c r="T10" s="28"/>
      <c r="U10" s="28"/>
      <c r="V10" s="28"/>
      <c r="W10" s="28"/>
    </row>
    <row r="11" spans="1:23" s="29" customFormat="1" ht="21" customHeight="1" x14ac:dyDescent="0.15">
      <c r="A11" s="64" t="str">
        <f>IFERROR(IF(HLOOKUP($L$6,RangeUnitsetsOMEDUC,M11,FALSE)=0,"",HLOOKUP($L$6,RangeUnitsetsOMEDUC,M11,FALSE)),"")</f>
        <v/>
      </c>
      <c r="B11" s="58" t="str">
        <f>IFERROR(IF(VLOOKUP($A11,TableHandbook[],2,FALSE)=0,"",VLOOKUP($A11,TableHandbook[],2,FALSE)),"")</f>
        <v/>
      </c>
      <c r="C11" s="58" t="str">
        <f>IFERROR(IF(VLOOKUP($A11,TableHandbook[],3,FALSE)=0,"",VLOOKUP($A11,TableHandbook[],3,FALSE)),"")</f>
        <v/>
      </c>
      <c r="D11" s="65" t="str">
        <f>IFERROR(IF(VLOOKUP($A11,TableHandbook[],4,FALSE)=0,"",VLOOKUP($A11,TableHandbook[],4,FALSE)),"")</f>
        <v/>
      </c>
      <c r="E11" s="58" t="str">
        <f>IF(A11="","",E10)</f>
        <v/>
      </c>
      <c r="F11" s="57" t="str">
        <f>IFERROR(IF(VLOOKUP($A11,TableHandbook[],6,FALSE)=0,"",VLOOKUP($A11,TableHandbook[],6,FALSE)),"")</f>
        <v/>
      </c>
      <c r="G11" s="58" t="str">
        <f>IFERROR(IF(VLOOKUP($A11,TableHandbook[],5,FALSE)=0,"",VLOOKUP($A11,TableHandbook[],5,FALSE)),"")</f>
        <v/>
      </c>
      <c r="H11" s="68" t="str">
        <f>IFERROR(VLOOKUP($A11,TableHandbook[],H$2,FALSE),"")</f>
        <v/>
      </c>
      <c r="I11" s="58" t="str">
        <f>IFERROR(VLOOKUP($A11,TableHandbook[],I$2,FALSE),"")</f>
        <v/>
      </c>
      <c r="J11" s="58" t="str">
        <f>IFERROR(VLOOKUP($A11,TableHandbook[],J$2,FALSE),"")</f>
        <v/>
      </c>
      <c r="K11" s="182" t="str">
        <f>IFERROR(VLOOKUP($A11,TableHandbook[],K$2,FALSE),"")</f>
        <v/>
      </c>
      <c r="L11" s="66"/>
      <c r="M11" s="226">
        <v>3</v>
      </c>
      <c r="N11" s="27"/>
      <c r="O11" s="27"/>
      <c r="P11" s="28"/>
      <c r="Q11" s="28"/>
      <c r="R11" s="28"/>
      <c r="S11" s="28"/>
      <c r="T11" s="28"/>
      <c r="U11" s="28"/>
      <c r="V11" s="28"/>
      <c r="W11" s="28"/>
    </row>
    <row r="12" spans="1:23" s="29" customFormat="1" ht="4.5" customHeight="1" x14ac:dyDescent="0.15">
      <c r="A12" s="284"/>
      <c r="B12" s="285"/>
      <c r="C12" s="285"/>
      <c r="D12" s="286"/>
      <c r="E12" s="285"/>
      <c r="F12" s="287"/>
      <c r="G12" s="285"/>
      <c r="H12" s="288"/>
      <c r="I12" s="289"/>
      <c r="J12" s="289"/>
      <c r="K12" s="290"/>
      <c r="L12" s="291"/>
      <c r="M12" s="226"/>
      <c r="N12" s="27"/>
      <c r="O12" s="27"/>
      <c r="P12" s="27"/>
      <c r="Q12" s="28"/>
      <c r="R12" s="28"/>
      <c r="S12" s="28"/>
      <c r="T12" s="28"/>
      <c r="U12" s="28"/>
      <c r="V12" s="28"/>
      <c r="W12" s="28"/>
    </row>
    <row r="13" spans="1:23" s="29" customFormat="1" ht="21" customHeight="1" x14ac:dyDescent="0.15">
      <c r="A13" s="64" t="str">
        <f>IFERROR(IF(HLOOKUP($L$6,RangeUnitsetsOMEDUC,M13,FALSE)=0,"",HLOOKUP($L$6,RangeUnitsetsOMEDUC,M13,FALSE)),"")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IF(OR(A13="",A13="--"),"",VLOOKUP($D$7,TableStudyPeriods[],3,FALSE))</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7"/>
      <c r="M13" s="226">
        <v>4</v>
      </c>
      <c r="N13" s="27"/>
      <c r="O13" s="27"/>
      <c r="P13" s="28"/>
      <c r="Q13" s="28"/>
      <c r="R13" s="28"/>
      <c r="S13" s="28"/>
      <c r="T13" s="28"/>
      <c r="U13" s="28"/>
      <c r="V13" s="28"/>
      <c r="W13" s="28"/>
    </row>
    <row r="14" spans="1:23" s="29" customFormat="1" ht="21" customHeight="1" x14ac:dyDescent="0.15">
      <c r="A14" s="64" t="str">
        <f>IFERROR(IF(HLOOKUP($L$6,RangeUnitsetsOMEDUC,M14,FALSE)=0,"",HLOOKUP($L$6,RangeUnitsetsOMEDUC,M14,FALSE)),"")</f>
        <v/>
      </c>
      <c r="B14" s="58" t="str">
        <f>IFERROR(IF(VLOOKUP($A14,TableHandbook[],2,FALSE)=0,"",VLOOKUP($A14,TableHandbook[],2,FALSE)),"")</f>
        <v/>
      </c>
      <c r="C14" s="58" t="str">
        <f>IFERROR(IF(VLOOKUP($A14,TableHandbook[],3,FALSE)=0,"",VLOOKUP($A14,TableHandbook[],3,FALSE)),"")</f>
        <v/>
      </c>
      <c r="D14" s="65" t="str">
        <f>IFERROR(IF(VLOOKUP($A14,TableHandbook[],4,FALSE)=0,"",VLOOKUP($A14,TableHandbook[],4,FALSE)),"")</f>
        <v/>
      </c>
      <c r="E14" s="58" t="str">
        <f>IF(A14="","",E13)</f>
        <v/>
      </c>
      <c r="F14" s="57" t="str">
        <f>IFERROR(IF(VLOOKUP($A14,TableHandbook[],6,FALSE)=0,"",VLOOKUP($A14,TableHandbook[],6,FALSE)),"")</f>
        <v/>
      </c>
      <c r="G14" s="58" t="str">
        <f>IFERROR(IF(VLOOKUP($A14,TableHandbook[],5,FALSE)=0,"",VLOOKUP($A14,TableHandbook[],5,FALSE)),"")</f>
        <v/>
      </c>
      <c r="H14" s="68" t="str">
        <f>IFERROR(VLOOKUP($A14,TableHandbook[],H$2,FALSE),"")</f>
        <v/>
      </c>
      <c r="I14" s="58" t="str">
        <f>IFERROR(VLOOKUP($A14,TableHandbook[],I$2,FALSE),"")</f>
        <v/>
      </c>
      <c r="J14" s="58" t="str">
        <f>IFERROR(VLOOKUP($A14,TableHandbook[],J$2,FALSE),"")</f>
        <v/>
      </c>
      <c r="K14" s="182" t="str">
        <f>IFERROR(VLOOKUP($A14,TableHandbook[],K$2,FALSE),"")</f>
        <v/>
      </c>
      <c r="L14" s="66"/>
      <c r="M14" s="226">
        <v>5</v>
      </c>
      <c r="N14" s="27"/>
      <c r="O14" s="27"/>
      <c r="P14" s="28"/>
      <c r="Q14" s="28"/>
      <c r="R14" s="28"/>
      <c r="S14" s="28"/>
      <c r="T14" s="28"/>
      <c r="U14" s="28"/>
      <c r="V14" s="28"/>
      <c r="W14" s="28"/>
    </row>
    <row r="15" spans="1:23" s="29" customFormat="1" ht="4.5" customHeight="1" x14ac:dyDescent="0.15">
      <c r="A15" s="284"/>
      <c r="B15" s="285"/>
      <c r="C15" s="285"/>
      <c r="D15" s="286"/>
      <c r="E15" s="285"/>
      <c r="F15" s="287"/>
      <c r="G15" s="285"/>
      <c r="H15" s="288"/>
      <c r="I15" s="289"/>
      <c r="J15" s="289"/>
      <c r="K15" s="290"/>
      <c r="L15" s="291"/>
      <c r="M15" s="226"/>
      <c r="N15" s="27"/>
      <c r="O15" s="27"/>
      <c r="P15" s="27"/>
      <c r="Q15" s="28"/>
      <c r="R15" s="28"/>
      <c r="S15" s="28"/>
      <c r="T15" s="28"/>
      <c r="U15" s="28"/>
      <c r="V15" s="28"/>
      <c r="W15" s="28"/>
    </row>
    <row r="16" spans="1:23" s="29" customFormat="1" ht="21" customHeight="1" x14ac:dyDescent="0.15">
      <c r="A16" s="64" t="str">
        <f>IFERROR(IF(HLOOKUP($L$6,RangeUnitsetsOMEDUC,M16,FALSE)=0,"",HLOOKUP($L$6,RangeUnitsetsOMEDUC,M16,FALSE)),"")</f>
        <v/>
      </c>
      <c r="B16" s="60" t="str">
        <f>IFERROR(IF(VLOOKUP($A16,TableHandbook[],2,FALSE)=0,"",VLOOKUP($A16,TableHandbook[],2,FALSE)),"")</f>
        <v/>
      </c>
      <c r="C16" s="60" t="str">
        <f>IFERROR(IF(VLOOKUP($A16,TableHandbook[],3,FALSE)=0,"",VLOOKUP($A16,TableHandbook[],3,FALSE)),"")</f>
        <v/>
      </c>
      <c r="D16" s="65" t="str">
        <f>IFERROR(IF(VLOOKUP($A16,TableHandbook[],4,FALSE)=0,"",VLOOKUP($A16,TableHandbook[],4,FALSE)),"")</f>
        <v/>
      </c>
      <c r="E16" s="58" t="str">
        <f>IF(OR(A16="",A16="--"),"",VLOOKUP($D$7,TableStudyPeriods[],4,FALSE))</f>
        <v/>
      </c>
      <c r="F16" s="57" t="str">
        <f>IFERROR(IF(VLOOKUP($A16,TableHandbook[],6,FALSE)=0,"",VLOOKUP($A16,TableHandbook[],6,FALSE)),"")</f>
        <v/>
      </c>
      <c r="G16" s="60" t="str">
        <f>IFERROR(IF(VLOOKUP($A16,TableHandbook[],5,FALSE)=0,"",VLOOKUP($A16,TableHandbook[],5,FALSE)),"")</f>
        <v/>
      </c>
      <c r="H16" s="70" t="str">
        <f>IFERROR(VLOOKUP($A16,TableHandbook[],H$2,FALSE),"")</f>
        <v/>
      </c>
      <c r="I16" s="60" t="str">
        <f>IFERROR(VLOOKUP($A16,TableHandbook[],I$2,FALSE),"")</f>
        <v/>
      </c>
      <c r="J16" s="60" t="str">
        <f>IFERROR(VLOOKUP($A16,TableHandbook[],J$2,FALSE),"")</f>
        <v/>
      </c>
      <c r="K16" s="185" t="str">
        <f>IFERROR(VLOOKUP($A16,TableHandbook[],K$2,FALSE),"")</f>
        <v/>
      </c>
      <c r="L16" s="67"/>
      <c r="M16" s="226">
        <v>6</v>
      </c>
      <c r="N16" s="27"/>
      <c r="O16" s="27"/>
      <c r="P16" s="28"/>
      <c r="Q16" s="28"/>
      <c r="R16" s="28"/>
      <c r="S16" s="28"/>
      <c r="T16" s="28"/>
      <c r="U16" s="28"/>
      <c r="V16" s="28"/>
      <c r="W16" s="28"/>
    </row>
    <row r="17" spans="1:23" s="38" customFormat="1" ht="21" customHeight="1" x14ac:dyDescent="0.15">
      <c r="A17" s="64" t="str">
        <f>IFERROR(IF(HLOOKUP($L$6,RangeUnitsetsOMEDUC,M17,FALSE)=0,"",HLOOKUP($L$6,RangeUnitsetsOMEDUC,M17,FALSE)),"")</f>
        <v/>
      </c>
      <c r="B17" s="60" t="str">
        <f>IFERROR(IF(VLOOKUP($A17,TableHandbook[],2,FALSE)=0,"",VLOOKUP($A17,TableHandbook[],2,FALSE)),"")</f>
        <v/>
      </c>
      <c r="C17" s="60" t="str">
        <f>IFERROR(IF(VLOOKUP($A17,TableHandbook[],3,FALSE)=0,"",VLOOKUP($A17,TableHandbook[],3,FALSE)),"")</f>
        <v/>
      </c>
      <c r="D17" s="65" t="str">
        <f>IFERROR(IF(VLOOKUP($A17,TableHandbook[],4,FALSE)=0,"",VLOOKUP($A17,TableHandbook[],4,FALSE)),"")</f>
        <v/>
      </c>
      <c r="E17" s="58" t="str">
        <f>IF(A17="","",E16)</f>
        <v/>
      </c>
      <c r="F17" s="57" t="str">
        <f>IFERROR(IF(VLOOKUP($A17,TableHandbook[],6,FALSE)=0,"",VLOOKUP($A17,TableHandbook[],6,FALSE)),"")</f>
        <v/>
      </c>
      <c r="G17" s="60" t="str">
        <f>IFERROR(IF(VLOOKUP($A17,TableHandbook[],5,FALSE)=0,"",VLOOKUP($A17,TableHandbook[],5,FALSE)),"")</f>
        <v/>
      </c>
      <c r="H17" s="70" t="str">
        <f>IFERROR(VLOOKUP($A17,TableHandbook[],H$2,FALSE),"")</f>
        <v/>
      </c>
      <c r="I17" s="60" t="str">
        <f>IFERROR(VLOOKUP($A17,TableHandbook[],I$2,FALSE),"")</f>
        <v/>
      </c>
      <c r="J17" s="60" t="str">
        <f>IFERROR(VLOOKUP($A17,TableHandbook[],J$2,FALSE),"")</f>
        <v/>
      </c>
      <c r="K17" s="185" t="str">
        <f>IFERROR(VLOOKUP($A17,TableHandbook[],K$2,FALSE),"")</f>
        <v/>
      </c>
      <c r="L17" s="67"/>
      <c r="M17" s="226">
        <v>7</v>
      </c>
      <c r="N17" s="36"/>
      <c r="O17" s="36"/>
      <c r="P17" s="37"/>
      <c r="Q17" s="37"/>
      <c r="R17" s="37"/>
      <c r="S17" s="37"/>
      <c r="T17" s="37"/>
      <c r="U17" s="37"/>
      <c r="V17" s="37"/>
      <c r="W17" s="37"/>
    </row>
    <row r="18" spans="1:23" s="29" customFormat="1" ht="4.5" customHeight="1" x14ac:dyDescent="0.15">
      <c r="A18" s="284"/>
      <c r="B18" s="285"/>
      <c r="C18" s="285"/>
      <c r="D18" s="286"/>
      <c r="E18" s="285"/>
      <c r="F18" s="287"/>
      <c r="G18" s="285"/>
      <c r="H18" s="288"/>
      <c r="I18" s="289"/>
      <c r="J18" s="289"/>
      <c r="K18" s="290"/>
      <c r="L18" s="291"/>
      <c r="M18" s="226"/>
      <c r="N18" s="27"/>
      <c r="O18" s="27"/>
      <c r="P18" s="27"/>
      <c r="Q18" s="28"/>
      <c r="R18" s="28"/>
      <c r="S18" s="28"/>
      <c r="T18" s="28"/>
      <c r="U18" s="28"/>
      <c r="V18" s="28"/>
      <c r="W18" s="28"/>
    </row>
    <row r="19" spans="1:23" s="38" customFormat="1" ht="21" customHeight="1" x14ac:dyDescent="0.15">
      <c r="A19" s="64" t="str">
        <f>IFERROR(IF(HLOOKUP($L$6,RangeUnitsetsOMEDUC,M19,FALSE)=0,"",HLOOKUP($L$6,RangeUnitsetsOMEDUC,M19,FALSE)),"")</f>
        <v/>
      </c>
      <c r="B19" s="60" t="str">
        <f>IFERROR(IF(VLOOKUP($A19,TableHandbook[],2,FALSE)=0,"",VLOOKUP($A19,TableHandbook[],2,FALSE)),"")</f>
        <v/>
      </c>
      <c r="C19" s="60" t="str">
        <f>IFERROR(IF(VLOOKUP($A19,TableHandbook[],3,FALSE)=0,"",VLOOKUP($A19,TableHandbook[],3,FALSE)),"")</f>
        <v/>
      </c>
      <c r="D19" s="65" t="str">
        <f>IFERROR(IF(VLOOKUP($A19,TableHandbook[],4,FALSE)=0,"",VLOOKUP($A19,TableHandbook[],4,FALSE)),"")</f>
        <v/>
      </c>
      <c r="E19" s="58" t="str">
        <f>IF(OR(A19="",A19="--"),"",VLOOKUP($D$7,TableStudyPeriods[],5,FALSE))</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185" t="str">
        <f>IFERROR(VLOOKUP($A19,TableHandbook[],K$2,FALSE),"")</f>
        <v/>
      </c>
      <c r="L19" s="67"/>
      <c r="M19" s="226">
        <v>8</v>
      </c>
      <c r="N19" s="36"/>
      <c r="O19" s="36"/>
      <c r="P19" s="37"/>
      <c r="Q19" s="37"/>
      <c r="R19" s="37"/>
      <c r="S19" s="37"/>
      <c r="T19" s="37"/>
      <c r="U19" s="37"/>
      <c r="V19" s="37"/>
      <c r="W19" s="37"/>
    </row>
    <row r="20" spans="1:23" s="38" customFormat="1" ht="21" customHeight="1" x14ac:dyDescent="0.15">
      <c r="A20" s="64" t="str">
        <f>IFERROR(IF(HLOOKUP($L$6,RangeUnitsetsOMEDUC,M20,FALSE)=0,"",HLOOKUP($L$6,RangeUnitsetsOMEDUC,M20,FALSE)),"")</f>
        <v/>
      </c>
      <c r="B20" s="60" t="str">
        <f>IFERROR(IF(VLOOKUP($A20,TableHandbook[],2,FALSE)=0,"",VLOOKUP($A20,TableHandbook[],2,FALSE)),"")</f>
        <v/>
      </c>
      <c r="C20" s="60" t="str">
        <f>IFERROR(IF(VLOOKUP($A20,TableHandbook[],3,FALSE)=0,"",VLOOKUP($A20,TableHandbook[],3,FALSE)),"")</f>
        <v/>
      </c>
      <c r="D20" s="63" t="str">
        <f>IFERROR(IF(VLOOKUP($A20,TableHandbook[],4,FALSE)=0,"",VLOOKUP($A20,TableHandbook[],4,FALSE)),"")</f>
        <v/>
      </c>
      <c r="E20" s="60" t="str">
        <f>IF(A20="","",E19)</f>
        <v/>
      </c>
      <c r="F20" s="57" t="str">
        <f>IFERROR(IF(VLOOKUP($A20,TableHandbook[],6,FALSE)=0,"",VLOOKUP($A20,TableHandbook[],6,FALSE)),"")</f>
        <v/>
      </c>
      <c r="G20" s="60" t="str">
        <f>IFERROR(IF(VLOOKUP($A20,TableHandbook[],5,FALSE)=0,"",VLOOKUP($A20,TableHandbook[],5,FALSE)),"")</f>
        <v/>
      </c>
      <c r="H20" s="70" t="str">
        <f>IFERROR(VLOOKUP($A20,TableHandbook[],H$2,FALSE),"")</f>
        <v/>
      </c>
      <c r="I20" s="60" t="str">
        <f>IFERROR(VLOOKUP($A20,TableHandbook[],I$2,FALSE),"")</f>
        <v/>
      </c>
      <c r="J20" s="60" t="str">
        <f>IFERROR(VLOOKUP($A20,TableHandbook[],J$2,FALSE),"")</f>
        <v/>
      </c>
      <c r="K20" s="185" t="str">
        <f>IFERROR(VLOOKUP($A20,TableHandbook[],K$2,FALSE),"")</f>
        <v/>
      </c>
      <c r="L20" s="67"/>
      <c r="M20" s="226">
        <v>9</v>
      </c>
      <c r="N20" s="36"/>
      <c r="O20" s="36"/>
      <c r="P20" s="37"/>
      <c r="Q20" s="37"/>
      <c r="R20" s="37"/>
      <c r="S20" s="37"/>
      <c r="T20" s="37"/>
      <c r="U20" s="37"/>
      <c r="V20" s="37"/>
      <c r="W20" s="37"/>
    </row>
    <row r="21" spans="1:23" s="29" customFormat="1" ht="15" customHeight="1" x14ac:dyDescent="0.15">
      <c r="A21" s="235"/>
      <c r="B21" s="236"/>
      <c r="C21" s="236"/>
      <c r="D21" s="237"/>
      <c r="E21" s="236"/>
      <c r="F21" s="238"/>
      <c r="G21" s="235"/>
      <c r="H21" s="235"/>
      <c r="I21" s="235"/>
      <c r="J21" s="235"/>
      <c r="K21" s="235"/>
      <c r="L21" s="239"/>
      <c r="M21" s="226"/>
      <c r="N21" s="27"/>
      <c r="O21" s="27"/>
      <c r="P21" s="28"/>
      <c r="Q21" s="28"/>
      <c r="R21" s="28"/>
      <c r="S21" s="28"/>
      <c r="T21" s="28"/>
      <c r="U21" s="28"/>
      <c r="V21" s="28"/>
      <c r="W21" s="28"/>
    </row>
    <row r="22" spans="1:23" s="49" customFormat="1" ht="17.25" x14ac:dyDescent="0.25">
      <c r="A22" s="259" t="s">
        <v>42</v>
      </c>
      <c r="B22" s="136"/>
      <c r="C22" s="136"/>
      <c r="D22" s="137"/>
      <c r="E22" s="138"/>
      <c r="F22" s="138"/>
      <c r="G22" s="138"/>
      <c r="H22" s="139" t="s">
        <v>19</v>
      </c>
      <c r="I22" s="140"/>
      <c r="J22" s="141"/>
      <c r="K22" s="142"/>
      <c r="L22" s="143"/>
      <c r="M22" s="253"/>
      <c r="N22" s="48"/>
      <c r="O22" s="48"/>
      <c r="P22" s="48"/>
      <c r="Q22" s="48"/>
      <c r="R22" s="48"/>
      <c r="S22" s="48"/>
      <c r="T22" s="48"/>
      <c r="U22" s="48"/>
      <c r="V22" s="48"/>
      <c r="W22" s="48"/>
    </row>
    <row r="23" spans="1:23" ht="21" customHeight="1" x14ac:dyDescent="0.25">
      <c r="A23" s="160"/>
      <c r="B23" s="160"/>
      <c r="C23" s="186" t="s">
        <v>21</v>
      </c>
      <c r="D23" s="161" t="s">
        <v>3</v>
      </c>
      <c r="E23" s="186"/>
      <c r="F23" s="160" t="s">
        <v>41</v>
      </c>
      <c r="G23" s="160" t="s">
        <v>24</v>
      </c>
      <c r="H23" s="167" t="s">
        <v>25</v>
      </c>
      <c r="I23" s="180" t="s">
        <v>26</v>
      </c>
      <c r="J23" s="180" t="s">
        <v>27</v>
      </c>
      <c r="K23" s="168" t="s">
        <v>28</v>
      </c>
      <c r="L23" s="166" t="s">
        <v>29</v>
      </c>
      <c r="M23" s="226"/>
      <c r="N23" s="23"/>
      <c r="O23" s="23"/>
      <c r="P23" s="23"/>
      <c r="Q23" s="23"/>
      <c r="R23" s="23"/>
      <c r="S23" s="23"/>
      <c r="T23" s="23"/>
      <c r="U23" s="23"/>
      <c r="V23" s="23"/>
      <c r="W23" s="23"/>
    </row>
    <row r="24" spans="1:23" ht="21" customHeight="1" x14ac:dyDescent="0.25">
      <c r="A24" s="233" t="str">
        <f t="shared" ref="A24:A32" si="0">IFERROR(IF(HLOOKUP($L$6,RangeUnitsetsOMEDUC,M24,FALSE)=0,"",HLOOKUP($L$6,RangeUnitsetsOMEDUC,M24,FALSE)),"")</f>
        <v/>
      </c>
      <c r="B24" s="295" t="str">
        <f>IFERROR(IF(VLOOKUP($A24,TableHandbook[],2,FALSE)=0,"",VLOOKUP($A24,TableHandbook[],2,FALSE)),"")</f>
        <v/>
      </c>
      <c r="C24" s="295" t="str">
        <f>IFERROR(IF(VLOOKUP($A24,TableHandbook[],3,FALSE)=0,"",VLOOKUP($A24,TableHandbook[],3,FALSE)),"")</f>
        <v/>
      </c>
      <c r="D24" s="51" t="str">
        <f>IFERROR(IF(VLOOKUP($A24,TableHandbook[],4,FALSE)=0,"",VLOOKUP($A24,TableHandbook[],4,FALSE)),"")</f>
        <v/>
      </c>
      <c r="E24" s="52"/>
      <c r="F24" s="53" t="str">
        <f>IFERROR(IF(VLOOKUP($A24,TableHandbook[],6,FALSE)=0,"",VLOOKUP($A24,TableHandbook[],6,FALSE)),"")</f>
        <v/>
      </c>
      <c r="G24" s="53" t="str">
        <f>IFERROR(IF(VLOOKUP($A24,TableHandbook[],5,FALSE)=0,"",VLOOKUP($A24,TableHandbook[],5,FALSE)),"")</f>
        <v/>
      </c>
      <c r="H24" s="70" t="str">
        <f>IFERROR(VLOOKUP($A24,TableHandbook[],H$2,FALSE),"")</f>
        <v/>
      </c>
      <c r="I24" s="60" t="str">
        <f>IFERROR(VLOOKUP($A24,TableHandbook[],I$2,FALSE),"")</f>
        <v/>
      </c>
      <c r="J24" s="60" t="str">
        <f>IFERROR(VLOOKUP($A24,TableHandbook[],J$2,FALSE),"")</f>
        <v/>
      </c>
      <c r="K24" s="71" t="str">
        <f>IFERROR(VLOOKUP($A24,TableHandbook[],K$2,FALSE),"")</f>
        <v/>
      </c>
      <c r="L24" s="59"/>
      <c r="M24" s="226">
        <v>10</v>
      </c>
      <c r="N24" s="23"/>
      <c r="O24" s="23"/>
      <c r="P24" s="23"/>
      <c r="Q24" s="23"/>
      <c r="R24" s="23"/>
      <c r="S24" s="23"/>
      <c r="T24" s="23"/>
      <c r="U24" s="23"/>
      <c r="V24" s="23"/>
      <c r="W24" s="23"/>
    </row>
    <row r="25" spans="1:23" ht="21" customHeight="1" x14ac:dyDescent="0.25">
      <c r="A25" s="233" t="str">
        <f t="shared" si="0"/>
        <v/>
      </c>
      <c r="B25" s="295" t="str">
        <f>IFERROR(IF(VLOOKUP($A25,TableHandbook[],2,FALSE)=0,"",VLOOKUP($A25,TableHandbook[],2,FALSE)),"")</f>
        <v/>
      </c>
      <c r="C25" s="295" t="str">
        <f>IFERROR(IF(VLOOKUP($A25,TableHandbook[],3,FALSE)=0,"",VLOOKUP($A25,TableHandbook[],3,FALSE)),"")</f>
        <v/>
      </c>
      <c r="D25" s="51" t="str">
        <f>IFERROR(IF(VLOOKUP($A25,TableHandbook[],4,FALSE)=0,"",VLOOKUP($A25,TableHandbook[],4,FALSE)),"")</f>
        <v/>
      </c>
      <c r="E25" s="52"/>
      <c r="F25" s="53" t="str">
        <f>IFERROR(IF(VLOOKUP($A25,TableHandbook[],6,FALSE)=0,"",VLOOKUP($A25,TableHandbook[],6,FALSE)),"")</f>
        <v/>
      </c>
      <c r="G25" s="53" t="str">
        <f>IFERROR(IF(VLOOKUP($A25,TableHandbook[],5,FALSE)=0,"",VLOOKUP($A25,TableHandbook[],5,FALSE)),"")</f>
        <v/>
      </c>
      <c r="H25" s="68" t="str">
        <f>IFERROR(VLOOKUP($A25,TableHandbook[],H$2,FALSE),"")</f>
        <v/>
      </c>
      <c r="I25" s="58" t="str">
        <f>IFERROR(VLOOKUP($A25,TableHandbook[],I$2,FALSE),"")</f>
        <v/>
      </c>
      <c r="J25" s="58" t="str">
        <f>IFERROR(VLOOKUP($A25,TableHandbook[],J$2,FALSE),"")</f>
        <v/>
      </c>
      <c r="K25" s="69" t="str">
        <f>IFERROR(VLOOKUP($A25,TableHandbook[],K$2,FALSE),"")</f>
        <v/>
      </c>
      <c r="L25" s="59"/>
      <c r="M25" s="226">
        <v>11</v>
      </c>
      <c r="N25" s="23"/>
      <c r="O25" s="23"/>
      <c r="P25" s="23"/>
      <c r="Q25" s="23"/>
      <c r="R25" s="23"/>
      <c r="S25" s="23"/>
      <c r="T25" s="23"/>
      <c r="U25" s="23"/>
      <c r="V25" s="23"/>
      <c r="W25" s="23"/>
    </row>
    <row r="26" spans="1:23" ht="21" customHeight="1" x14ac:dyDescent="0.25">
      <c r="A26" s="233" t="str">
        <f t="shared" si="0"/>
        <v/>
      </c>
      <c r="B26" s="295" t="str">
        <f>IFERROR(IF(VLOOKUP($A26,TableHandbook[],2,FALSE)=0,"",VLOOKUP($A26,TableHandbook[],2,FALSE)),"")</f>
        <v/>
      </c>
      <c r="C26" s="295" t="str">
        <f>IFERROR(IF(VLOOKUP($A26,TableHandbook[],3,FALSE)=0,"",VLOOKUP($A26,TableHandbook[],3,FALSE)),"")</f>
        <v/>
      </c>
      <c r="D26" s="51" t="str">
        <f>IFERROR(IF(VLOOKUP($A26,TableHandbook[],4,FALSE)=0,"",VLOOKUP($A26,TableHandbook[],4,FALSE)),"")</f>
        <v/>
      </c>
      <c r="E26" s="52"/>
      <c r="F26" s="53" t="str">
        <f>IFERROR(IF(VLOOKUP($A26,TableHandbook[],6,FALSE)=0,"",VLOOKUP($A26,TableHandbook[],6,FALSE)),"")</f>
        <v/>
      </c>
      <c r="G26" s="53" t="str">
        <f>IFERROR(IF(VLOOKUP($A26,TableHandbook[],5,FALSE)=0,"",VLOOKUP($A26,TableHandbook[],5,FALSE)),"")</f>
        <v/>
      </c>
      <c r="H26" s="68" t="str">
        <f>IFERROR(VLOOKUP($A26,TableHandbook[],H$2,FALSE),"")</f>
        <v/>
      </c>
      <c r="I26" s="58" t="str">
        <f>IFERROR(VLOOKUP($A26,TableHandbook[],I$2,FALSE),"")</f>
        <v/>
      </c>
      <c r="J26" s="58" t="str">
        <f>IFERROR(VLOOKUP($A26,TableHandbook[],J$2,FALSE),"")</f>
        <v/>
      </c>
      <c r="K26" s="69" t="str">
        <f>IFERROR(VLOOKUP($A26,TableHandbook[],K$2,FALSE),"")</f>
        <v/>
      </c>
      <c r="L26" s="59"/>
      <c r="M26" s="226">
        <v>12</v>
      </c>
      <c r="N26" s="23"/>
      <c r="O26" s="23"/>
      <c r="P26" s="23"/>
      <c r="Q26" s="23"/>
      <c r="R26" s="23"/>
      <c r="S26" s="23"/>
      <c r="T26" s="23"/>
      <c r="U26" s="23"/>
      <c r="V26" s="23"/>
      <c r="W26" s="23"/>
    </row>
    <row r="27" spans="1:23" ht="21" customHeight="1" x14ac:dyDescent="0.25">
      <c r="A27" s="233" t="str">
        <f t="shared" si="0"/>
        <v/>
      </c>
      <c r="B27" s="295" t="str">
        <f>IFERROR(IF(VLOOKUP($A27,TableHandbook[],2,FALSE)=0,"",VLOOKUP($A27,TableHandbook[],2,FALSE)),"")</f>
        <v/>
      </c>
      <c r="C27" s="295" t="str">
        <f>IFERROR(IF(VLOOKUP($A27,TableHandbook[],3,FALSE)=0,"",VLOOKUP($A27,TableHandbook[],3,FALSE)),"")</f>
        <v/>
      </c>
      <c r="D27" s="51" t="str">
        <f>IFERROR(IF(VLOOKUP($A27,TableHandbook[],4,FALSE)=0,"",VLOOKUP($A27,TableHandbook[],4,FALSE)),"")</f>
        <v/>
      </c>
      <c r="E27" s="52"/>
      <c r="F27" s="53" t="str">
        <f>IFERROR(IF(VLOOKUP($A27,TableHandbook[],6,FALSE)=0,"",VLOOKUP($A27,TableHandbook[],6,FALSE)),"")</f>
        <v/>
      </c>
      <c r="G27" s="53" t="str">
        <f>IFERROR(IF(VLOOKUP($A27,TableHandbook[],5,FALSE)=0,"",VLOOKUP($A27,TableHandbook[],5,FALSE)),"")</f>
        <v/>
      </c>
      <c r="H27" s="68" t="str">
        <f>IFERROR(VLOOKUP($A27,TableHandbook[],H$2,FALSE),"")</f>
        <v/>
      </c>
      <c r="I27" s="58" t="str">
        <f>IFERROR(VLOOKUP($A27,TableHandbook[],I$2,FALSE),"")</f>
        <v/>
      </c>
      <c r="J27" s="58" t="str">
        <f>IFERROR(VLOOKUP($A27,TableHandbook[],J$2,FALSE),"")</f>
        <v/>
      </c>
      <c r="K27" s="69" t="str">
        <f>IFERROR(VLOOKUP($A27,TableHandbook[],K$2,FALSE),"")</f>
        <v/>
      </c>
      <c r="L27" s="59"/>
      <c r="M27" s="226">
        <v>13</v>
      </c>
      <c r="N27" s="23"/>
      <c r="O27" s="23"/>
      <c r="P27" s="23"/>
      <c r="Q27" s="23"/>
      <c r="R27" s="23"/>
      <c r="S27" s="23"/>
      <c r="T27" s="23"/>
      <c r="U27" s="23"/>
      <c r="V27" s="23"/>
      <c r="W27" s="23"/>
    </row>
    <row r="28" spans="1:23" ht="21" customHeight="1" x14ac:dyDescent="0.25">
      <c r="A28" s="233" t="str">
        <f t="shared" si="0"/>
        <v/>
      </c>
      <c r="B28" s="295" t="str">
        <f>IFERROR(IF(VLOOKUP($A28,TableHandbook[],2,FALSE)=0,"",VLOOKUP($A28,TableHandbook[],2,FALSE)),"")</f>
        <v/>
      </c>
      <c r="C28" s="295" t="str">
        <f>IFERROR(IF(VLOOKUP($A28,TableHandbook[],3,FALSE)=0,"",VLOOKUP($A28,TableHandbook[],3,FALSE)),"")</f>
        <v/>
      </c>
      <c r="D28" s="51" t="str">
        <f>IFERROR(IF(VLOOKUP($A28,TableHandbook[],4,FALSE)=0,"",VLOOKUP($A28,TableHandbook[],4,FALSE)),"")</f>
        <v/>
      </c>
      <c r="E28" s="52"/>
      <c r="F28" s="53" t="str">
        <f>IFERROR(IF(VLOOKUP($A28,TableHandbook[],6,FALSE)=0,"",VLOOKUP($A28,TableHandbook[],6,FALSE)),"")</f>
        <v/>
      </c>
      <c r="G28" s="53" t="str">
        <f>IFERROR(IF(VLOOKUP($A28,TableHandbook[],5,FALSE)=0,"",VLOOKUP($A28,TableHandbook[],5,FALSE)),"")</f>
        <v/>
      </c>
      <c r="H28" s="70" t="str">
        <f>IFERROR(VLOOKUP($A28,TableHandbook[],H$2,FALSE),"")</f>
        <v/>
      </c>
      <c r="I28" s="60" t="str">
        <f>IFERROR(VLOOKUP($A28,TableHandbook[],I$2,FALSE),"")</f>
        <v/>
      </c>
      <c r="J28" s="60" t="str">
        <f>IFERROR(VLOOKUP($A28,TableHandbook[],J$2,FALSE),"")</f>
        <v/>
      </c>
      <c r="K28" s="71" t="str">
        <f>IFERROR(VLOOKUP($A28,TableHandbook[],K$2,FALSE),"")</f>
        <v/>
      </c>
      <c r="L28" s="59"/>
      <c r="M28" s="226">
        <v>14</v>
      </c>
      <c r="N28" s="23"/>
      <c r="O28" s="23"/>
      <c r="P28" s="23"/>
      <c r="Q28" s="23"/>
      <c r="R28" s="23"/>
      <c r="S28" s="23"/>
      <c r="T28" s="23"/>
      <c r="U28" s="23"/>
      <c r="V28" s="23"/>
      <c r="W28" s="23"/>
    </row>
    <row r="29" spans="1:23" ht="21" customHeight="1" x14ac:dyDescent="0.25">
      <c r="A29" s="233" t="str">
        <f t="shared" si="0"/>
        <v/>
      </c>
      <c r="B29" s="295" t="str">
        <f>IFERROR(IF(VLOOKUP($A29,TableHandbook[],2,FALSE)=0,"",VLOOKUP($A29,TableHandbook[],2,FALSE)),"")</f>
        <v/>
      </c>
      <c r="C29" s="295" t="str">
        <f>IFERROR(IF(VLOOKUP($A29,TableHandbook[],3,FALSE)=0,"",VLOOKUP($A29,TableHandbook[],3,FALSE)),"")</f>
        <v/>
      </c>
      <c r="D29" s="51" t="str">
        <f>IFERROR(IF(VLOOKUP($A29,TableHandbook[],4,FALSE)=0,"",VLOOKUP($A29,TableHandbook[],4,FALSE)),"")</f>
        <v/>
      </c>
      <c r="E29" s="52"/>
      <c r="F29" s="53" t="str">
        <f>IFERROR(IF(VLOOKUP($A29,TableHandbook[],6,FALSE)=0,"",VLOOKUP($A29,TableHandbook[],6,FALSE)),"")</f>
        <v/>
      </c>
      <c r="G29" s="53" t="str">
        <f>IFERROR(IF(VLOOKUP($A29,TableHandbook[],5,FALSE)=0,"",VLOOKUP($A29,TableHandbook[],5,FALSE)),"")</f>
        <v/>
      </c>
      <c r="H29" s="70" t="str">
        <f>IFERROR(VLOOKUP($A29,TableHandbook[],H$2,FALSE),"")</f>
        <v/>
      </c>
      <c r="I29" s="60" t="str">
        <f>IFERROR(VLOOKUP($A29,TableHandbook[],I$2,FALSE),"")</f>
        <v/>
      </c>
      <c r="J29" s="60" t="str">
        <f>IFERROR(VLOOKUP($A29,TableHandbook[],J$2,FALSE),"")</f>
        <v/>
      </c>
      <c r="K29" s="71" t="str">
        <f>IFERROR(VLOOKUP($A29,TableHandbook[],K$2,FALSE),"")</f>
        <v/>
      </c>
      <c r="L29" s="59"/>
      <c r="M29" s="226">
        <v>15</v>
      </c>
      <c r="N29" s="23"/>
      <c r="O29" s="23"/>
      <c r="P29" s="23"/>
      <c r="Q29" s="23"/>
      <c r="R29" s="23"/>
      <c r="S29" s="23"/>
      <c r="T29" s="23"/>
      <c r="U29" s="23"/>
      <c r="V29" s="23"/>
      <c r="W29" s="23"/>
    </row>
    <row r="30" spans="1:23" ht="21" customHeight="1" x14ac:dyDescent="0.25">
      <c r="A30" s="233" t="str">
        <f t="shared" si="0"/>
        <v/>
      </c>
      <c r="B30" s="295" t="str">
        <f>IFERROR(IF(VLOOKUP($A30,TableHandbook[],2,FALSE)=0,"",VLOOKUP($A30,TableHandbook[],2,FALSE)),"")</f>
        <v/>
      </c>
      <c r="C30" s="295" t="str">
        <f>IFERROR(IF(VLOOKUP($A30,TableHandbook[],3,FALSE)=0,"",VLOOKUP($A30,TableHandbook[],3,FALSE)),"")</f>
        <v/>
      </c>
      <c r="D30" s="51" t="str">
        <f>IFERROR(IF(VLOOKUP($A30,TableHandbook[],4,FALSE)=0,"",VLOOKUP($A30,TableHandbook[],4,FALSE)),"")</f>
        <v/>
      </c>
      <c r="E30" s="52"/>
      <c r="F30" s="53" t="str">
        <f>IFERROR(IF(VLOOKUP($A30,TableHandbook[],6,FALSE)=0,"",VLOOKUP($A30,TableHandbook[],6,FALSE)),"")</f>
        <v/>
      </c>
      <c r="G30" s="53" t="str">
        <f>IFERROR(IF(VLOOKUP($A30,TableHandbook[],5,FALSE)=0,"",VLOOKUP($A30,TableHandbook[],5,FALSE)),"")</f>
        <v/>
      </c>
      <c r="H30" s="70" t="str">
        <f>IFERROR(VLOOKUP($A30,TableHandbook[],H$2,FALSE),"")</f>
        <v/>
      </c>
      <c r="I30" s="60" t="str">
        <f>IFERROR(VLOOKUP($A30,TableHandbook[],I$2,FALSE),"")</f>
        <v/>
      </c>
      <c r="J30" s="60" t="str">
        <f>IFERROR(VLOOKUP($A30,TableHandbook[],J$2,FALSE),"")</f>
        <v/>
      </c>
      <c r="K30" s="71" t="str">
        <f>IFERROR(VLOOKUP($A30,TableHandbook[],K$2,FALSE),"")</f>
        <v/>
      </c>
      <c r="L30" s="59"/>
      <c r="M30" s="226">
        <v>16</v>
      </c>
      <c r="N30" s="23"/>
      <c r="O30" s="23"/>
      <c r="P30" s="23"/>
      <c r="Q30" s="23"/>
      <c r="R30" s="23"/>
      <c r="S30" s="23"/>
      <c r="T30" s="23"/>
      <c r="U30" s="23"/>
      <c r="V30" s="23"/>
      <c r="W30" s="23"/>
    </row>
    <row r="31" spans="1:23" ht="21" customHeight="1" x14ac:dyDescent="0.25">
      <c r="A31" s="233" t="str">
        <f t="shared" si="0"/>
        <v/>
      </c>
      <c r="B31" s="295" t="str">
        <f>IFERROR(IF(VLOOKUP($A31,TableHandbook[],2,FALSE)=0,"",VLOOKUP($A31,TableHandbook[],2,FALSE)),"")</f>
        <v/>
      </c>
      <c r="C31" s="295" t="str">
        <f>IFERROR(IF(VLOOKUP($A31,TableHandbook[],3,FALSE)=0,"",VLOOKUP($A31,TableHandbook[],3,FALSE)),"")</f>
        <v/>
      </c>
      <c r="D31" s="51" t="str">
        <f>IFERROR(IF(VLOOKUP($A31,TableHandbook[],4,FALSE)=0,"",VLOOKUP($A31,TableHandbook[],4,FALSE)),"")</f>
        <v/>
      </c>
      <c r="E31" s="52"/>
      <c r="F31" s="53" t="str">
        <f>IFERROR(IF(VLOOKUP($A31,TableHandbook[],6,FALSE)=0,"",VLOOKUP($A31,TableHandbook[],6,FALSE)),"")</f>
        <v/>
      </c>
      <c r="G31" s="53" t="str">
        <f>IFERROR(IF(VLOOKUP($A31,TableHandbook[],5,FALSE)=0,"",VLOOKUP($A31,TableHandbook[],5,FALSE)),"")</f>
        <v/>
      </c>
      <c r="H31" s="68" t="str">
        <f>IFERROR(VLOOKUP($A31,TableHandbook[],H$2,FALSE),"")</f>
        <v/>
      </c>
      <c r="I31" s="58" t="str">
        <f>IFERROR(VLOOKUP($A31,TableHandbook[],I$2,FALSE),"")</f>
        <v/>
      </c>
      <c r="J31" s="58" t="str">
        <f>IFERROR(VLOOKUP($A31,TableHandbook[],J$2,FALSE),"")</f>
        <v/>
      </c>
      <c r="K31" s="69" t="str">
        <f>IFERROR(VLOOKUP($A31,TableHandbook[],K$2,FALSE),"")</f>
        <v/>
      </c>
      <c r="L31" s="59"/>
      <c r="M31" s="226">
        <v>17</v>
      </c>
      <c r="N31" s="23"/>
      <c r="O31" s="23"/>
      <c r="P31" s="23"/>
      <c r="Q31" s="23"/>
      <c r="R31" s="23"/>
      <c r="S31" s="23"/>
      <c r="T31" s="23"/>
      <c r="U31" s="23"/>
      <c r="V31" s="23"/>
      <c r="W31" s="23"/>
    </row>
    <row r="32" spans="1:23" ht="21" customHeight="1" x14ac:dyDescent="0.25">
      <c r="A32" s="233" t="str">
        <f t="shared" si="0"/>
        <v/>
      </c>
      <c r="B32" s="295" t="str">
        <f>IFERROR(IF(VLOOKUP($A32,TableHandbook[],2,FALSE)=0,"",VLOOKUP($A32,TableHandbook[],2,FALSE)),"")</f>
        <v/>
      </c>
      <c r="C32" s="295" t="str">
        <f>IFERROR(IF(VLOOKUP($A32,TableHandbook[],3,FALSE)=0,"",VLOOKUP($A32,TableHandbook[],3,FALSE)),"")</f>
        <v/>
      </c>
      <c r="D32" s="51" t="str">
        <f>IFERROR(IF(VLOOKUP($A32,TableHandbook[],4,FALSE)=0,"",VLOOKUP($A32,TableHandbook[],4,FALSE)),"")</f>
        <v/>
      </c>
      <c r="E32" s="52"/>
      <c r="F32" s="53" t="str">
        <f>IFERROR(IF(VLOOKUP($A32,TableHandbook[],6,FALSE)=0,"",VLOOKUP($A32,TableHandbook[],6,FALSE)),"")</f>
        <v/>
      </c>
      <c r="G32" s="53" t="str">
        <f>IFERROR(IF(VLOOKUP($A32,TableHandbook[],5,FALSE)=0,"",VLOOKUP($A32,TableHandbook[],5,FALSE)),"")</f>
        <v/>
      </c>
      <c r="H32" s="68" t="str">
        <f>IFERROR(VLOOKUP($A32,TableHandbook[],H$2,FALSE),"")</f>
        <v/>
      </c>
      <c r="I32" s="58" t="str">
        <f>IFERROR(VLOOKUP($A32,TableHandbook[],I$2,FALSE),"")</f>
        <v/>
      </c>
      <c r="J32" s="58" t="str">
        <f>IFERROR(VLOOKUP($A32,TableHandbook[],J$2,FALSE),"")</f>
        <v/>
      </c>
      <c r="K32" s="69" t="str">
        <f>IFERROR(VLOOKUP($A32,TableHandbook[],K$2,FALSE),"")</f>
        <v/>
      </c>
      <c r="L32" s="59"/>
      <c r="M32" s="226">
        <v>18</v>
      </c>
      <c r="N32" s="23"/>
      <c r="O32" s="23"/>
      <c r="P32" s="23"/>
      <c r="Q32" s="23"/>
      <c r="R32" s="23"/>
      <c r="S32" s="23"/>
      <c r="T32" s="23"/>
      <c r="U32" s="23"/>
      <c r="V32" s="23"/>
      <c r="W32" s="23"/>
    </row>
    <row r="33" spans="1:23" ht="15" customHeight="1" x14ac:dyDescent="0.25">
      <c r="A33" s="254"/>
      <c r="B33" s="255"/>
      <c r="C33" s="256"/>
      <c r="D33" s="256"/>
      <c r="E33" s="257"/>
      <c r="F33" s="258"/>
      <c r="G33" s="258"/>
      <c r="H33" s="235"/>
      <c r="I33" s="235"/>
      <c r="J33" s="235"/>
      <c r="K33" s="235"/>
      <c r="L33" s="236"/>
      <c r="M33" s="226"/>
      <c r="N33" s="23"/>
      <c r="O33" s="23"/>
      <c r="P33" s="23"/>
      <c r="Q33" s="23"/>
      <c r="R33" s="23"/>
      <c r="S33" s="23"/>
      <c r="T33" s="23"/>
      <c r="U33" s="23"/>
      <c r="V33" s="23"/>
      <c r="W33" s="23"/>
    </row>
    <row r="34" spans="1:23" s="23" customFormat="1" ht="18" x14ac:dyDescent="0.25">
      <c r="A34" s="75" t="s">
        <v>32</v>
      </c>
      <c r="B34" s="75"/>
      <c r="C34" s="75"/>
      <c r="D34" s="75"/>
      <c r="E34" s="75"/>
      <c r="F34" s="75"/>
      <c r="G34" s="75"/>
      <c r="H34" s="75"/>
      <c r="I34" s="75"/>
      <c r="J34" s="75"/>
      <c r="K34" s="75"/>
      <c r="L34" s="75"/>
    </row>
    <row r="35" spans="1:23" s="45" customFormat="1" ht="17.25" x14ac:dyDescent="0.2">
      <c r="A35" s="39" t="s">
        <v>33</v>
      </c>
      <c r="B35" s="39"/>
      <c r="C35" s="39"/>
      <c r="D35" s="40"/>
      <c r="E35" s="40"/>
      <c r="F35" s="40"/>
      <c r="G35" s="40"/>
      <c r="H35" s="40"/>
      <c r="I35" s="40"/>
      <c r="J35" s="40"/>
      <c r="K35" s="40"/>
      <c r="L35" s="40"/>
      <c r="M35" s="43"/>
      <c r="N35" s="43"/>
      <c r="O35" s="43"/>
      <c r="P35" s="44"/>
      <c r="Q35" s="44"/>
      <c r="R35" s="44"/>
      <c r="S35" s="44"/>
      <c r="T35" s="44"/>
      <c r="U35" s="44"/>
      <c r="V35" s="44"/>
      <c r="W35" s="44"/>
    </row>
    <row r="36" spans="1:23" x14ac:dyDescent="0.25">
      <c r="A36" s="41" t="s">
        <v>34</v>
      </c>
      <c r="B36" s="41"/>
      <c r="C36" s="41"/>
      <c r="D36" s="41"/>
      <c r="E36" s="54"/>
      <c r="F36" s="42"/>
      <c r="G36" s="55"/>
      <c r="H36" s="55"/>
      <c r="I36" s="55"/>
      <c r="J36" s="55"/>
      <c r="K36" s="55"/>
      <c r="L36" s="55" t="s">
        <v>35</v>
      </c>
    </row>
  </sheetData>
  <sheetProtection formatCells="0"/>
  <mergeCells count="1">
    <mergeCell ref="A3:D3"/>
  </mergeCells>
  <conditionalFormatting sqref="A24:L32">
    <cfRule type="expression" dxfId="346" priority="1">
      <formula>$A24=""</formula>
    </cfRule>
  </conditionalFormatting>
  <conditionalFormatting sqref="D5:D7">
    <cfRule type="containsText" dxfId="345" priority="2" operator="containsText" text="Choose">
      <formula>NOT(ISERROR(SEARCH("Choose",D5)))</formula>
    </cfRule>
  </conditionalFormatting>
  <dataValidations count="1">
    <dataValidation type="list" allowBlank="1" showInputMessage="1" showErrorMessage="1" sqref="L15 L12 L18"/>
  </dataValidations>
  <hyperlinks>
    <hyperlink ref="A35:L3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Unitsets!$A$22:$A$26</xm:f>
          </x14:formula1>
          <xm:sqref>D7</xm:sqref>
        </x14:dataValidation>
        <x14:dataValidation type="list" showInputMessage="1" showErrorMessage="1">
          <x14:formula1>
            <xm:f>Unitsets!$A$40:$A$44</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10.125" style="16" customWidth="1"/>
    <col min="2" max="2" width="3.25" style="16" customWidth="1"/>
    <col min="3" max="3" width="11.875" style="16" bestFit="1" customWidth="1"/>
    <col min="4" max="4" width="47" style="13" bestFit="1" customWidth="1"/>
    <col min="5" max="5" width="7.2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2"/>
      <c r="K1" s="11"/>
      <c r="L1" s="11" t="s">
        <v>7</v>
      </c>
    </row>
    <row r="2" spans="1:23" hidden="1" x14ac:dyDescent="0.25">
      <c r="A2" s="228"/>
      <c r="B2" s="228">
        <v>2</v>
      </c>
      <c r="C2" s="228">
        <v>3</v>
      </c>
      <c r="D2" s="228">
        <v>4</v>
      </c>
      <c r="E2" s="228"/>
      <c r="F2" s="228">
        <v>6</v>
      </c>
      <c r="G2" s="228">
        <v>5</v>
      </c>
      <c r="H2" s="228">
        <v>7</v>
      </c>
      <c r="I2" s="228">
        <v>8</v>
      </c>
      <c r="J2" s="228">
        <v>9</v>
      </c>
      <c r="K2" s="228">
        <v>10</v>
      </c>
      <c r="L2" s="260"/>
    </row>
    <row r="3" spans="1:23" ht="39.950000000000003" customHeight="1" x14ac:dyDescent="0.25">
      <c r="A3" s="428" t="s">
        <v>8</v>
      </c>
      <c r="B3" s="428"/>
      <c r="C3" s="428"/>
      <c r="D3" s="428"/>
      <c r="E3" s="135"/>
      <c r="F3" s="135"/>
      <c r="G3" s="135"/>
      <c r="H3" s="135"/>
      <c r="I3" s="135"/>
      <c r="J3" s="135"/>
      <c r="K3" s="135"/>
      <c r="L3" s="135"/>
    </row>
    <row r="4" spans="1:23" ht="25.5" x14ac:dyDescent="0.25">
      <c r="A4" s="14"/>
      <c r="B4" s="15"/>
      <c r="C4" s="15"/>
      <c r="D4" s="309" t="s">
        <v>9</v>
      </c>
      <c r="E4" s="265"/>
      <c r="F4" s="15"/>
      <c r="G4" s="72"/>
      <c r="H4" s="72"/>
      <c r="I4" s="72"/>
      <c r="J4" s="72"/>
      <c r="K4" s="72"/>
      <c r="L4" s="72"/>
    </row>
    <row r="5" spans="1:23" ht="20.100000000000001" customHeight="1" x14ac:dyDescent="0.25">
      <c r="B5" s="17"/>
      <c r="C5" s="190" t="s">
        <v>10</v>
      </c>
      <c r="D5" s="298" t="s">
        <v>43</v>
      </c>
      <c r="E5" s="18"/>
      <c r="F5" s="190" t="s">
        <v>12</v>
      </c>
      <c r="G5" s="18" t="str">
        <f>IFERROR(CONCATENATE(VLOOKUP(D5,TableCourses[],2,FALSE)," ",VLOOKUP(D5,TableCourses[],3,FALSE)),"")</f>
        <v>OM-APLING v.1</v>
      </c>
      <c r="H5" s="18"/>
      <c r="I5" s="18"/>
      <c r="J5" s="18"/>
      <c r="K5" s="18"/>
      <c r="L5" s="306" t="e">
        <f>CONCATENATE(VLOOKUP(D5,TableCourses[],2,FALSE),VLOOKUP(D6,TableStudyPeriods[],2,FALSE))</f>
        <v>#N/A</v>
      </c>
    </row>
    <row r="6" spans="1:23" ht="20.100000000000001" customHeight="1" x14ac:dyDescent="0.25">
      <c r="A6" s="20"/>
      <c r="B6" s="21"/>
      <c r="C6" s="190" t="s">
        <v>16</v>
      </c>
      <c r="D6" s="171" t="s">
        <v>17</v>
      </c>
      <c r="E6" s="22"/>
      <c r="F6" s="190" t="s">
        <v>18</v>
      </c>
      <c r="G6" s="18" t="str">
        <f>IFERROR(VLOOKUP($D$5,TableCourses[],4,FALSE),"")</f>
        <v>200 credit points required</v>
      </c>
      <c r="H6" s="76"/>
      <c r="I6" s="76"/>
      <c r="J6" s="76"/>
      <c r="K6" s="76"/>
      <c r="L6" s="76"/>
      <c r="M6" s="23"/>
      <c r="N6" s="23"/>
      <c r="O6" s="23"/>
      <c r="P6" s="23"/>
      <c r="Q6" s="23"/>
      <c r="R6" s="23"/>
      <c r="S6" s="23"/>
      <c r="T6" s="23"/>
      <c r="U6" s="23"/>
      <c r="V6" s="23"/>
      <c r="W6" s="23"/>
    </row>
    <row r="7" spans="1:23" s="26" customFormat="1" ht="14.1" customHeight="1" x14ac:dyDescent="0.25">
      <c r="A7" s="160"/>
      <c r="B7" s="160"/>
      <c r="C7" s="160"/>
      <c r="D7" s="161"/>
      <c r="E7" s="162"/>
      <c r="F7" s="160"/>
      <c r="G7" s="160"/>
      <c r="H7" s="163" t="s">
        <v>19</v>
      </c>
      <c r="I7" s="179"/>
      <c r="J7" s="179"/>
      <c r="K7" s="174"/>
      <c r="L7" s="165"/>
      <c r="M7" s="24"/>
      <c r="N7" s="24"/>
      <c r="O7" s="24"/>
      <c r="P7" s="25"/>
      <c r="Q7" s="25"/>
      <c r="R7" s="25"/>
      <c r="S7" s="25"/>
      <c r="T7" s="25"/>
      <c r="U7" s="25"/>
      <c r="V7" s="25"/>
      <c r="W7" s="25"/>
    </row>
    <row r="8" spans="1:23" s="26" customFormat="1" ht="21" x14ac:dyDescent="0.25">
      <c r="A8" s="160" t="s">
        <v>20</v>
      </c>
      <c r="B8" s="160"/>
      <c r="C8" s="160" t="s">
        <v>21</v>
      </c>
      <c r="D8" s="161" t="s">
        <v>3</v>
      </c>
      <c r="E8" s="186" t="s">
        <v>22</v>
      </c>
      <c r="F8" s="160" t="s">
        <v>41</v>
      </c>
      <c r="G8" s="160" t="s">
        <v>24</v>
      </c>
      <c r="H8" s="167" t="s">
        <v>25</v>
      </c>
      <c r="I8" s="180" t="s">
        <v>26</v>
      </c>
      <c r="J8" s="180" t="s">
        <v>27</v>
      </c>
      <c r="K8" s="181" t="s">
        <v>28</v>
      </c>
      <c r="L8" s="166" t="s">
        <v>29</v>
      </c>
      <c r="M8" s="24"/>
      <c r="N8" s="24"/>
      <c r="O8" s="24"/>
      <c r="P8" s="25"/>
      <c r="Q8" s="25"/>
      <c r="R8" s="25"/>
      <c r="S8" s="25"/>
      <c r="T8" s="25"/>
      <c r="U8" s="25"/>
      <c r="V8" s="25"/>
      <c r="W8" s="25"/>
    </row>
    <row r="9" spans="1:23" s="29" customFormat="1" ht="21" customHeight="1" x14ac:dyDescent="0.15">
      <c r="A9" s="64" t="str">
        <f>IFERROR(IF(HLOOKUP($L$5,RangeUnitsetsTESOL,M9,FALSE)=0,"",HLOOKUP($L$5,RangeUnitsetsTESOL,M9,FALSE)),"")</f>
        <v/>
      </c>
      <c r="B9" s="58" t="str">
        <f>IFERROR(IF(VLOOKUP($A9,TableHandbook[],2,FALSE)=0,"",VLOOKUP($A9,TableHandbook[],2,FALSE)),"")</f>
        <v/>
      </c>
      <c r="C9" s="58" t="str">
        <f>IFERROR(IF(VLOOKUP($A9,TableHandbook[],3,FALSE)=0,"",VLOOKUP($A9,TableHandbook[],3,FALSE)),"")</f>
        <v/>
      </c>
      <c r="D9" s="65" t="str">
        <f>IFERROR(IF(VLOOKUP($A9,TableHandbook[],4,FALSE)=0,"",VLOOKUP($A9,TableHandbook[],4,FALSE)),"")</f>
        <v/>
      </c>
      <c r="E9" s="58" t="str">
        <f>IF(OR(A9="",A9="--"),"",VLOOKUP($D$6,TableStudyPeriods[],2,FALSE))</f>
        <v/>
      </c>
      <c r="F9" s="57" t="str">
        <f>IFERROR(IF(VLOOKUP($A9,TableHandbook[],6,FALSE)=0,"",VLOOKUP($A9,TableHandbook[],6,FALSE)),"")</f>
        <v/>
      </c>
      <c r="G9" s="58" t="str">
        <f>IFERROR(IF(VLOOKUP($A9,TableHandbook[],5,FALSE)=0,"",VLOOKUP($A9,TableHandbook[],5,FALSE)),"")</f>
        <v/>
      </c>
      <c r="H9" s="68" t="str">
        <f>IFERROR(VLOOKUP($A9,TableHandbook[],H$2,FALSE),"")</f>
        <v/>
      </c>
      <c r="I9" s="58" t="str">
        <f>IFERROR(VLOOKUP($A9,TableHandbook[],I$2,FALSE),"")</f>
        <v/>
      </c>
      <c r="J9" s="58" t="str">
        <f>IFERROR(VLOOKUP($A9,TableHandbook[],J$2,FALSE),"")</f>
        <v/>
      </c>
      <c r="K9" s="182" t="str">
        <f>IFERROR(VLOOKUP($A9,TableHandbook[],K$2,FALSE),"")</f>
        <v/>
      </c>
      <c r="L9" s="66"/>
      <c r="M9" s="226">
        <v>2</v>
      </c>
      <c r="N9" s="27"/>
      <c r="O9" s="27"/>
      <c r="P9" s="28"/>
      <c r="Q9" s="28"/>
      <c r="R9" s="28"/>
      <c r="S9" s="28"/>
      <c r="T9" s="28"/>
      <c r="U9" s="28"/>
      <c r="V9" s="28"/>
      <c r="W9" s="28"/>
    </row>
    <row r="10" spans="1:23" s="29" customFormat="1" ht="21" customHeight="1" x14ac:dyDescent="0.15">
      <c r="A10" s="64" t="str">
        <f>IFERROR(IF(HLOOKUP($L$5,RangeUnitsetsTESOL,M10,FALSE)=0,"",HLOOKUP($L$5,RangeUnitsetsTESOL,M10,FALSE)),"")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IF(A10="","",E9)</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3</v>
      </c>
      <c r="N10" s="27"/>
      <c r="O10" s="27"/>
      <c r="P10" s="28"/>
      <c r="Q10" s="28"/>
      <c r="R10" s="28"/>
      <c r="S10" s="28"/>
      <c r="T10" s="28"/>
      <c r="U10" s="28"/>
      <c r="V10" s="28"/>
      <c r="W10" s="28"/>
    </row>
    <row r="11" spans="1:23" s="29" customFormat="1" ht="4.5" customHeight="1" x14ac:dyDescent="0.15">
      <c r="A11" s="284"/>
      <c r="B11" s="285"/>
      <c r="C11" s="285"/>
      <c r="D11" s="286"/>
      <c r="E11" s="285"/>
      <c r="F11" s="287"/>
      <c r="G11" s="285"/>
      <c r="H11" s="288"/>
      <c r="I11" s="289"/>
      <c r="J11" s="289"/>
      <c r="K11" s="290"/>
      <c r="L11" s="291"/>
      <c r="M11" s="226"/>
      <c r="N11" s="27"/>
      <c r="O11" s="27"/>
      <c r="P11" s="27"/>
      <c r="Q11" s="28"/>
      <c r="R11" s="28"/>
      <c r="S11" s="28"/>
      <c r="T11" s="28"/>
      <c r="U11" s="28"/>
      <c r="V11" s="28"/>
      <c r="W11" s="28"/>
    </row>
    <row r="12" spans="1:23" s="29" customFormat="1" ht="21" customHeight="1" x14ac:dyDescent="0.15">
      <c r="A12" s="64" t="str">
        <f>IFERROR(IF(HLOOKUP($L$5,RangeUnitsetsTESOL,M12,FALSE)=0,"",HLOOKUP($L$5,RangeUnitsetsTESOL,M12,FALSE)),"")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IF(OR(A12="",A12="--"),"",VLOOKUP($D$6,TableStudyPeriods[],3,FALSE))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182" t="str">
        <f>IFERROR(VLOOKUP($A12,TableHandbook[],K$2,FALSE),"")</f>
        <v/>
      </c>
      <c r="L12" s="67"/>
      <c r="M12" s="226">
        <v>4</v>
      </c>
      <c r="N12" s="27"/>
      <c r="O12" s="27"/>
      <c r="P12" s="28"/>
      <c r="Q12" s="28"/>
      <c r="R12" s="28"/>
      <c r="S12" s="28"/>
      <c r="T12" s="28"/>
      <c r="U12" s="28"/>
      <c r="V12" s="28"/>
      <c r="W12" s="28"/>
    </row>
    <row r="13" spans="1:23" s="29" customFormat="1" ht="21" customHeight="1" x14ac:dyDescent="0.15">
      <c r="A13" s="64" t="str">
        <f>IFERROR(IF(HLOOKUP($L$5,RangeUnitsetsTESOL,M13,FALSE)=0,"",HLOOKUP($L$5,RangeUnitsetsTESOL,M13,FALSE)),"")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6"/>
      <c r="M13" s="226">
        <v>5</v>
      </c>
      <c r="N13" s="27"/>
      <c r="O13" s="27"/>
      <c r="P13" s="28"/>
      <c r="Q13" s="28"/>
      <c r="R13" s="28"/>
      <c r="S13" s="28"/>
      <c r="T13" s="28"/>
      <c r="U13" s="28"/>
      <c r="V13" s="28"/>
      <c r="W13" s="28"/>
    </row>
    <row r="14" spans="1:23" s="29" customFormat="1" ht="4.5" customHeight="1" x14ac:dyDescent="0.15">
      <c r="A14" s="284"/>
      <c r="B14" s="285"/>
      <c r="C14" s="285"/>
      <c r="D14" s="286"/>
      <c r="E14" s="285"/>
      <c r="F14" s="287"/>
      <c r="G14" s="285"/>
      <c r="H14" s="288"/>
      <c r="I14" s="289"/>
      <c r="J14" s="289"/>
      <c r="K14" s="290"/>
      <c r="L14" s="291"/>
      <c r="M14" s="226"/>
      <c r="N14" s="27"/>
      <c r="O14" s="27"/>
      <c r="P14" s="27"/>
      <c r="Q14" s="28"/>
      <c r="R14" s="28"/>
      <c r="S14" s="28"/>
      <c r="T14" s="28"/>
      <c r="U14" s="28"/>
      <c r="V14" s="28"/>
      <c r="W14" s="28"/>
    </row>
    <row r="15" spans="1:23" s="29" customFormat="1" ht="21" customHeight="1" x14ac:dyDescent="0.15">
      <c r="A15" s="64" t="str">
        <f>IFERROR(IF(HLOOKUP($L$5,RangeUnitsetsTESOL,M15,FALSE)=0,"",HLOOKUP($L$5,RangeUnitsetsTESOL,M15,FALSE)),"")</f>
        <v/>
      </c>
      <c r="B15" s="60" t="str">
        <f>IFERROR(IF(VLOOKUP($A15,TableHandbook[],2,FALSE)=0,"",VLOOKUP($A15,TableHandbook[],2,FALSE)),"")</f>
        <v/>
      </c>
      <c r="C15" s="60" t="str">
        <f>IFERROR(IF(VLOOKUP($A15,TableHandbook[],3,FALSE)=0,"",VLOOKUP($A15,TableHandbook[],3,FALSE)),"")</f>
        <v/>
      </c>
      <c r="D15" s="65" t="str">
        <f>IFERROR(IF(VLOOKUP($A15,TableHandbook[],4,FALSE)=0,"",VLOOKUP($A15,TableHandbook[],4,FALSE)),"")</f>
        <v/>
      </c>
      <c r="E15" s="58" t="str">
        <f>IF(OR(A15="",A15="--"),"",VLOOKUP($D$6,TableStudyPeriods[],4,FALSE))</f>
        <v/>
      </c>
      <c r="F15" s="57" t="str">
        <f>IFERROR(IF(VLOOKUP($A15,TableHandbook[],6,FALSE)=0,"",VLOOKUP($A15,TableHandbook[],6,FALSE)),"")</f>
        <v/>
      </c>
      <c r="G15" s="60" t="str">
        <f>IFERROR(IF(VLOOKUP($A15,TableHandbook[],5,FALSE)=0,"",VLOOKUP($A15,TableHandbook[],5,FALSE)),"")</f>
        <v/>
      </c>
      <c r="H15" s="70" t="str">
        <f>IFERROR(VLOOKUP($A15,TableHandbook[],H$2,FALSE),"")</f>
        <v/>
      </c>
      <c r="I15" s="60" t="str">
        <f>IFERROR(VLOOKUP($A15,TableHandbook[],I$2,FALSE),"")</f>
        <v/>
      </c>
      <c r="J15" s="60" t="str">
        <f>IFERROR(VLOOKUP($A15,TableHandbook[],J$2,FALSE),"")</f>
        <v/>
      </c>
      <c r="K15" s="185" t="str">
        <f>IFERROR(VLOOKUP($A15,TableHandbook[],K$2,FALSE),"")</f>
        <v/>
      </c>
      <c r="L15" s="67"/>
      <c r="M15" s="226">
        <v>6</v>
      </c>
      <c r="N15" s="27"/>
      <c r="O15" s="27"/>
      <c r="P15" s="28"/>
      <c r="Q15" s="28"/>
      <c r="R15" s="28"/>
      <c r="S15" s="28"/>
      <c r="T15" s="28"/>
      <c r="U15" s="28"/>
      <c r="V15" s="28"/>
      <c r="W15" s="28"/>
    </row>
    <row r="16" spans="1:23" s="38" customFormat="1" ht="21" customHeight="1" x14ac:dyDescent="0.15">
      <c r="A16" s="64" t="str">
        <f>IFERROR(IF(HLOOKUP($L$5,RangeUnitsetsTESOL,M16,FALSE)=0,"",HLOOKUP($L$5,RangeUnitsetsTESOL,M16,FALSE)),"")</f>
        <v/>
      </c>
      <c r="B16" s="60" t="str">
        <f>IFERROR(IF(VLOOKUP($A16,TableHandbook[],2,FALSE)=0,"",VLOOKUP($A16,TableHandbook[],2,FALSE)),"")</f>
        <v/>
      </c>
      <c r="C16" s="60" t="str">
        <f>IFERROR(IF(VLOOKUP($A16,TableHandbook[],3,FALSE)=0,"",VLOOKUP($A16,TableHandbook[],3,FALSE)),"")</f>
        <v/>
      </c>
      <c r="D16" s="65" t="str">
        <f>IFERROR(IF(VLOOKUP($A16,TableHandbook[],4,FALSE)=0,"",VLOOKUP($A16,TableHandbook[],4,FALSE)),"")</f>
        <v/>
      </c>
      <c r="E16" s="58" t="str">
        <f>IF(A16="","",E15)</f>
        <v/>
      </c>
      <c r="F16" s="57" t="str">
        <f>IFERROR(IF(VLOOKUP($A16,TableHandbook[],6,FALSE)=0,"",VLOOKUP($A16,TableHandbook[],6,FALSE)),"")</f>
        <v/>
      </c>
      <c r="G16" s="60" t="str">
        <f>IFERROR(IF(VLOOKUP($A16,TableHandbook[],5,FALSE)=0,"",VLOOKUP($A16,TableHandbook[],5,FALSE)),"")</f>
        <v/>
      </c>
      <c r="H16" s="70" t="str">
        <f>IFERROR(VLOOKUP($A16,TableHandbook[],H$2,FALSE),"")</f>
        <v/>
      </c>
      <c r="I16" s="60" t="str">
        <f>IFERROR(VLOOKUP($A16,TableHandbook[],I$2,FALSE),"")</f>
        <v/>
      </c>
      <c r="J16" s="60" t="str">
        <f>IFERROR(VLOOKUP($A16,TableHandbook[],J$2,FALSE),"")</f>
        <v/>
      </c>
      <c r="K16" s="185" t="str">
        <f>IFERROR(VLOOKUP($A16,TableHandbook[],K$2,FALSE),"")</f>
        <v/>
      </c>
      <c r="L16" s="67"/>
      <c r="M16" s="226">
        <v>7</v>
      </c>
      <c r="N16" s="36"/>
      <c r="O16" s="36"/>
      <c r="P16" s="37"/>
      <c r="Q16" s="37"/>
      <c r="R16" s="37"/>
      <c r="S16" s="37"/>
      <c r="T16" s="37"/>
      <c r="U16" s="37"/>
      <c r="V16" s="37"/>
      <c r="W16" s="37"/>
    </row>
    <row r="17" spans="1:23" s="29" customFormat="1" ht="4.5" customHeight="1" x14ac:dyDescent="0.15">
      <c r="A17" s="284"/>
      <c r="B17" s="285"/>
      <c r="C17" s="285"/>
      <c r="D17" s="286"/>
      <c r="E17" s="285"/>
      <c r="F17" s="287"/>
      <c r="G17" s="285"/>
      <c r="H17" s="288"/>
      <c r="I17" s="289"/>
      <c r="J17" s="289"/>
      <c r="K17" s="290"/>
      <c r="L17" s="291"/>
      <c r="M17" s="226"/>
      <c r="N17" s="27"/>
      <c r="O17" s="27"/>
      <c r="P17" s="27"/>
      <c r="Q17" s="28"/>
      <c r="R17" s="28"/>
      <c r="S17" s="28"/>
      <c r="T17" s="28"/>
      <c r="U17" s="28"/>
      <c r="V17" s="28"/>
      <c r="W17" s="28"/>
    </row>
    <row r="18" spans="1:23" s="38" customFormat="1" ht="21" customHeight="1" x14ac:dyDescent="0.15">
      <c r="A18" s="64" t="str">
        <f>IFERROR(IF(HLOOKUP($L$5,RangeUnitsetsTESOL,M18,FALSE)=0,"",HLOOKUP($L$5,RangeUnitsetsTESOL,M18,FALSE)),"")</f>
        <v/>
      </c>
      <c r="B18" s="60" t="str">
        <f>IFERROR(IF(VLOOKUP($A18,TableHandbook[],2,FALSE)=0,"",VLOOKUP($A18,TableHandbook[],2,FALSE)),"")</f>
        <v/>
      </c>
      <c r="C18" s="60" t="str">
        <f>IFERROR(IF(VLOOKUP($A18,TableHandbook[],3,FALSE)=0,"",VLOOKUP($A18,TableHandbook[],3,FALSE)),"")</f>
        <v/>
      </c>
      <c r="D18" s="65" t="str">
        <f>IFERROR(IF(VLOOKUP($A18,TableHandbook[],4,FALSE)=0,"",VLOOKUP($A18,TableHandbook[],4,FALSE)),"")</f>
        <v/>
      </c>
      <c r="E18" s="58" t="str">
        <f>IF(OR(A18="",A18="--"),"",VLOOKUP($D$6,TableStudyPeriods[],5,FALSE))</f>
        <v/>
      </c>
      <c r="F18" s="57" t="str">
        <f>IFERROR(IF(VLOOKUP($A18,TableHandbook[],6,FALSE)=0,"",VLOOKUP($A18,TableHandbook[],6,FALSE)),"")</f>
        <v/>
      </c>
      <c r="G18" s="60" t="str">
        <f>IFERROR(IF(VLOOKUP($A18,TableHandbook[],5,FALSE)=0,"",VLOOKUP($A18,TableHandbook[],5,FALSE)),"")</f>
        <v/>
      </c>
      <c r="H18" s="70" t="str">
        <f>IFERROR(VLOOKUP($A18,TableHandbook[],H$2,FALSE),"")</f>
        <v/>
      </c>
      <c r="I18" s="60" t="str">
        <f>IFERROR(VLOOKUP($A18,TableHandbook[],I$2,FALSE),"")</f>
        <v/>
      </c>
      <c r="J18" s="60" t="str">
        <f>IFERROR(VLOOKUP($A18,TableHandbook[],J$2,FALSE),"")</f>
        <v/>
      </c>
      <c r="K18" s="185" t="str">
        <f>IFERROR(VLOOKUP($A18,TableHandbook[],K$2,FALSE),"")</f>
        <v/>
      </c>
      <c r="L18" s="67"/>
      <c r="M18" s="226">
        <v>8</v>
      </c>
      <c r="N18" s="36"/>
      <c r="O18" s="36"/>
      <c r="P18" s="37"/>
      <c r="Q18" s="37"/>
      <c r="R18" s="37"/>
      <c r="S18" s="37"/>
      <c r="T18" s="37"/>
      <c r="U18" s="37"/>
      <c r="V18" s="37"/>
      <c r="W18" s="37"/>
    </row>
    <row r="19" spans="1:23" s="38" customFormat="1" ht="21" customHeight="1" x14ac:dyDescent="0.15">
      <c r="A19" s="64" t="str">
        <f>IFERROR(IF(HLOOKUP($L$5,RangeUnitsetsTESOL,M19,FALSE)=0,"",HLOOKUP($L$5,RangeUnitsetsTESOL,M19,FALSE)),"")</f>
        <v/>
      </c>
      <c r="B19" s="60" t="str">
        <f>IFERROR(IF(VLOOKUP($A19,TableHandbook[],2,FALSE)=0,"",VLOOKUP($A19,TableHandbook[],2,FALSE)),"")</f>
        <v/>
      </c>
      <c r="C19" s="60" t="str">
        <f>IFERROR(IF(VLOOKUP($A19,TableHandbook[],3,FALSE)=0,"",VLOOKUP($A19,TableHandbook[],3,FALSE)),"")</f>
        <v/>
      </c>
      <c r="D19" s="63" t="str">
        <f>IFERROR(IF(VLOOKUP($A19,TableHandbook[],4,FALSE)=0,"",VLOOKUP($A19,TableHandbook[],4,FALSE)),"")</f>
        <v/>
      </c>
      <c r="E19" s="60" t="str">
        <f>IF(A19="","",E18)</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185" t="str">
        <f>IFERROR(VLOOKUP($A19,TableHandbook[],K$2,FALSE),"")</f>
        <v/>
      </c>
      <c r="L19" s="67"/>
      <c r="M19" s="226">
        <v>9</v>
      </c>
      <c r="N19" s="36"/>
      <c r="O19" s="36"/>
      <c r="P19" s="37"/>
      <c r="Q19" s="37"/>
      <c r="R19" s="37"/>
      <c r="S19" s="37"/>
      <c r="T19" s="37"/>
      <c r="U19" s="37"/>
      <c r="V19" s="37"/>
      <c r="W19" s="37"/>
    </row>
    <row r="20" spans="1:23" ht="15" customHeight="1" x14ac:dyDescent="0.25">
      <c r="A20" s="254"/>
      <c r="B20" s="255"/>
      <c r="C20" s="256"/>
      <c r="D20" s="256"/>
      <c r="E20" s="257"/>
      <c r="F20" s="258"/>
      <c r="G20" s="258"/>
      <c r="H20" s="235"/>
      <c r="I20" s="235"/>
      <c r="J20" s="235"/>
      <c r="K20" s="235"/>
      <c r="L20" s="236"/>
      <c r="M20" s="226"/>
      <c r="N20" s="23"/>
      <c r="O20" s="23"/>
      <c r="P20" s="23"/>
      <c r="Q20" s="23"/>
      <c r="R20" s="23"/>
      <c r="S20" s="23"/>
      <c r="T20" s="23"/>
      <c r="U20" s="23"/>
      <c r="V20" s="23"/>
      <c r="W20" s="23"/>
    </row>
    <row r="21" spans="1:23" s="23" customFormat="1" ht="18" x14ac:dyDescent="0.25">
      <c r="A21" s="75" t="s">
        <v>32</v>
      </c>
      <c r="B21" s="75"/>
      <c r="C21" s="75"/>
      <c r="D21" s="75"/>
      <c r="E21" s="75"/>
      <c r="F21" s="75"/>
      <c r="G21" s="75"/>
      <c r="H21" s="75"/>
      <c r="I21" s="75"/>
      <c r="J21" s="75"/>
      <c r="K21" s="75"/>
      <c r="L21" s="75"/>
    </row>
    <row r="22" spans="1:23" s="45" customFormat="1" ht="17.25" x14ac:dyDescent="0.2">
      <c r="A22" s="39" t="s">
        <v>33</v>
      </c>
      <c r="B22" s="39"/>
      <c r="C22" s="39"/>
      <c r="D22" s="40"/>
      <c r="E22" s="40"/>
      <c r="F22" s="40"/>
      <c r="G22" s="40"/>
      <c r="H22" s="40"/>
      <c r="I22" s="40"/>
      <c r="J22" s="40"/>
      <c r="K22" s="40"/>
      <c r="L22" s="40"/>
      <c r="M22" s="43"/>
      <c r="N22" s="43"/>
      <c r="O22" s="43"/>
      <c r="P22" s="44"/>
      <c r="Q22" s="44"/>
      <c r="R22" s="44"/>
      <c r="S22" s="44"/>
      <c r="T22" s="44"/>
      <c r="U22" s="44"/>
      <c r="V22" s="44"/>
      <c r="W22" s="44"/>
    </row>
    <row r="23" spans="1:23" x14ac:dyDescent="0.25">
      <c r="A23" s="41" t="s">
        <v>34</v>
      </c>
      <c r="B23" s="41"/>
      <c r="C23" s="41"/>
      <c r="D23" s="41"/>
      <c r="E23" s="54"/>
      <c r="F23" s="42"/>
      <c r="G23" s="55"/>
      <c r="H23" s="55"/>
      <c r="I23" s="55"/>
      <c r="J23" s="55"/>
      <c r="K23" s="55"/>
      <c r="L23" s="55" t="s">
        <v>35</v>
      </c>
    </row>
  </sheetData>
  <sheetProtection formatCells="0"/>
  <mergeCells count="1">
    <mergeCell ref="A3:D3"/>
  </mergeCells>
  <conditionalFormatting sqref="D5:D6">
    <cfRule type="containsText" dxfId="344" priority="1" operator="containsText" text="Choose">
      <formula>NOT(ISERROR(SEARCH("Choose",D5)))</formula>
    </cfRule>
  </conditionalFormatting>
  <dataValidations count="1">
    <dataValidation type="list" allowBlank="1" showInputMessage="1" showErrorMessage="1" sqref="L14 L11 L17"/>
  </dataValidations>
  <hyperlinks>
    <hyperlink ref="A22:L22"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6"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Unitsets!$A$22:$A$26</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10.125" style="16" customWidth="1"/>
    <col min="2" max="2" width="3.25" style="16" customWidth="1"/>
    <col min="3" max="3" width="11.875" style="16" bestFit="1" customWidth="1"/>
    <col min="4" max="4" width="65" style="13" customWidth="1"/>
    <col min="5" max="5" width="7.2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2"/>
      <c r="K1" s="11"/>
      <c r="L1" s="11" t="s">
        <v>7</v>
      </c>
    </row>
    <row r="2" spans="1:23" hidden="1" x14ac:dyDescent="0.25">
      <c r="A2" s="228"/>
      <c r="B2" s="228">
        <v>2</v>
      </c>
      <c r="C2" s="228">
        <v>3</v>
      </c>
      <c r="D2" s="228">
        <v>4</v>
      </c>
      <c r="E2" s="228"/>
      <c r="F2" s="228">
        <v>6</v>
      </c>
      <c r="G2" s="228">
        <v>5</v>
      </c>
      <c r="H2" s="228">
        <v>7</v>
      </c>
      <c r="I2" s="228">
        <v>8</v>
      </c>
      <c r="J2" s="228">
        <v>9</v>
      </c>
      <c r="K2" s="228">
        <v>10</v>
      </c>
      <c r="L2" s="260"/>
    </row>
    <row r="3" spans="1:23" ht="39.950000000000003" customHeight="1" x14ac:dyDescent="0.25">
      <c r="A3" s="428" t="s">
        <v>8</v>
      </c>
      <c r="B3" s="428"/>
      <c r="C3" s="428"/>
      <c r="D3" s="428"/>
      <c r="E3" s="135"/>
      <c r="F3" s="135"/>
      <c r="G3" s="135"/>
      <c r="H3" s="135"/>
      <c r="I3" s="135"/>
      <c r="J3" s="135"/>
      <c r="K3" s="135"/>
      <c r="L3" s="135"/>
    </row>
    <row r="4" spans="1:23" ht="25.5" x14ac:dyDescent="0.25">
      <c r="A4" s="14"/>
      <c r="B4" s="15"/>
      <c r="C4" s="15"/>
      <c r="D4" s="309" t="s">
        <v>9</v>
      </c>
      <c r="E4" s="265"/>
      <c r="F4" s="15"/>
      <c r="G4" s="72"/>
      <c r="H4" s="72"/>
      <c r="I4" s="72"/>
      <c r="J4" s="72"/>
      <c r="K4" s="72"/>
      <c r="L4" s="72"/>
    </row>
    <row r="5" spans="1:23" ht="20.100000000000001" customHeight="1" x14ac:dyDescent="0.25">
      <c r="B5" s="17"/>
      <c r="C5" s="190" t="s">
        <v>10</v>
      </c>
      <c r="D5" s="170" t="s">
        <v>44</v>
      </c>
      <c r="E5" s="18"/>
      <c r="F5" s="190" t="s">
        <v>12</v>
      </c>
      <c r="G5" s="18" t="str">
        <f>IFERROR(CONCATENATE(VLOOKUP(D5,TableCourses[],2,FALSE)," ",VLOOKUP(D5,TableCourses[],3,FALSE)),"")</f>
        <v>OC-TESOL v.2</v>
      </c>
      <c r="H5" s="18"/>
      <c r="I5" s="18"/>
      <c r="J5" s="18"/>
      <c r="K5" s="18"/>
      <c r="L5" s="306" t="e">
        <f>CONCATENATE(VLOOKUP(D5,TableCourses[],2,FALSE),VLOOKUP(D6,TableStudyPeriods[],2,FALSE))</f>
        <v>#N/A</v>
      </c>
    </row>
    <row r="6" spans="1:23" ht="20.100000000000001" customHeight="1" x14ac:dyDescent="0.25">
      <c r="A6" s="20"/>
      <c r="B6" s="21"/>
      <c r="C6" s="190" t="s">
        <v>16</v>
      </c>
      <c r="D6" s="171" t="s">
        <v>17</v>
      </c>
      <c r="E6" s="22"/>
      <c r="F6" s="190" t="s">
        <v>18</v>
      </c>
      <c r="G6" s="18" t="str">
        <f>IFERROR(VLOOKUP($D$5,TableCourses[],4,FALSE),"")</f>
        <v>100 credit points required</v>
      </c>
      <c r="H6" s="76"/>
      <c r="I6" s="76"/>
      <c r="J6" s="76"/>
      <c r="K6" s="76"/>
      <c r="L6" s="76"/>
      <c r="M6" s="23"/>
      <c r="N6" s="23"/>
      <c r="O6" s="23"/>
      <c r="P6" s="23"/>
      <c r="Q6" s="23"/>
      <c r="R6" s="23"/>
      <c r="S6" s="23"/>
      <c r="T6" s="23"/>
      <c r="U6" s="23"/>
      <c r="V6" s="23"/>
      <c r="W6" s="23"/>
    </row>
    <row r="7" spans="1:23" s="26" customFormat="1" ht="14.1" customHeight="1" x14ac:dyDescent="0.25">
      <c r="A7" s="160"/>
      <c r="B7" s="160"/>
      <c r="C7" s="160"/>
      <c r="D7" s="161"/>
      <c r="E7" s="162"/>
      <c r="F7" s="160"/>
      <c r="G7" s="160"/>
      <c r="H7" s="163" t="s">
        <v>19</v>
      </c>
      <c r="I7" s="179"/>
      <c r="J7" s="179"/>
      <c r="K7" s="174"/>
      <c r="L7" s="165"/>
      <c r="M7" s="24"/>
      <c r="N7" s="24"/>
      <c r="O7" s="24"/>
      <c r="P7" s="25"/>
      <c r="Q7" s="25"/>
      <c r="R7" s="25"/>
      <c r="S7" s="25"/>
      <c r="T7" s="25"/>
      <c r="U7" s="25"/>
      <c r="V7" s="25"/>
      <c r="W7" s="25"/>
    </row>
    <row r="8" spans="1:23" s="26" customFormat="1" ht="21" x14ac:dyDescent="0.25">
      <c r="A8" s="160" t="s">
        <v>20</v>
      </c>
      <c r="B8" s="160"/>
      <c r="C8" s="160" t="s">
        <v>21</v>
      </c>
      <c r="D8" s="161" t="s">
        <v>3</v>
      </c>
      <c r="E8" s="186" t="s">
        <v>22</v>
      </c>
      <c r="F8" s="160" t="s">
        <v>41</v>
      </c>
      <c r="G8" s="160" t="s">
        <v>24</v>
      </c>
      <c r="H8" s="167" t="s">
        <v>25</v>
      </c>
      <c r="I8" s="180" t="s">
        <v>26</v>
      </c>
      <c r="J8" s="180" t="s">
        <v>27</v>
      </c>
      <c r="K8" s="181" t="s">
        <v>28</v>
      </c>
      <c r="L8" s="166" t="s">
        <v>29</v>
      </c>
      <c r="M8" s="24"/>
      <c r="N8" s="24"/>
      <c r="O8" s="24"/>
      <c r="P8" s="25"/>
      <c r="Q8" s="25"/>
      <c r="R8" s="25"/>
      <c r="S8" s="25"/>
      <c r="T8" s="25"/>
      <c r="U8" s="25"/>
      <c r="V8" s="25"/>
      <c r="W8" s="25"/>
    </row>
    <row r="9" spans="1:23" s="29" customFormat="1" ht="21" customHeight="1" x14ac:dyDescent="0.15">
      <c r="A9" s="64" t="str">
        <f>IFERROR(IF(HLOOKUP($L$5,RangeUnitsetsTESOL,M9,FALSE)=0,"",HLOOKUP($L$5,RangeUnitsetsTESOL,M9,FALSE)),"")</f>
        <v/>
      </c>
      <c r="B9" s="58" t="str">
        <f>IFERROR(IF(VLOOKUP($A9,TableHandbook[],2,FALSE)=0,"",VLOOKUP($A9,TableHandbook[],2,FALSE)),"")</f>
        <v/>
      </c>
      <c r="C9" s="58" t="str">
        <f>IFERROR(IF(VLOOKUP($A9,TableHandbook[],3,FALSE)=0,"",VLOOKUP($A9,TableHandbook[],3,FALSE)),"")</f>
        <v/>
      </c>
      <c r="D9" s="65" t="str">
        <f>IFERROR(IF(VLOOKUP($A9,TableHandbook[],4,FALSE)=0,"",VLOOKUP($A9,TableHandbook[],4,FALSE)),"")</f>
        <v/>
      </c>
      <c r="E9" s="58" t="str">
        <f>IF(OR(A9="",A9="--"),"",VLOOKUP($D$6,TableStudyPeriods[],2,FALSE))</f>
        <v/>
      </c>
      <c r="F9" s="57" t="str">
        <f>IFERROR(IF(VLOOKUP($A9,TableHandbook[],6,FALSE)=0,"",VLOOKUP($A9,TableHandbook[],6,FALSE)),"")</f>
        <v/>
      </c>
      <c r="G9" s="58" t="str">
        <f>IFERROR(IF(VLOOKUP($A9,TableHandbook[],5,FALSE)=0,"",VLOOKUP($A9,TableHandbook[],5,FALSE)),"")</f>
        <v/>
      </c>
      <c r="H9" s="68" t="str">
        <f>IFERROR(VLOOKUP($A9,TableHandbook[],H$2,FALSE),"")</f>
        <v/>
      </c>
      <c r="I9" s="58" t="str">
        <f>IFERROR(VLOOKUP($A9,TableHandbook[],I$2,FALSE),"")</f>
        <v/>
      </c>
      <c r="J9" s="58" t="str">
        <f>IFERROR(VLOOKUP($A9,TableHandbook[],J$2,FALSE),"")</f>
        <v/>
      </c>
      <c r="K9" s="182" t="str">
        <f>IFERROR(VLOOKUP($A9,TableHandbook[],K$2,FALSE),"")</f>
        <v/>
      </c>
      <c r="L9" s="66"/>
      <c r="M9" s="226">
        <v>2</v>
      </c>
      <c r="N9" s="27"/>
      <c r="O9" s="27"/>
      <c r="P9" s="28"/>
      <c r="Q9" s="28"/>
      <c r="R9" s="28"/>
      <c r="S9" s="28"/>
      <c r="T9" s="28"/>
      <c r="U9" s="28"/>
      <c r="V9" s="28"/>
      <c r="W9" s="28"/>
    </row>
    <row r="10" spans="1:23" s="29" customFormat="1" ht="21" customHeight="1" x14ac:dyDescent="0.15">
      <c r="A10" s="64" t="str">
        <f>IFERROR(IF(HLOOKUP($L$5,RangeUnitsetsTESOL,M10,FALSE)=0,"",HLOOKUP($L$5,RangeUnitsetsTESOL,M10,FALSE)),"")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IF(A10="","",E9)</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3</v>
      </c>
      <c r="N10" s="27"/>
      <c r="O10" s="27"/>
      <c r="P10" s="28"/>
      <c r="Q10" s="28"/>
      <c r="R10" s="28"/>
      <c r="S10" s="28"/>
      <c r="T10" s="28"/>
      <c r="U10" s="28"/>
      <c r="V10" s="28"/>
      <c r="W10" s="28"/>
    </row>
    <row r="11" spans="1:23" s="29" customFormat="1" ht="4.5" customHeight="1" x14ac:dyDescent="0.15">
      <c r="A11" s="30"/>
      <c r="B11" s="31"/>
      <c r="C11" s="31"/>
      <c r="D11" s="32"/>
      <c r="E11" s="31"/>
      <c r="F11" s="33"/>
      <c r="G11" s="31"/>
      <c r="H11" s="134"/>
      <c r="I11" s="183"/>
      <c r="J11" s="183"/>
      <c r="K11" s="184"/>
      <c r="L11" s="34"/>
      <c r="M11" s="226"/>
      <c r="N11" s="27"/>
      <c r="O11" s="27"/>
      <c r="P11" s="27"/>
      <c r="Q11" s="28"/>
      <c r="R11" s="28"/>
      <c r="S11" s="28"/>
      <c r="T11" s="28"/>
      <c r="U11" s="28"/>
      <c r="V11" s="28"/>
      <c r="W11" s="28"/>
    </row>
    <row r="12" spans="1:23" s="29" customFormat="1" ht="21" customHeight="1" x14ac:dyDescent="0.15">
      <c r="A12" s="64" t="str">
        <f>IFERROR(IF(HLOOKUP($L$5,RangeUnitsetsTESOL,M12,FALSE)=0,"",HLOOKUP($L$5,RangeUnitsetsTESOL,M12,FALSE)),"")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IF(OR(A12="",A12="--"),"",VLOOKUP($D$6,TableStudyPeriods[],3,FALSE))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182" t="str">
        <f>IFERROR(VLOOKUP($A12,TableHandbook[],K$2,FALSE),"")</f>
        <v/>
      </c>
      <c r="L12" s="67"/>
      <c r="M12" s="226">
        <v>4</v>
      </c>
      <c r="N12" s="27"/>
      <c r="O12" s="27"/>
      <c r="P12" s="28"/>
      <c r="Q12" s="28"/>
      <c r="R12" s="28"/>
      <c r="S12" s="28"/>
      <c r="T12" s="28"/>
      <c r="U12" s="28"/>
      <c r="V12" s="28"/>
      <c r="W12" s="28"/>
    </row>
    <row r="13" spans="1:23" s="29" customFormat="1" ht="21" customHeight="1" x14ac:dyDescent="0.15">
      <c r="A13" s="64" t="str">
        <f>IFERROR(IF(HLOOKUP($L$5,RangeUnitsetsTESOL,M13,FALSE)=0,"",HLOOKUP($L$5,RangeUnitsetsTESOL,M13,FALSE)),"")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6"/>
      <c r="M13" s="226">
        <v>5</v>
      </c>
      <c r="N13" s="27"/>
      <c r="O13" s="27"/>
      <c r="P13" s="28"/>
      <c r="Q13" s="28"/>
      <c r="R13" s="28"/>
      <c r="S13" s="28"/>
      <c r="T13" s="28"/>
      <c r="U13" s="28"/>
      <c r="V13" s="28"/>
      <c r="W13" s="28"/>
    </row>
    <row r="14" spans="1:23" s="29" customFormat="1" ht="15" customHeight="1" x14ac:dyDescent="0.15">
      <c r="A14" s="235"/>
      <c r="B14" s="236"/>
      <c r="C14" s="236"/>
      <c r="D14" s="237"/>
      <c r="E14" s="236"/>
      <c r="F14" s="238"/>
      <c r="G14" s="235"/>
      <c r="H14" s="235"/>
      <c r="I14" s="235"/>
      <c r="J14" s="235"/>
      <c r="K14" s="235"/>
      <c r="L14" s="239"/>
      <c r="M14" s="226"/>
      <c r="N14" s="27"/>
      <c r="O14" s="27"/>
      <c r="P14" s="28"/>
      <c r="Q14" s="28"/>
      <c r="R14" s="28"/>
      <c r="S14" s="28"/>
      <c r="T14" s="28"/>
      <c r="U14" s="28"/>
      <c r="V14" s="28"/>
      <c r="W14" s="28"/>
    </row>
    <row r="15" spans="1:23" s="49" customFormat="1" ht="17.25" x14ac:dyDescent="0.25">
      <c r="A15" s="259" t="s">
        <v>45</v>
      </c>
      <c r="B15" s="136"/>
      <c r="C15" s="136"/>
      <c r="D15" s="137"/>
      <c r="E15" s="138"/>
      <c r="F15" s="138"/>
      <c r="G15" s="138"/>
      <c r="H15" s="139" t="s">
        <v>19</v>
      </c>
      <c r="I15" s="140"/>
      <c r="J15" s="141"/>
      <c r="K15" s="142"/>
      <c r="L15" s="143"/>
      <c r="M15" s="253"/>
      <c r="N15" s="48"/>
      <c r="O15" s="48"/>
      <c r="P15" s="48"/>
      <c r="Q15" s="48"/>
      <c r="R15" s="48"/>
      <c r="S15" s="48"/>
      <c r="T15" s="48"/>
      <c r="U15" s="48"/>
      <c r="V15" s="48"/>
      <c r="W15" s="48"/>
    </row>
    <row r="16" spans="1:23" ht="21" customHeight="1" x14ac:dyDescent="0.25">
      <c r="A16" s="160"/>
      <c r="B16" s="160"/>
      <c r="C16" s="186" t="s">
        <v>21</v>
      </c>
      <c r="D16" s="161" t="s">
        <v>3</v>
      </c>
      <c r="E16" s="186"/>
      <c r="F16" s="160" t="s">
        <v>41</v>
      </c>
      <c r="G16" s="160" t="s">
        <v>24</v>
      </c>
      <c r="H16" s="167" t="s">
        <v>25</v>
      </c>
      <c r="I16" s="180" t="s">
        <v>26</v>
      </c>
      <c r="J16" s="180" t="s">
        <v>27</v>
      </c>
      <c r="K16" s="168" t="s">
        <v>28</v>
      </c>
      <c r="L16" s="166" t="s">
        <v>29</v>
      </c>
      <c r="M16" s="226"/>
      <c r="N16" s="23"/>
      <c r="O16" s="23"/>
      <c r="P16" s="23"/>
      <c r="Q16" s="23"/>
      <c r="R16" s="23"/>
      <c r="S16" s="23"/>
      <c r="T16" s="23"/>
      <c r="U16" s="23"/>
      <c r="V16" s="23"/>
      <c r="W16" s="23"/>
    </row>
    <row r="17" spans="1:23" ht="21" customHeight="1" x14ac:dyDescent="0.25">
      <c r="A17" s="233" t="str">
        <f>IFERROR(IF(HLOOKUP($L$5,RangeUnitsetsTESOL,M17,FALSE)=0,"",HLOOKUP($L$5,RangeUnitsetsTESOL,M17,FALSE)),"")</f>
        <v/>
      </c>
      <c r="B17" s="50" t="str">
        <f>IFERROR(IF(VLOOKUP($A17,TableHandbook[],2,FALSE)=0,"",VLOOKUP($A17,TableHandbook[],2,FALSE)),"")</f>
        <v/>
      </c>
      <c r="C17" s="295" t="str">
        <f>IFERROR(IF(VLOOKUP($A17,TableHandbook[],3,FALSE)=0,"",VLOOKUP($A17,TableHandbook[],3,FALSE)),"")</f>
        <v/>
      </c>
      <c r="D17" s="51" t="str">
        <f>IFERROR(IF(VLOOKUP($A17,TableHandbook[],4,FALSE)=0,"",VLOOKUP($A17,TableHandbook[],4,FALSE)),"")</f>
        <v/>
      </c>
      <c r="E17" s="52"/>
      <c r="F17" s="53" t="str">
        <f>IFERROR(IF(VLOOKUP($A17,TableHandbook[],6,FALSE)=0,"",VLOOKUP($A17,TableHandbook[],6,FALSE)),"")</f>
        <v/>
      </c>
      <c r="G17" s="53" t="str">
        <f>IFERROR(IF(VLOOKUP($A17,TableHandbook[],5,FALSE)=0,"",VLOOKUP($A17,TableHandbook[],5,FALSE)),"")</f>
        <v/>
      </c>
      <c r="H17" s="70" t="str">
        <f>IFERROR(VLOOKUP($A17,TableHandbook[],H$2,FALSE),"")</f>
        <v/>
      </c>
      <c r="I17" s="60" t="str">
        <f>IFERROR(VLOOKUP($A17,TableHandbook[],I$2,FALSE),"")</f>
        <v/>
      </c>
      <c r="J17" s="60" t="str">
        <f>IFERROR(VLOOKUP($A17,TableHandbook[],J$2,FALSE),"")</f>
        <v/>
      </c>
      <c r="K17" s="71" t="str">
        <f>IFERROR(VLOOKUP($A17,TableHandbook[],K$2,FALSE),"")</f>
        <v/>
      </c>
      <c r="L17" s="59"/>
      <c r="M17" s="226">
        <v>10</v>
      </c>
      <c r="N17" s="23"/>
      <c r="O17" s="23"/>
      <c r="P17" s="23"/>
      <c r="Q17" s="23"/>
      <c r="R17" s="23"/>
      <c r="S17" s="23"/>
      <c r="T17" s="23"/>
      <c r="U17" s="23"/>
      <c r="V17" s="23"/>
      <c r="W17" s="23"/>
    </row>
    <row r="18" spans="1:23" ht="21" customHeight="1" x14ac:dyDescent="0.25">
      <c r="A18" s="233" t="str">
        <f>IFERROR(IF(HLOOKUP($L$5,RangeUnitsetsTESOL,M18,FALSE)=0,"",HLOOKUP($L$5,RangeUnitsetsTESOL,M18,FALSE)),"")</f>
        <v/>
      </c>
      <c r="B18" s="50" t="str">
        <f>IFERROR(IF(VLOOKUP($A18,TableHandbook[],2,FALSE)=0,"",VLOOKUP($A18,TableHandbook[],2,FALSE)),"")</f>
        <v/>
      </c>
      <c r="C18" s="295" t="str">
        <f>IFERROR(IF(VLOOKUP($A18,TableHandbook[],3,FALSE)=0,"",VLOOKUP($A18,TableHandbook[],3,FALSE)),"")</f>
        <v/>
      </c>
      <c r="D18" s="51" t="str">
        <f>IFERROR(IF(VLOOKUP($A18,TableHandbook[],4,FALSE)=0,"",VLOOKUP($A18,TableHandbook[],4,FALSE)),"")</f>
        <v/>
      </c>
      <c r="E18" s="52"/>
      <c r="F18" s="53" t="str">
        <f>IFERROR(IF(VLOOKUP($A18,TableHandbook[],6,FALSE)=0,"",VLOOKUP($A18,TableHandbook[],6,FALSE)),"")</f>
        <v/>
      </c>
      <c r="G18" s="53" t="str">
        <f>IFERROR(IF(VLOOKUP($A18,TableHandbook[],5,FALSE)=0,"",VLOOKUP($A18,TableHandbook[],5,FALSE)),"")</f>
        <v/>
      </c>
      <c r="H18" s="68" t="str">
        <f>IFERROR(VLOOKUP($A18,TableHandbook[],H$2,FALSE),"")</f>
        <v/>
      </c>
      <c r="I18" s="58" t="str">
        <f>IFERROR(VLOOKUP($A18,TableHandbook[],I$2,FALSE),"")</f>
        <v/>
      </c>
      <c r="J18" s="58" t="str">
        <f>IFERROR(VLOOKUP($A18,TableHandbook[],J$2,FALSE),"")</f>
        <v/>
      </c>
      <c r="K18" s="69" t="str">
        <f>IFERROR(VLOOKUP($A18,TableHandbook[],K$2,FALSE),"")</f>
        <v/>
      </c>
      <c r="L18" s="59"/>
      <c r="M18" s="226">
        <v>11</v>
      </c>
      <c r="N18" s="23"/>
      <c r="O18" s="23"/>
      <c r="P18" s="23"/>
      <c r="Q18" s="23"/>
      <c r="R18" s="23"/>
      <c r="S18" s="23"/>
      <c r="T18" s="23"/>
      <c r="U18" s="23"/>
      <c r="V18" s="23"/>
      <c r="W18" s="23"/>
    </row>
    <row r="19" spans="1:23" ht="21" customHeight="1" x14ac:dyDescent="0.25">
      <c r="A19" s="233" t="str">
        <f>IFERROR(IF(HLOOKUP($L$5,RangeUnitsetsTESOL,M19,FALSE)=0,"",HLOOKUP($L$5,RangeUnitsetsTESOL,M19,FALSE)),"")</f>
        <v/>
      </c>
      <c r="B19" s="50" t="str">
        <f>IFERROR(IF(VLOOKUP($A19,TableHandbook[],2,FALSE)=0,"",VLOOKUP($A19,TableHandbook[],2,FALSE)),"")</f>
        <v/>
      </c>
      <c r="C19" s="295" t="str">
        <f>IFERROR(IF(VLOOKUP($A19,TableHandbook[],3,FALSE)=0,"",VLOOKUP($A19,TableHandbook[],3,FALSE)),"")</f>
        <v/>
      </c>
      <c r="D19" s="51" t="str">
        <f>IFERROR(IF(VLOOKUP($A19,TableHandbook[],4,FALSE)=0,"",VLOOKUP($A19,TableHandbook[],4,FALSE)),"")</f>
        <v/>
      </c>
      <c r="E19" s="52"/>
      <c r="F19" s="53" t="str">
        <f>IFERROR(IF(VLOOKUP($A19,TableHandbook[],6,FALSE)=0,"",VLOOKUP($A19,TableHandbook[],6,FALSE)),"")</f>
        <v/>
      </c>
      <c r="G19" s="53" t="str">
        <f>IFERROR(IF(VLOOKUP($A19,TableHandbook[],5,FALSE)=0,"",VLOOKUP($A19,TableHandbook[],5,FALSE)),"")</f>
        <v/>
      </c>
      <c r="H19" s="68" t="str">
        <f>IFERROR(VLOOKUP($A19,TableHandbook[],H$2,FALSE),"")</f>
        <v/>
      </c>
      <c r="I19" s="58" t="str">
        <f>IFERROR(VLOOKUP($A19,TableHandbook[],I$2,FALSE),"")</f>
        <v/>
      </c>
      <c r="J19" s="58" t="str">
        <f>IFERROR(VLOOKUP($A19,TableHandbook[],J$2,FALSE),"")</f>
        <v/>
      </c>
      <c r="K19" s="69" t="str">
        <f>IFERROR(VLOOKUP($A19,TableHandbook[],K$2,FALSE),"")</f>
        <v/>
      </c>
      <c r="L19" s="59"/>
      <c r="M19" s="226">
        <v>12</v>
      </c>
      <c r="N19" s="23"/>
      <c r="O19" s="23"/>
      <c r="P19" s="23"/>
      <c r="Q19" s="23"/>
      <c r="R19" s="23"/>
      <c r="S19" s="23"/>
      <c r="T19" s="23"/>
      <c r="U19" s="23"/>
      <c r="V19" s="23"/>
      <c r="W19" s="23"/>
    </row>
    <row r="20" spans="1:23" ht="15" customHeight="1" x14ac:dyDescent="0.25">
      <c r="A20" s="254"/>
      <c r="B20" s="255"/>
      <c r="C20" s="256"/>
      <c r="D20" s="256"/>
      <c r="E20" s="257"/>
      <c r="F20" s="258"/>
      <c r="G20" s="258"/>
      <c r="H20" s="235"/>
      <c r="I20" s="235"/>
      <c r="J20" s="235"/>
      <c r="K20" s="235"/>
      <c r="L20" s="236"/>
      <c r="M20" s="226"/>
      <c r="N20" s="23"/>
      <c r="O20" s="23"/>
      <c r="P20" s="23"/>
      <c r="Q20" s="23"/>
      <c r="R20" s="23"/>
      <c r="S20" s="23"/>
      <c r="T20" s="23"/>
      <c r="U20" s="23"/>
      <c r="V20" s="23"/>
      <c r="W20" s="23"/>
    </row>
    <row r="21" spans="1:23" s="23" customFormat="1" ht="18" x14ac:dyDescent="0.25">
      <c r="A21" s="75" t="s">
        <v>32</v>
      </c>
      <c r="B21" s="75"/>
      <c r="C21" s="75"/>
      <c r="D21" s="75"/>
      <c r="E21" s="75"/>
      <c r="F21" s="75"/>
      <c r="G21" s="75"/>
      <c r="H21" s="75"/>
      <c r="I21" s="75"/>
      <c r="J21" s="75"/>
      <c r="K21" s="75"/>
      <c r="L21" s="75"/>
    </row>
    <row r="22" spans="1:23" s="45" customFormat="1" ht="17.25" x14ac:dyDescent="0.2">
      <c r="A22" s="39" t="s">
        <v>33</v>
      </c>
      <c r="B22" s="39"/>
      <c r="C22" s="39"/>
      <c r="D22" s="40"/>
      <c r="E22" s="40"/>
      <c r="F22" s="40"/>
      <c r="G22" s="40"/>
      <c r="H22" s="40"/>
      <c r="I22" s="40"/>
      <c r="J22" s="40"/>
      <c r="K22" s="40"/>
      <c r="L22" s="40"/>
      <c r="M22" s="43"/>
      <c r="N22" s="43"/>
      <c r="O22" s="43"/>
      <c r="P22" s="44"/>
      <c r="Q22" s="44"/>
      <c r="R22" s="44"/>
      <c r="S22" s="44"/>
      <c r="T22" s="44"/>
      <c r="U22" s="44"/>
      <c r="V22" s="44"/>
      <c r="W22" s="44"/>
    </row>
    <row r="23" spans="1:23" x14ac:dyDescent="0.25">
      <c r="A23" s="41" t="s">
        <v>34</v>
      </c>
      <c r="B23" s="41"/>
      <c r="C23" s="41"/>
      <c r="D23" s="41"/>
      <c r="E23" s="54"/>
      <c r="F23" s="42"/>
      <c r="G23" s="55"/>
      <c r="H23" s="55"/>
      <c r="I23" s="55"/>
      <c r="J23" s="55"/>
      <c r="K23" s="55"/>
      <c r="L23" s="55" t="s">
        <v>35</v>
      </c>
    </row>
  </sheetData>
  <sheetProtection formatCells="0"/>
  <mergeCells count="1">
    <mergeCell ref="A3:D3"/>
  </mergeCells>
  <conditionalFormatting sqref="A9:L13 A17:L19">
    <cfRule type="expression" dxfId="343" priority="2">
      <formula>$A9=""</formula>
    </cfRule>
  </conditionalFormatting>
  <conditionalFormatting sqref="A17:L19">
    <cfRule type="expression" dxfId="342" priority="3">
      <formula>LEFT($D17,5)="Study"</formula>
    </cfRule>
  </conditionalFormatting>
  <conditionalFormatting sqref="D5:D6">
    <cfRule type="containsText" dxfId="341" priority="1" operator="containsText" text="Choose">
      <formula>NOT(ISERROR(SEARCH("Choose",D5)))</formula>
    </cfRule>
  </conditionalFormatting>
  <dataValidations count="1">
    <dataValidation type="list" allowBlank="1" showInputMessage="1" showErrorMessage="1" sqref="L11"/>
  </dataValidations>
  <hyperlinks>
    <hyperlink ref="A22:L22"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Unitsets!$A$22:$A$26</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W17"/>
  <sheetViews>
    <sheetView showGridLines="0" topLeftCell="A3" workbookViewId="0">
      <selection activeCell="D7" sqref="D7"/>
    </sheetView>
  </sheetViews>
  <sheetFormatPr defaultColWidth="9" defaultRowHeight="15" x14ac:dyDescent="0.25"/>
  <cols>
    <col min="1" max="1" width="10.125" style="16" customWidth="1"/>
    <col min="2" max="2" width="3.25" style="16" customWidth="1"/>
    <col min="3" max="3" width="11.875" style="16" bestFit="1" customWidth="1"/>
    <col min="4" max="4" width="65" style="13" customWidth="1"/>
    <col min="5" max="5" width="7.2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2"/>
      <c r="K1" s="11"/>
      <c r="L1" s="11" t="s">
        <v>7</v>
      </c>
    </row>
    <row r="2" spans="1:23" hidden="1" x14ac:dyDescent="0.25">
      <c r="A2" s="228"/>
      <c r="B2" s="228">
        <v>2</v>
      </c>
      <c r="C2" s="228">
        <v>3</v>
      </c>
      <c r="D2" s="228">
        <v>4</v>
      </c>
      <c r="E2" s="228"/>
      <c r="F2" s="228">
        <v>6</v>
      </c>
      <c r="G2" s="228">
        <v>5</v>
      </c>
      <c r="H2" s="228">
        <v>7</v>
      </c>
      <c r="I2" s="228">
        <v>8</v>
      </c>
      <c r="J2" s="228">
        <v>9</v>
      </c>
      <c r="K2" s="228">
        <v>10</v>
      </c>
      <c r="L2" s="260"/>
    </row>
    <row r="3" spans="1:23" ht="39.950000000000003" customHeight="1" x14ac:dyDescent="0.25">
      <c r="A3" s="428" t="s">
        <v>8</v>
      </c>
      <c r="B3" s="428"/>
      <c r="C3" s="428"/>
      <c r="D3" s="428"/>
      <c r="E3" s="135"/>
      <c r="F3" s="135"/>
      <c r="G3" s="135"/>
      <c r="H3" s="135"/>
      <c r="I3" s="135"/>
      <c r="J3" s="135"/>
      <c r="K3" s="135"/>
      <c r="L3" s="135"/>
    </row>
    <row r="4" spans="1:23" ht="25.5" x14ac:dyDescent="0.25">
      <c r="A4" s="14"/>
      <c r="B4" s="15"/>
      <c r="C4" s="15"/>
      <c r="D4" s="309" t="s">
        <v>9</v>
      </c>
      <c r="E4" s="265"/>
      <c r="F4" s="15"/>
      <c r="G4" s="72"/>
      <c r="H4" s="72"/>
      <c r="I4" s="72"/>
      <c r="J4" s="72"/>
      <c r="K4" s="72"/>
      <c r="L4" s="72"/>
    </row>
    <row r="5" spans="1:23" ht="20.100000000000001" customHeight="1" x14ac:dyDescent="0.25">
      <c r="B5" s="17"/>
      <c r="C5" s="190" t="s">
        <v>10</v>
      </c>
      <c r="D5" s="170" t="s">
        <v>46</v>
      </c>
      <c r="E5" s="18"/>
      <c r="F5" s="190" t="s">
        <v>12</v>
      </c>
      <c r="G5" s="18" t="str">
        <f>IFERROR(CONCATENATE(VLOOKUP(D5,TableCourses[],2,FALSE)," ",VLOOKUP(D5,TableCourses[],3,FALSE)),"")</f>
        <v>OC-EDHE v.1</v>
      </c>
      <c r="H5" s="18"/>
      <c r="I5" s="18"/>
      <c r="J5" s="18"/>
      <c r="K5" s="18"/>
      <c r="L5" s="306" t="e">
        <f>CONCATENATE(VLOOKUP(D5,TableCourses[],2,FALSE),VLOOKUP(D6,TableStudyPeriods[],2,FALSE))</f>
        <v>#N/A</v>
      </c>
    </row>
    <row r="6" spans="1:23" ht="20.100000000000001" customHeight="1" x14ac:dyDescent="0.25">
      <c r="A6" s="20"/>
      <c r="B6" s="21"/>
      <c r="C6" s="190" t="s">
        <v>16</v>
      </c>
      <c r="D6" s="171" t="s">
        <v>17</v>
      </c>
      <c r="E6" s="22"/>
      <c r="F6" s="190" t="s">
        <v>18</v>
      </c>
      <c r="G6" s="18" t="str">
        <f>IFERROR(VLOOKUP($D$5,TableCourses[],4,FALSE),"")</f>
        <v>100 credit points required</v>
      </c>
      <c r="H6" s="76"/>
      <c r="I6" s="76"/>
      <c r="J6" s="76"/>
      <c r="K6" s="76"/>
      <c r="L6" s="76"/>
      <c r="M6" s="23"/>
      <c r="N6" s="23"/>
      <c r="O6" s="23"/>
      <c r="P6" s="23"/>
      <c r="Q6" s="23"/>
      <c r="R6" s="23"/>
      <c r="S6" s="23"/>
      <c r="T6" s="23"/>
      <c r="U6" s="23"/>
      <c r="V6" s="23"/>
      <c r="W6" s="23"/>
    </row>
    <row r="7" spans="1:23" s="26" customFormat="1" ht="14.1" customHeight="1" x14ac:dyDescent="0.25">
      <c r="A7" s="160"/>
      <c r="B7" s="160"/>
      <c r="C7" s="160"/>
      <c r="D7" s="161"/>
      <c r="E7" s="162"/>
      <c r="F7" s="160"/>
      <c r="G7" s="160"/>
      <c r="H7" s="163" t="s">
        <v>19</v>
      </c>
      <c r="I7" s="179"/>
      <c r="J7" s="179"/>
      <c r="K7" s="174"/>
      <c r="L7" s="165"/>
      <c r="M7" s="24"/>
      <c r="N7" s="24"/>
      <c r="O7" s="24"/>
      <c r="P7" s="25"/>
      <c r="Q7" s="25"/>
      <c r="R7" s="25"/>
      <c r="S7" s="25"/>
      <c r="T7" s="25"/>
      <c r="U7" s="25"/>
      <c r="V7" s="25"/>
      <c r="W7" s="25"/>
    </row>
    <row r="8" spans="1:23" s="26" customFormat="1" ht="21" x14ac:dyDescent="0.25">
      <c r="A8" s="160" t="s">
        <v>20</v>
      </c>
      <c r="B8" s="160"/>
      <c r="C8" s="160" t="s">
        <v>21</v>
      </c>
      <c r="D8" s="161" t="s">
        <v>3</v>
      </c>
      <c r="E8" s="186" t="s">
        <v>22</v>
      </c>
      <c r="F8" s="160" t="s">
        <v>41</v>
      </c>
      <c r="G8" s="160" t="s">
        <v>24</v>
      </c>
      <c r="H8" s="167" t="s">
        <v>25</v>
      </c>
      <c r="I8" s="180" t="s">
        <v>26</v>
      </c>
      <c r="J8" s="180" t="s">
        <v>27</v>
      </c>
      <c r="K8" s="181" t="s">
        <v>28</v>
      </c>
      <c r="L8" s="166" t="s">
        <v>29</v>
      </c>
      <c r="M8" s="24"/>
      <c r="N8" s="24"/>
      <c r="O8" s="24"/>
      <c r="P8" s="25"/>
      <c r="Q8" s="25"/>
      <c r="R8" s="25"/>
      <c r="S8" s="25"/>
      <c r="T8" s="25"/>
      <c r="U8" s="25"/>
      <c r="V8" s="25"/>
      <c r="W8" s="25"/>
    </row>
    <row r="9" spans="1:23" s="29" customFormat="1" ht="21" customHeight="1" x14ac:dyDescent="0.15">
      <c r="A9" s="64" t="str">
        <f>IFERROR(IF(HLOOKUP($L$5,RangeUnitsetsOCEDHE,M9,FALSE)=0,"",HLOOKUP($L$5,RangeUnitsetsOCEDHE,M9,FALSE)),"")</f>
        <v/>
      </c>
      <c r="B9" s="58" t="str">
        <f>IFERROR(IF(VLOOKUP($A9,TableHandbook[],2,FALSE)=0,"",VLOOKUP($A9,TableHandbook[],2,FALSE)),"")</f>
        <v/>
      </c>
      <c r="C9" s="58" t="str">
        <f>IFERROR(IF(VLOOKUP($A9,TableHandbook[],3,FALSE)=0,"",VLOOKUP($A9,TableHandbook[],3,FALSE)),"")</f>
        <v/>
      </c>
      <c r="D9" s="65" t="str">
        <f>IFERROR(IF(VLOOKUP($A9,TableHandbook[],4,FALSE)=0,"",VLOOKUP($A9,TableHandbook[],4,FALSE)),"")</f>
        <v/>
      </c>
      <c r="E9" s="58" t="str">
        <f>IF(OR(A9="",A9="--"),"",VLOOKUP($D$6,TableStudyPeriods[],2,FALSE))</f>
        <v/>
      </c>
      <c r="F9" s="57" t="str">
        <f>IFERROR(IF(VLOOKUP($A9,TableHandbook[],6,FALSE)=0,"",VLOOKUP($A9,TableHandbook[],6,FALSE)),"")</f>
        <v/>
      </c>
      <c r="G9" s="58" t="str">
        <f>IFERROR(IF(VLOOKUP($A9,TableHandbook[],5,FALSE)=0,"",VLOOKUP($A9,TableHandbook[],5,FALSE)),"")</f>
        <v/>
      </c>
      <c r="H9" s="68" t="str">
        <f>IFERROR(VLOOKUP($A9,TableHandbook[],H$2,FALSE),"")</f>
        <v/>
      </c>
      <c r="I9" s="58" t="str">
        <f>IFERROR(VLOOKUP($A9,TableHandbook[],I$2,FALSE),"")</f>
        <v/>
      </c>
      <c r="J9" s="58" t="str">
        <f>IFERROR(VLOOKUP($A9,TableHandbook[],J$2,FALSE),"")</f>
        <v/>
      </c>
      <c r="K9" s="182" t="str">
        <f>IFERROR(VLOOKUP($A9,TableHandbook[],K$2,FALSE),"")</f>
        <v/>
      </c>
      <c r="L9" s="66"/>
      <c r="M9" s="226">
        <v>2</v>
      </c>
      <c r="N9" s="27"/>
      <c r="O9" s="27"/>
      <c r="P9" s="28"/>
      <c r="Q9" s="28"/>
      <c r="R9" s="28"/>
      <c r="S9" s="28"/>
      <c r="T9" s="28"/>
      <c r="U9" s="28"/>
      <c r="V9" s="28"/>
      <c r="W9" s="28"/>
    </row>
    <row r="10" spans="1:23" s="29" customFormat="1" ht="21" customHeight="1" x14ac:dyDescent="0.15">
      <c r="A10" s="64" t="str">
        <f>IFERROR(IF(HLOOKUP($L$5,RangeUnitsetsOCEDHE,M10,FALSE)=0,"",HLOOKUP($L$5,RangeUnitsetsOCEDHE,M10,FALSE)),"")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IF(A10="","",E9)</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3</v>
      </c>
      <c r="N10" s="27"/>
      <c r="O10" s="27"/>
      <c r="P10" s="28"/>
      <c r="Q10" s="28"/>
      <c r="R10" s="28"/>
      <c r="S10" s="28"/>
      <c r="T10" s="28"/>
      <c r="U10" s="28"/>
      <c r="V10" s="28"/>
      <c r="W10" s="28"/>
    </row>
    <row r="11" spans="1:23" s="29" customFormat="1" ht="4.5" customHeight="1" x14ac:dyDescent="0.15">
      <c r="A11" s="30"/>
      <c r="B11" s="31"/>
      <c r="C11" s="31"/>
      <c r="D11" s="32"/>
      <c r="E11" s="31"/>
      <c r="F11" s="33"/>
      <c r="G11" s="31"/>
      <c r="H11" s="134"/>
      <c r="I11" s="183"/>
      <c r="J11" s="183"/>
      <c r="K11" s="184"/>
      <c r="L11" s="34"/>
      <c r="M11" s="226"/>
      <c r="N11" s="27"/>
      <c r="O11" s="27"/>
      <c r="P11" s="27"/>
      <c r="Q11" s="28"/>
      <c r="R11" s="28"/>
      <c r="S11" s="28"/>
      <c r="T11" s="28"/>
      <c r="U11" s="28"/>
      <c r="V11" s="28"/>
      <c r="W11" s="28"/>
    </row>
    <row r="12" spans="1:23" s="29" customFormat="1" ht="21" customHeight="1" x14ac:dyDescent="0.15">
      <c r="A12" s="64" t="str">
        <f>IFERROR(IF(HLOOKUP($L$5,RangeUnitsetsOCEDHE,M12,FALSE)=0,"",HLOOKUP($L$5,RangeUnitsetsOCEDHE,M12,FALSE)),"")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IF(OR(A12="",A12="--"),"",VLOOKUP($D$6,TableStudyPeriods[],3,FALSE))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182" t="str">
        <f>IFERROR(VLOOKUP($A12,TableHandbook[],K$2,FALSE),"")</f>
        <v/>
      </c>
      <c r="L12" s="67"/>
      <c r="M12" s="226">
        <v>4</v>
      </c>
      <c r="N12" s="27"/>
      <c r="O12" s="27"/>
      <c r="P12" s="28"/>
      <c r="Q12" s="28"/>
      <c r="R12" s="28"/>
      <c r="S12" s="28"/>
      <c r="T12" s="28"/>
      <c r="U12" s="28"/>
      <c r="V12" s="28"/>
      <c r="W12" s="28"/>
    </row>
    <row r="13" spans="1:23" s="29" customFormat="1" ht="21" customHeight="1" x14ac:dyDescent="0.15">
      <c r="A13" s="64" t="str">
        <f>IFERROR(IF(HLOOKUP($L$5,RangeUnitsetsOCEDHE,M13,FALSE)=0,"",HLOOKUP($L$5,RangeUnitsetsOCEDHE,M13,FALSE)),"")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6"/>
      <c r="M13" s="226">
        <v>5</v>
      </c>
      <c r="N13" s="27"/>
      <c r="O13" s="27"/>
      <c r="P13" s="28"/>
      <c r="Q13" s="28"/>
      <c r="R13" s="28"/>
      <c r="S13" s="28"/>
      <c r="T13" s="28"/>
      <c r="U13" s="28"/>
      <c r="V13" s="28"/>
      <c r="W13" s="28"/>
    </row>
    <row r="14" spans="1:23" s="29" customFormat="1" ht="15" customHeight="1" x14ac:dyDescent="0.15">
      <c r="A14" s="235"/>
      <c r="B14" s="236"/>
      <c r="C14" s="236"/>
      <c r="D14" s="237"/>
      <c r="E14" s="236"/>
      <c r="F14" s="238"/>
      <c r="G14" s="235"/>
      <c r="H14" s="235"/>
      <c r="I14" s="235"/>
      <c r="J14" s="235"/>
      <c r="K14" s="235"/>
      <c r="L14" s="239"/>
      <c r="M14" s="226"/>
      <c r="N14" s="27"/>
      <c r="O14" s="27"/>
      <c r="P14" s="28"/>
      <c r="Q14" s="28"/>
      <c r="R14" s="28"/>
      <c r="S14" s="28"/>
      <c r="T14" s="28"/>
      <c r="U14" s="28"/>
      <c r="V14" s="28"/>
      <c r="W14" s="28"/>
    </row>
    <row r="15" spans="1:23" s="23" customFormat="1" ht="18" x14ac:dyDescent="0.25">
      <c r="A15" s="75" t="s">
        <v>32</v>
      </c>
      <c r="B15" s="75"/>
      <c r="C15" s="75"/>
      <c r="D15" s="75"/>
      <c r="E15" s="75"/>
      <c r="F15" s="75"/>
      <c r="G15" s="75"/>
      <c r="H15" s="75"/>
      <c r="I15" s="75"/>
      <c r="J15" s="75"/>
      <c r="K15" s="75"/>
      <c r="L15" s="75"/>
    </row>
    <row r="16" spans="1:23" s="45" customFormat="1" ht="17.25" x14ac:dyDescent="0.2">
      <c r="A16" s="39" t="s">
        <v>33</v>
      </c>
      <c r="B16" s="39"/>
      <c r="C16" s="39"/>
      <c r="D16" s="40"/>
      <c r="E16" s="40"/>
      <c r="F16" s="40"/>
      <c r="G16" s="40"/>
      <c r="H16" s="40"/>
      <c r="I16" s="40"/>
      <c r="J16" s="40"/>
      <c r="K16" s="40"/>
      <c r="L16" s="40"/>
      <c r="M16" s="43"/>
      <c r="N16" s="43"/>
      <c r="O16" s="43"/>
      <c r="P16" s="44"/>
      <c r="Q16" s="44"/>
      <c r="R16" s="44"/>
      <c r="S16" s="44"/>
      <c r="T16" s="44"/>
      <c r="U16" s="44"/>
      <c r="V16" s="44"/>
      <c r="W16" s="44"/>
    </row>
    <row r="17" spans="1:12" x14ac:dyDescent="0.25">
      <c r="A17" s="41" t="s">
        <v>34</v>
      </c>
      <c r="B17" s="41"/>
      <c r="C17" s="41"/>
      <c r="D17" s="41"/>
      <c r="E17" s="54"/>
      <c r="F17" s="42"/>
      <c r="G17" s="55"/>
      <c r="H17" s="55"/>
      <c r="I17" s="55"/>
      <c r="J17" s="55"/>
      <c r="K17" s="55"/>
      <c r="L17" s="55" t="s">
        <v>35</v>
      </c>
    </row>
  </sheetData>
  <sheetProtection formatCells="0"/>
  <mergeCells count="1">
    <mergeCell ref="A3:D3"/>
  </mergeCells>
  <conditionalFormatting sqref="A9:L13">
    <cfRule type="expression" dxfId="340" priority="2">
      <formula>$A9=""</formula>
    </cfRule>
  </conditionalFormatting>
  <conditionalFormatting sqref="D5:D6">
    <cfRule type="containsText" dxfId="339" priority="1" operator="containsText" text="Choose">
      <formula>NOT(ISERROR(SEARCH("Choose",D5)))</formula>
    </cfRule>
  </conditionalFormatting>
  <dataValidations count="1">
    <dataValidation type="list" allowBlank="1" showInputMessage="1" showErrorMessage="1" sqref="L11"/>
  </dataValidations>
  <hyperlinks>
    <hyperlink ref="A16:L16"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Unitsets!$A$22:$A$26</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59999389629810485"/>
  </sheetPr>
  <dimension ref="A1:BH64"/>
  <sheetViews>
    <sheetView zoomScale="85" zoomScaleNormal="85" workbookViewId="0">
      <selection activeCell="D7" sqref="D7"/>
    </sheetView>
  </sheetViews>
  <sheetFormatPr defaultColWidth="9" defaultRowHeight="15.75" x14ac:dyDescent="0.25"/>
  <cols>
    <col min="1" max="1" width="75" style="81" bestFit="1" customWidth="1"/>
    <col min="2" max="2" width="11.5" style="243" bestFit="1" customWidth="1"/>
    <col min="3" max="3" width="8.875" style="243" bestFit="1" customWidth="1"/>
    <col min="4" max="4" width="19.375" style="243" bestFit="1" customWidth="1"/>
    <col min="5" max="5" width="16.625" style="243" bestFit="1" customWidth="1"/>
    <col min="6" max="6" width="14.5" style="243" customWidth="1"/>
    <col min="7" max="7" width="16.5" style="243" customWidth="1"/>
    <col min="8" max="8" width="20.875" style="78" bestFit="1" customWidth="1"/>
    <col min="9" max="9" width="3.625" style="79" customWidth="1"/>
    <col min="10" max="10" width="5.875" style="79" customWidth="1"/>
    <col min="11" max="11" width="15.25" style="79" bestFit="1" customWidth="1"/>
    <col min="12" max="12" width="5.875" style="79" bestFit="1" customWidth="1"/>
    <col min="13" max="13" width="15.625" style="79" bestFit="1" customWidth="1"/>
    <col min="14" max="14" width="5.875" style="79" bestFit="1" customWidth="1"/>
    <col min="15" max="15" width="15.625" style="79" bestFit="1" customWidth="1"/>
    <col min="16" max="16" width="5.875" style="79" bestFit="1" customWidth="1"/>
    <col min="17" max="17" width="15.625" style="79" bestFit="1" customWidth="1"/>
    <col min="18" max="18" width="7.375" style="79" bestFit="1" customWidth="1"/>
    <col min="19" max="19" width="15.25" style="79" bestFit="1" customWidth="1"/>
    <col min="20" max="20" width="5.875" style="79" bestFit="1" customWidth="1"/>
    <col min="21" max="21" width="15.625" style="79" bestFit="1" customWidth="1"/>
    <col min="22" max="22" width="5.875" style="79" bestFit="1" customWidth="1"/>
    <col min="23" max="23" width="15.5" style="79" customWidth="1"/>
    <col min="24" max="24" width="5.875" style="79" bestFit="1" customWidth="1"/>
    <col min="25" max="25" width="15.625" style="79" bestFit="1" customWidth="1"/>
    <col min="26" max="26" width="5.875" style="79" bestFit="1" customWidth="1"/>
    <col min="27" max="27" width="14.625" style="79" bestFit="1" customWidth="1"/>
    <col min="28" max="28" width="5.875" style="79" bestFit="1" customWidth="1"/>
    <col min="29" max="29" width="15" style="79" bestFit="1" customWidth="1"/>
    <col min="30" max="30" width="5.875" style="79" bestFit="1" customWidth="1"/>
    <col min="31" max="31" width="15" style="79" bestFit="1" customWidth="1"/>
    <col min="32" max="32" width="5.875" style="79" bestFit="1" customWidth="1"/>
    <col min="33" max="33" width="15" style="79" bestFit="1" customWidth="1"/>
    <col min="34" max="34" width="5.875" style="79" bestFit="1" customWidth="1"/>
    <col min="35" max="35" width="14.875" style="79" bestFit="1" customWidth="1"/>
    <col min="36" max="36" width="5.875" style="79" bestFit="1" customWidth="1"/>
    <col min="37" max="37" width="15.125" style="79" bestFit="1" customWidth="1"/>
    <col min="38" max="38" width="5.875" style="79" bestFit="1" customWidth="1"/>
    <col min="39" max="39" width="15.125" style="79" bestFit="1" customWidth="1"/>
    <col min="40" max="40" width="5.875" style="79" bestFit="1" customWidth="1"/>
    <col min="41" max="41" width="15.125" style="79" bestFit="1" customWidth="1"/>
    <col min="42" max="16384" width="9" style="79"/>
  </cols>
  <sheetData>
    <row r="1" spans="1:60" x14ac:dyDescent="0.25">
      <c r="A1" s="77" t="s">
        <v>47</v>
      </c>
      <c r="B1" s="242"/>
      <c r="C1" s="242"/>
      <c r="D1" s="242"/>
      <c r="J1" s="80"/>
      <c r="Z1"/>
      <c r="AA1"/>
      <c r="AB1"/>
      <c r="AC1"/>
      <c r="AD1"/>
      <c r="AE1"/>
      <c r="AF1"/>
      <c r="AG1"/>
      <c r="AH1"/>
      <c r="AI1"/>
      <c r="AJ1"/>
      <c r="AK1"/>
      <c r="AL1"/>
      <c r="AM1"/>
      <c r="AN1"/>
      <c r="AO1"/>
      <c r="AQ1" s="126" t="s">
        <v>48</v>
      </c>
    </row>
    <row r="2" spans="1:60" x14ac:dyDescent="0.25">
      <c r="J2" s="82"/>
      <c r="K2" s="83"/>
      <c r="L2" s="84"/>
      <c r="M2" s="83"/>
      <c r="N2" s="85"/>
      <c r="O2" s="83"/>
      <c r="P2" s="84"/>
      <c r="Q2" s="83"/>
      <c r="R2" s="83"/>
      <c r="S2" s="83"/>
      <c r="T2" s="83"/>
      <c r="U2" s="83"/>
      <c r="V2" s="83"/>
      <c r="W2" s="83"/>
      <c r="X2" s="83"/>
      <c r="Y2" s="83"/>
      <c r="Z2"/>
      <c r="AA2"/>
      <c r="AB2"/>
      <c r="AC2"/>
      <c r="AD2"/>
      <c r="AE2"/>
      <c r="AF2"/>
      <c r="AG2"/>
      <c r="AH2"/>
      <c r="AI2"/>
      <c r="AJ2"/>
      <c r="AK2"/>
      <c r="AL2"/>
      <c r="AM2"/>
      <c r="AN2"/>
      <c r="AO2"/>
      <c r="AP2" s="84"/>
      <c r="AQ2" s="126" t="s">
        <v>49</v>
      </c>
      <c r="AR2">
        <v>2</v>
      </c>
      <c r="AS2">
        <v>3</v>
      </c>
      <c r="AT2">
        <v>4</v>
      </c>
      <c r="AU2">
        <v>5</v>
      </c>
      <c r="AV2">
        <v>6</v>
      </c>
      <c r="AW2">
        <v>11</v>
      </c>
      <c r="AX2">
        <v>12</v>
      </c>
      <c r="AY2">
        <v>13</v>
      </c>
      <c r="AZ2">
        <v>14</v>
      </c>
      <c r="BA2" s="86"/>
      <c r="BB2" s="86"/>
      <c r="BC2" s="86"/>
      <c r="BD2" s="86"/>
      <c r="BE2" s="86"/>
      <c r="BF2" s="86"/>
      <c r="BG2" s="86"/>
      <c r="BH2" s="86"/>
    </row>
    <row r="3" spans="1:60" x14ac:dyDescent="0.25">
      <c r="J3" s="191" t="s">
        <v>50</v>
      </c>
      <c r="K3" s="83"/>
      <c r="L3" s="84"/>
      <c r="M3" s="83"/>
      <c r="N3" s="85"/>
      <c r="O3" s="83"/>
      <c r="P3" s="84"/>
      <c r="Q3" s="83"/>
      <c r="R3" s="191" t="s">
        <v>51</v>
      </c>
      <c r="S3" s="83"/>
      <c r="T3" s="83"/>
      <c r="U3" s="83"/>
      <c r="V3" s="83"/>
      <c r="W3" s="83"/>
      <c r="X3" s="83"/>
      <c r="Y3" s="83"/>
      <c r="Z3"/>
      <c r="AA3"/>
      <c r="AB3"/>
      <c r="AC3"/>
      <c r="AD3"/>
      <c r="AE3"/>
      <c r="AF3"/>
      <c r="AG3"/>
      <c r="AH3"/>
      <c r="AI3"/>
      <c r="AJ3"/>
      <c r="AK3"/>
      <c r="AL3"/>
      <c r="AM3"/>
      <c r="AN3"/>
      <c r="AO3"/>
      <c r="AP3" s="84"/>
      <c r="AQ3" s="126"/>
      <c r="AR3"/>
      <c r="AS3"/>
      <c r="AT3"/>
      <c r="AU3"/>
      <c r="AV3"/>
      <c r="AW3"/>
      <c r="AX3"/>
      <c r="AY3"/>
      <c r="AZ3"/>
      <c r="BA3" s="86"/>
      <c r="BB3" s="86"/>
      <c r="BC3" s="86"/>
      <c r="BD3" s="86"/>
      <c r="BE3" s="86"/>
      <c r="BF3" s="86"/>
      <c r="BG3" s="86"/>
      <c r="BH3" s="86"/>
    </row>
    <row r="4" spans="1:60" x14ac:dyDescent="0.25">
      <c r="H4" s="241" t="s">
        <v>52</v>
      </c>
      <c r="I4" s="87">
        <v>1</v>
      </c>
      <c r="J4" s="89"/>
      <c r="K4" s="88" t="s">
        <v>53</v>
      </c>
      <c r="L4" s="89"/>
      <c r="M4" s="88" t="s">
        <v>54</v>
      </c>
      <c r="N4" s="89"/>
      <c r="O4" s="88" t="s">
        <v>55</v>
      </c>
      <c r="P4" s="89"/>
      <c r="Q4" s="88" t="s">
        <v>56</v>
      </c>
      <c r="R4" s="89"/>
      <c r="S4" s="88" t="s">
        <v>57</v>
      </c>
      <c r="T4" s="89"/>
      <c r="U4" s="88" t="s">
        <v>58</v>
      </c>
      <c r="V4" s="89"/>
      <c r="W4" s="88" t="s">
        <v>59</v>
      </c>
      <c r="X4" s="89"/>
      <c r="Y4" s="88" t="s">
        <v>60</v>
      </c>
      <c r="Z4"/>
      <c r="AA4"/>
      <c r="AB4"/>
      <c r="AC4"/>
      <c r="AD4"/>
      <c r="AE4"/>
      <c r="AF4"/>
      <c r="AG4"/>
      <c r="AH4"/>
      <c r="AI4"/>
      <c r="AJ4"/>
      <c r="AK4"/>
      <c r="AL4"/>
      <c r="AM4"/>
      <c r="AN4"/>
      <c r="AO4"/>
      <c r="AP4" s="90"/>
      <c r="AQ4" s="101" t="s">
        <v>61</v>
      </c>
      <c r="AR4" s="101" t="s">
        <v>1</v>
      </c>
      <c r="AS4" s="102"/>
      <c r="AT4" s="101" t="s">
        <v>62</v>
      </c>
      <c r="AU4" s="103" t="s">
        <v>5</v>
      </c>
      <c r="AV4" s="103" t="s">
        <v>63</v>
      </c>
      <c r="AW4" s="104" t="s">
        <v>25</v>
      </c>
      <c r="AX4" s="104" t="s">
        <v>26</v>
      </c>
      <c r="AY4" s="104" t="s">
        <v>27</v>
      </c>
      <c r="AZ4" s="104" t="s">
        <v>28</v>
      </c>
      <c r="BA4" s="86"/>
      <c r="BB4" s="86"/>
      <c r="BC4" s="86"/>
      <c r="BD4" s="86"/>
      <c r="BE4" s="86"/>
      <c r="BF4" s="86"/>
      <c r="BG4" s="86"/>
      <c r="BH4" s="86"/>
    </row>
    <row r="5" spans="1:60" x14ac:dyDescent="0.25">
      <c r="I5" s="91">
        <v>2</v>
      </c>
      <c r="J5" s="122" t="s">
        <v>64</v>
      </c>
      <c r="K5" s="128" t="s">
        <v>65</v>
      </c>
      <c r="L5" s="122" t="s">
        <v>66</v>
      </c>
      <c r="M5" s="128" t="s">
        <v>67</v>
      </c>
      <c r="N5" s="122" t="s">
        <v>68</v>
      </c>
      <c r="O5" s="128" t="s">
        <v>65</v>
      </c>
      <c r="P5" s="122" t="s">
        <v>69</v>
      </c>
      <c r="Q5" s="128" t="s">
        <v>70</v>
      </c>
      <c r="R5" s="122" t="s">
        <v>64</v>
      </c>
      <c r="S5" s="128" t="s">
        <v>65</v>
      </c>
      <c r="T5" s="122" t="s">
        <v>66</v>
      </c>
      <c r="U5" s="128" t="s">
        <v>70</v>
      </c>
      <c r="V5" s="122" t="s">
        <v>68</v>
      </c>
      <c r="W5" s="128" t="s">
        <v>71</v>
      </c>
      <c r="X5" s="122" t="s">
        <v>69</v>
      </c>
      <c r="Y5" s="128" t="s">
        <v>70</v>
      </c>
      <c r="Z5"/>
      <c r="AA5"/>
      <c r="AB5"/>
      <c r="AC5"/>
      <c r="AD5"/>
      <c r="AE5"/>
      <c r="AF5"/>
      <c r="AG5"/>
      <c r="AH5"/>
      <c r="AI5"/>
      <c r="AJ5"/>
      <c r="AK5"/>
      <c r="AL5"/>
      <c r="AM5"/>
      <c r="AN5"/>
      <c r="AO5"/>
      <c r="AP5" s="87"/>
      <c r="AQ5" s="146" t="e">
        <f t="shared" ref="AQ5:AQ23" si="0">HLOOKUP($AQ$1,RangeUnitsetsECEPR,I5,FALSE)</f>
        <v>#N/A</v>
      </c>
      <c r="AR5" s="147" t="e">
        <f>VLOOKUP($AQ5,TableHandbook[],AR$2,FALSE)</f>
        <v>#N/A</v>
      </c>
      <c r="AS5" s="148" t="e">
        <f>VLOOKUP($AQ5,TableHandbook[],AS$2,FALSE)</f>
        <v>#N/A</v>
      </c>
      <c r="AT5" s="149" t="e">
        <f>VLOOKUP($AQ5,TableHandbook[],AT$2,FALSE)</f>
        <v>#N/A</v>
      </c>
      <c r="AU5" s="150" t="e">
        <f>VLOOKUP($AQ5,TableHandbook[],AU$2,FALSE)</f>
        <v>#N/A</v>
      </c>
      <c r="AV5" s="150" t="e">
        <f>VLOOKUP($AQ5,TableHandbook[],AV$2,FALSE)</f>
        <v>#N/A</v>
      </c>
      <c r="AW5" s="151" t="e">
        <f>VLOOKUP($AQ5,TableHandbook[],AW$2,FALSE)</f>
        <v>#N/A</v>
      </c>
      <c r="AX5" s="151" t="e">
        <f>VLOOKUP($AQ5,TableHandbook[],AX$2,FALSE)</f>
        <v>#N/A</v>
      </c>
      <c r="AY5" s="151" t="e">
        <f>VLOOKUP($AQ5,TableHandbook[],AY$2,FALSE)</f>
        <v>#N/A</v>
      </c>
      <c r="AZ5" s="151" t="e">
        <f>VLOOKUP($AQ5,TableHandbook[],AZ$2,FALSE)</f>
        <v>#N/A</v>
      </c>
      <c r="BA5" s="86"/>
      <c r="BB5" s="86"/>
      <c r="BC5" s="86"/>
      <c r="BD5" s="86"/>
      <c r="BE5" s="86"/>
      <c r="BF5" s="86"/>
      <c r="BG5" s="86"/>
      <c r="BH5" s="86"/>
    </row>
    <row r="6" spans="1:60" x14ac:dyDescent="0.25">
      <c r="A6" s="240" t="s">
        <v>72</v>
      </c>
      <c r="I6" s="91">
        <v>3</v>
      </c>
      <c r="J6" s="123" t="s">
        <v>64</v>
      </c>
      <c r="K6" s="129" t="s">
        <v>71</v>
      </c>
      <c r="L6" s="123" t="s">
        <v>66</v>
      </c>
      <c r="M6" s="129" t="s">
        <v>73</v>
      </c>
      <c r="N6" s="123" t="s">
        <v>68</v>
      </c>
      <c r="O6" s="129" t="s">
        <v>74</v>
      </c>
      <c r="P6" s="123" t="s">
        <v>69</v>
      </c>
      <c r="Q6" s="129" t="s">
        <v>75</v>
      </c>
      <c r="R6" s="123" t="s">
        <v>64</v>
      </c>
      <c r="S6" s="129" t="s">
        <v>71</v>
      </c>
      <c r="T6" s="123" t="s">
        <v>66</v>
      </c>
      <c r="U6" s="129" t="s">
        <v>76</v>
      </c>
      <c r="V6" s="123" t="s">
        <v>68</v>
      </c>
      <c r="W6" s="129" t="s">
        <v>65</v>
      </c>
      <c r="X6" s="123" t="s">
        <v>69</v>
      </c>
      <c r="Y6" s="129" t="s">
        <v>77</v>
      </c>
      <c r="Z6"/>
      <c r="AA6"/>
      <c r="AB6"/>
      <c r="AC6"/>
      <c r="AD6"/>
      <c r="AE6"/>
      <c r="AF6"/>
      <c r="AG6"/>
      <c r="AH6"/>
      <c r="AI6"/>
      <c r="AJ6"/>
      <c r="AK6"/>
      <c r="AL6"/>
      <c r="AM6"/>
      <c r="AN6"/>
      <c r="AO6"/>
      <c r="AP6" s="87"/>
      <c r="AQ6" s="152" t="e">
        <f t="shared" si="0"/>
        <v>#N/A</v>
      </c>
      <c r="AR6" s="153" t="e">
        <f>VLOOKUP($AQ6,TableHandbook[],AR$2,FALSE)</f>
        <v>#N/A</v>
      </c>
      <c r="AS6" s="154" t="e">
        <f>VLOOKUP($AQ6,TableHandbook[],AS$2,FALSE)</f>
        <v>#N/A</v>
      </c>
      <c r="AT6" s="155" t="e">
        <f>VLOOKUP($AQ6,TableHandbook[],AT$2,FALSE)</f>
        <v>#N/A</v>
      </c>
      <c r="AU6" s="156" t="e">
        <f>VLOOKUP($AQ6,TableHandbook[],AU$2,FALSE)</f>
        <v>#N/A</v>
      </c>
      <c r="AV6" s="156" t="e">
        <f>VLOOKUP($AQ6,TableHandbook[],AV$2,FALSE)</f>
        <v>#N/A</v>
      </c>
      <c r="AW6" s="157" t="e">
        <f>VLOOKUP($AQ6,TableHandbook[],AW$2,FALSE)</f>
        <v>#N/A</v>
      </c>
      <c r="AX6" s="157" t="e">
        <f>VLOOKUP($AQ6,TableHandbook[],AX$2,FALSE)</f>
        <v>#N/A</v>
      </c>
      <c r="AY6" s="157" t="e">
        <f>VLOOKUP($AQ6,TableHandbook[],AY$2,FALSE)</f>
        <v>#N/A</v>
      </c>
      <c r="AZ6" s="157" t="e">
        <f>VLOOKUP($AQ6,TableHandbook[],AZ$2,FALSE)</f>
        <v>#N/A</v>
      </c>
      <c r="BA6" s="86"/>
      <c r="BB6" s="86"/>
      <c r="BC6" s="86"/>
      <c r="BD6" s="86"/>
      <c r="BE6" s="86"/>
      <c r="BF6" s="86"/>
      <c r="BG6" s="86"/>
      <c r="BH6" s="86"/>
    </row>
    <row r="7" spans="1:60" x14ac:dyDescent="0.25">
      <c r="A7" s="78" t="s">
        <v>78</v>
      </c>
      <c r="B7" s="243" t="s">
        <v>0</v>
      </c>
      <c r="C7" s="243" t="s">
        <v>79</v>
      </c>
      <c r="D7" s="243" t="s">
        <v>80</v>
      </c>
      <c r="E7" s="243" t="s">
        <v>81</v>
      </c>
      <c r="F7" s="243" t="s">
        <v>82</v>
      </c>
      <c r="G7" s="243" t="s">
        <v>6</v>
      </c>
      <c r="I7" s="91">
        <v>4</v>
      </c>
      <c r="J7" s="123" t="s">
        <v>66</v>
      </c>
      <c r="K7" s="129" t="s">
        <v>70</v>
      </c>
      <c r="L7" s="123" t="s">
        <v>68</v>
      </c>
      <c r="M7" s="129" t="s">
        <v>74</v>
      </c>
      <c r="N7" s="123" t="s">
        <v>69</v>
      </c>
      <c r="O7" s="129" t="s">
        <v>70</v>
      </c>
      <c r="P7" s="123" t="s">
        <v>64</v>
      </c>
      <c r="Q7" s="129" t="s">
        <v>65</v>
      </c>
      <c r="R7" s="123" t="s">
        <v>66</v>
      </c>
      <c r="S7" s="129" t="s">
        <v>70</v>
      </c>
      <c r="T7" s="123" t="s">
        <v>68</v>
      </c>
      <c r="U7" s="129" t="s">
        <v>65</v>
      </c>
      <c r="V7" s="123" t="s">
        <v>69</v>
      </c>
      <c r="W7" s="129" t="s">
        <v>77</v>
      </c>
      <c r="X7" s="123" t="s">
        <v>64</v>
      </c>
      <c r="Y7" s="129" t="s">
        <v>71</v>
      </c>
      <c r="Z7"/>
      <c r="AA7"/>
      <c r="AB7"/>
      <c r="AC7"/>
      <c r="AD7"/>
      <c r="AE7"/>
      <c r="AF7"/>
      <c r="AG7"/>
      <c r="AH7"/>
      <c r="AI7"/>
      <c r="AJ7"/>
      <c r="AK7"/>
      <c r="AL7"/>
      <c r="AM7"/>
      <c r="AN7"/>
      <c r="AO7"/>
      <c r="AP7" s="87"/>
      <c r="AQ7" s="105" t="e">
        <f t="shared" si="0"/>
        <v>#N/A</v>
      </c>
      <c r="AR7" s="106" t="e">
        <f>VLOOKUP($AQ7,TableHandbook[],AR$2,FALSE)</f>
        <v>#N/A</v>
      </c>
      <c r="AS7" t="e">
        <f>VLOOKUP($AQ7,TableHandbook[],AS$2,FALSE)</f>
        <v>#N/A</v>
      </c>
      <c r="AT7" s="107" t="e">
        <f>VLOOKUP($AQ7,TableHandbook[],AT$2,FALSE)</f>
        <v>#N/A</v>
      </c>
      <c r="AU7" s="108" t="e">
        <f>VLOOKUP($AQ7,TableHandbook[],AU$2,FALSE)</f>
        <v>#N/A</v>
      </c>
      <c r="AV7" s="108" t="e">
        <f>VLOOKUP($AQ7,TableHandbook[],AV$2,FALSE)</f>
        <v>#N/A</v>
      </c>
      <c r="AW7" s="1" t="e">
        <f>VLOOKUP($AQ7,TableHandbook[],AW$2,FALSE)</f>
        <v>#N/A</v>
      </c>
      <c r="AX7" s="1" t="e">
        <f>VLOOKUP($AQ7,TableHandbook[],AX$2,FALSE)</f>
        <v>#N/A</v>
      </c>
      <c r="AY7" s="1" t="e">
        <f>VLOOKUP($AQ7,TableHandbook[],AY$2,FALSE)</f>
        <v>#N/A</v>
      </c>
      <c r="AZ7" s="1" t="e">
        <f>VLOOKUP($AQ7,TableHandbook[],AZ$2,FALSE)</f>
        <v>#N/A</v>
      </c>
      <c r="BA7" s="78"/>
      <c r="BB7" s="92"/>
      <c r="BC7" s="86"/>
      <c r="BD7" s="86"/>
      <c r="BE7" s="86"/>
      <c r="BF7" s="86"/>
      <c r="BG7" s="86"/>
      <c r="BH7" s="86"/>
    </row>
    <row r="8" spans="1:60" x14ac:dyDescent="0.25">
      <c r="A8" s="264" t="s">
        <v>83</v>
      </c>
      <c r="B8" s="273" t="s">
        <v>84</v>
      </c>
      <c r="C8" s="243" t="s">
        <v>85</v>
      </c>
      <c r="D8" s="243" t="s">
        <v>86</v>
      </c>
      <c r="E8" s="245">
        <v>44197</v>
      </c>
      <c r="F8" s="245">
        <v>44562</v>
      </c>
      <c r="G8" s="281" t="s">
        <v>87</v>
      </c>
      <c r="I8" s="91">
        <v>5</v>
      </c>
      <c r="J8" s="123" t="s">
        <v>66</v>
      </c>
      <c r="K8" s="129" t="s">
        <v>88</v>
      </c>
      <c r="L8" s="123" t="s">
        <v>68</v>
      </c>
      <c r="M8" s="129" t="s">
        <v>71</v>
      </c>
      <c r="N8" s="123" t="s">
        <v>69</v>
      </c>
      <c r="O8" s="129" t="s">
        <v>75</v>
      </c>
      <c r="P8" s="123" t="s">
        <v>64</v>
      </c>
      <c r="Q8" s="129" t="s">
        <v>71</v>
      </c>
      <c r="R8" s="123" t="s">
        <v>66</v>
      </c>
      <c r="S8" s="129" t="s">
        <v>89</v>
      </c>
      <c r="T8" s="123" t="s">
        <v>68</v>
      </c>
      <c r="U8" s="129" t="s">
        <v>71</v>
      </c>
      <c r="V8" s="123" t="s">
        <v>69</v>
      </c>
      <c r="W8" s="129" t="s">
        <v>70</v>
      </c>
      <c r="X8" s="123" t="s">
        <v>64</v>
      </c>
      <c r="Y8" s="129" t="s">
        <v>65</v>
      </c>
      <c r="Z8"/>
      <c r="AA8"/>
      <c r="AB8"/>
      <c r="AC8"/>
      <c r="AD8"/>
      <c r="AE8"/>
      <c r="AF8"/>
      <c r="AG8"/>
      <c r="AH8"/>
      <c r="AI8"/>
      <c r="AJ8"/>
      <c r="AK8"/>
      <c r="AL8"/>
      <c r="AM8"/>
      <c r="AN8"/>
      <c r="AO8"/>
      <c r="AP8" s="87"/>
      <c r="AQ8" s="105" t="e">
        <f t="shared" si="0"/>
        <v>#N/A</v>
      </c>
      <c r="AR8" s="106" t="e">
        <f>VLOOKUP($AQ8,TableHandbook[],AR$2,FALSE)</f>
        <v>#N/A</v>
      </c>
      <c r="AS8" t="e">
        <f>VLOOKUP($AQ8,TableHandbook[],AS$2,FALSE)</f>
        <v>#N/A</v>
      </c>
      <c r="AT8" s="107" t="e">
        <f>VLOOKUP($AQ8,TableHandbook[],AT$2,FALSE)</f>
        <v>#N/A</v>
      </c>
      <c r="AU8" s="108" t="e">
        <f>VLOOKUP($AQ8,TableHandbook[],AU$2,FALSE)</f>
        <v>#N/A</v>
      </c>
      <c r="AV8" s="108" t="e">
        <f>VLOOKUP($AQ8,TableHandbook[],AV$2,FALSE)</f>
        <v>#N/A</v>
      </c>
      <c r="AW8" s="1" t="e">
        <f>VLOOKUP($AQ8,TableHandbook[],AW$2,FALSE)</f>
        <v>#N/A</v>
      </c>
      <c r="AX8" s="1" t="e">
        <f>VLOOKUP($AQ8,TableHandbook[],AX$2,FALSE)</f>
        <v>#N/A</v>
      </c>
      <c r="AY8" s="1" t="e">
        <f>VLOOKUP($AQ8,TableHandbook[],AY$2,FALSE)</f>
        <v>#N/A</v>
      </c>
      <c r="AZ8" s="1" t="e">
        <f>VLOOKUP($AQ8,TableHandbook[],AZ$2,FALSE)</f>
        <v>#N/A</v>
      </c>
      <c r="BA8" s="78"/>
      <c r="BB8" s="92"/>
      <c r="BC8" s="93"/>
      <c r="BD8" s="92"/>
      <c r="BE8" s="93"/>
      <c r="BF8" s="92"/>
      <c r="BG8" s="92"/>
    </row>
    <row r="9" spans="1:60" x14ac:dyDescent="0.25">
      <c r="A9" s="264" t="s">
        <v>90</v>
      </c>
      <c r="B9" s="273" t="s">
        <v>91</v>
      </c>
      <c r="C9" s="243" t="s">
        <v>85</v>
      </c>
      <c r="D9" s="243" t="s">
        <v>86</v>
      </c>
      <c r="E9" s="245">
        <v>44197</v>
      </c>
      <c r="F9" s="245">
        <v>44562</v>
      </c>
      <c r="G9" s="81" t="s">
        <v>92</v>
      </c>
      <c r="I9" s="91">
        <v>6</v>
      </c>
      <c r="J9" s="123" t="s">
        <v>68</v>
      </c>
      <c r="K9" s="129" t="s">
        <v>74</v>
      </c>
      <c r="L9" s="123" t="s">
        <v>69</v>
      </c>
      <c r="M9" s="129" t="s">
        <v>75</v>
      </c>
      <c r="N9" s="123" t="s">
        <v>64</v>
      </c>
      <c r="O9" s="129" t="s">
        <v>71</v>
      </c>
      <c r="P9" s="123" t="s">
        <v>66</v>
      </c>
      <c r="Q9" s="129" t="s">
        <v>88</v>
      </c>
      <c r="R9" s="123" t="s">
        <v>68</v>
      </c>
      <c r="S9" s="129" t="s">
        <v>93</v>
      </c>
      <c r="T9" s="123" t="s">
        <v>69</v>
      </c>
      <c r="U9" s="129" t="s">
        <v>77</v>
      </c>
      <c r="V9" s="123" t="s">
        <v>64</v>
      </c>
      <c r="W9" s="129" t="s">
        <v>94</v>
      </c>
      <c r="X9" s="123" t="s">
        <v>66</v>
      </c>
      <c r="Y9" s="129" t="s">
        <v>76</v>
      </c>
      <c r="Z9"/>
      <c r="AA9"/>
      <c r="AB9"/>
      <c r="AC9"/>
      <c r="AD9"/>
      <c r="AE9"/>
      <c r="AF9"/>
      <c r="AG9"/>
      <c r="AH9"/>
      <c r="AI9"/>
      <c r="AJ9"/>
      <c r="AK9"/>
      <c r="AL9"/>
      <c r="AM9"/>
      <c r="AN9"/>
      <c r="AO9"/>
      <c r="AP9" s="87"/>
      <c r="AQ9" s="146" t="e">
        <f t="shared" si="0"/>
        <v>#N/A</v>
      </c>
      <c r="AR9" s="147" t="e">
        <f>VLOOKUP($AQ9,TableHandbook[],AR$2,FALSE)</f>
        <v>#N/A</v>
      </c>
      <c r="AS9" s="148" t="e">
        <f>VLOOKUP($AQ9,TableHandbook[],AS$2,FALSE)</f>
        <v>#N/A</v>
      </c>
      <c r="AT9" s="149" t="e">
        <f>VLOOKUP($AQ9,TableHandbook[],AT$2,FALSE)</f>
        <v>#N/A</v>
      </c>
      <c r="AU9" s="150" t="e">
        <f>VLOOKUP($AQ9,TableHandbook[],AU$2,FALSE)</f>
        <v>#N/A</v>
      </c>
      <c r="AV9" s="150" t="e">
        <f>VLOOKUP($AQ9,TableHandbook[],AV$2,FALSE)</f>
        <v>#N/A</v>
      </c>
      <c r="AW9" s="151" t="e">
        <f>VLOOKUP($AQ9,TableHandbook[],AW$2,FALSE)</f>
        <v>#N/A</v>
      </c>
      <c r="AX9" s="151" t="e">
        <f>VLOOKUP($AQ9,TableHandbook[],AX$2,FALSE)</f>
        <v>#N/A</v>
      </c>
      <c r="AY9" s="151" t="e">
        <f>VLOOKUP($AQ9,TableHandbook[],AY$2,FALSE)</f>
        <v>#N/A</v>
      </c>
      <c r="AZ9" s="151" t="e">
        <f>VLOOKUP($AQ9,TableHandbook[],AZ$2,FALSE)</f>
        <v>#N/A</v>
      </c>
      <c r="BB9" s="94"/>
      <c r="BC9" s="93"/>
      <c r="BD9" s="92"/>
      <c r="BE9" s="93"/>
      <c r="BF9" s="95"/>
      <c r="BG9" s="92"/>
    </row>
    <row r="10" spans="1:60" x14ac:dyDescent="0.25">
      <c r="A10" s="81" t="s">
        <v>95</v>
      </c>
      <c r="B10" s="273" t="s">
        <v>96</v>
      </c>
      <c r="C10" s="243" t="s">
        <v>85</v>
      </c>
      <c r="D10" s="243" t="s">
        <v>86</v>
      </c>
      <c r="E10" s="245">
        <v>44197</v>
      </c>
      <c r="F10" s="245">
        <v>44197</v>
      </c>
      <c r="G10" s="281" t="s">
        <v>87</v>
      </c>
      <c r="I10" s="91">
        <v>7</v>
      </c>
      <c r="J10" s="123" t="s">
        <v>68</v>
      </c>
      <c r="K10" s="129" t="s">
        <v>97</v>
      </c>
      <c r="L10" s="123" t="s">
        <v>69</v>
      </c>
      <c r="M10" s="129" t="s">
        <v>70</v>
      </c>
      <c r="N10" s="123" t="s">
        <v>64</v>
      </c>
      <c r="O10" s="129" t="s">
        <v>67</v>
      </c>
      <c r="P10" s="123" t="s">
        <v>66</v>
      </c>
      <c r="Q10" s="129" t="s">
        <v>67</v>
      </c>
      <c r="R10" s="123" t="s">
        <v>68</v>
      </c>
      <c r="S10" s="129" t="s">
        <v>98</v>
      </c>
      <c r="T10" s="123" t="s">
        <v>69</v>
      </c>
      <c r="U10" s="129" t="s">
        <v>93</v>
      </c>
      <c r="V10" s="123" t="s">
        <v>64</v>
      </c>
      <c r="W10" s="129" t="s">
        <v>89</v>
      </c>
      <c r="X10" s="123" t="s">
        <v>66</v>
      </c>
      <c r="Y10" s="129" t="s">
        <v>89</v>
      </c>
      <c r="Z10"/>
      <c r="AA10"/>
      <c r="AB10"/>
      <c r="AC10"/>
      <c r="AD10"/>
      <c r="AE10"/>
      <c r="AF10"/>
      <c r="AG10"/>
      <c r="AH10"/>
      <c r="AI10"/>
      <c r="AJ10"/>
      <c r="AK10"/>
      <c r="AL10"/>
      <c r="AM10"/>
      <c r="AN10"/>
      <c r="AO10"/>
      <c r="AP10" s="87"/>
      <c r="AQ10" s="152" t="e">
        <f t="shared" si="0"/>
        <v>#N/A</v>
      </c>
      <c r="AR10" s="153" t="e">
        <f>VLOOKUP($AQ10,TableHandbook[],AR$2,FALSE)</f>
        <v>#N/A</v>
      </c>
      <c r="AS10" s="154" t="e">
        <f>VLOOKUP($AQ10,TableHandbook[],AS$2,FALSE)</f>
        <v>#N/A</v>
      </c>
      <c r="AT10" s="155" t="e">
        <f>VLOOKUP($AQ10,TableHandbook[],AT$2,FALSE)</f>
        <v>#N/A</v>
      </c>
      <c r="AU10" s="156" t="e">
        <f>VLOOKUP($AQ10,TableHandbook[],AU$2,FALSE)</f>
        <v>#N/A</v>
      </c>
      <c r="AV10" s="156" t="e">
        <f>VLOOKUP($AQ10,TableHandbook[],AV$2,FALSE)</f>
        <v>#N/A</v>
      </c>
      <c r="AW10" s="157" t="e">
        <f>VLOOKUP($AQ10,TableHandbook[],AW$2,FALSE)</f>
        <v>#N/A</v>
      </c>
      <c r="AX10" s="157" t="e">
        <f>VLOOKUP($AQ10,TableHandbook[],AX$2,FALSE)</f>
        <v>#N/A</v>
      </c>
      <c r="AY10" s="157" t="e">
        <f>VLOOKUP($AQ10,TableHandbook[],AY$2,FALSE)</f>
        <v>#N/A</v>
      </c>
      <c r="AZ10" s="157" t="e">
        <f>VLOOKUP($AQ10,TableHandbook[],AZ$2,FALSE)</f>
        <v>#N/A</v>
      </c>
      <c r="BF10" s="92"/>
      <c r="BG10" s="92"/>
    </row>
    <row r="11" spans="1:60" x14ac:dyDescent="0.25">
      <c r="A11" s="81" t="s">
        <v>46</v>
      </c>
      <c r="B11" s="273" t="s">
        <v>99</v>
      </c>
      <c r="C11" s="243" t="s">
        <v>85</v>
      </c>
      <c r="D11" s="243" t="s">
        <v>86</v>
      </c>
      <c r="E11" s="245">
        <v>43466</v>
      </c>
      <c r="F11" s="245">
        <v>44197</v>
      </c>
      <c r="G11" s="81" t="s">
        <v>92</v>
      </c>
      <c r="I11" s="91">
        <v>8</v>
      </c>
      <c r="J11" s="123" t="s">
        <v>69</v>
      </c>
      <c r="K11" s="129" t="s">
        <v>93</v>
      </c>
      <c r="L11" s="123" t="s">
        <v>64</v>
      </c>
      <c r="M11" s="129" t="s">
        <v>65</v>
      </c>
      <c r="N11" s="123" t="s">
        <v>66</v>
      </c>
      <c r="O11" s="129" t="s">
        <v>88</v>
      </c>
      <c r="P11" s="123" t="s">
        <v>68</v>
      </c>
      <c r="Q11" s="129" t="s">
        <v>97</v>
      </c>
      <c r="R11" s="123" t="s">
        <v>69</v>
      </c>
      <c r="S11" s="129" t="s">
        <v>77</v>
      </c>
      <c r="T11" s="123" t="s">
        <v>64</v>
      </c>
      <c r="U11" s="129" t="s">
        <v>94</v>
      </c>
      <c r="V11" s="123" t="s">
        <v>66</v>
      </c>
      <c r="W11" s="129" t="s">
        <v>76</v>
      </c>
      <c r="X11" s="123" t="s">
        <v>68</v>
      </c>
      <c r="Y11" s="129" t="s">
        <v>94</v>
      </c>
      <c r="Z11"/>
      <c r="AA11"/>
      <c r="AB11"/>
      <c r="AC11"/>
      <c r="AD11"/>
      <c r="AE11"/>
      <c r="AF11"/>
      <c r="AG11"/>
      <c r="AH11"/>
      <c r="AI11"/>
      <c r="AJ11"/>
      <c r="AK11"/>
      <c r="AL11"/>
      <c r="AM11"/>
      <c r="AN11"/>
      <c r="AO11"/>
      <c r="AP11" s="87"/>
      <c r="AQ11" s="105" t="e">
        <f t="shared" si="0"/>
        <v>#N/A</v>
      </c>
      <c r="AR11" s="106" t="e">
        <f>VLOOKUP($AQ11,TableHandbook[],AR$2,FALSE)</f>
        <v>#N/A</v>
      </c>
      <c r="AS11" t="e">
        <f>VLOOKUP($AQ11,TableHandbook[],AS$2,FALSE)</f>
        <v>#N/A</v>
      </c>
      <c r="AT11" s="107" t="e">
        <f>VLOOKUP($AQ11,TableHandbook[],AT$2,FALSE)</f>
        <v>#N/A</v>
      </c>
      <c r="AU11" s="108" t="e">
        <f>VLOOKUP($AQ11,TableHandbook[],AU$2,FALSE)</f>
        <v>#N/A</v>
      </c>
      <c r="AV11" s="108" t="e">
        <f>VLOOKUP($AQ11,TableHandbook[],AV$2,FALSE)</f>
        <v>#N/A</v>
      </c>
      <c r="AW11" s="1" t="e">
        <f>VLOOKUP($AQ11,TableHandbook[],AW$2,FALSE)</f>
        <v>#N/A</v>
      </c>
      <c r="AX11" s="1" t="e">
        <f>VLOOKUP($AQ11,TableHandbook[],AX$2,FALSE)</f>
        <v>#N/A</v>
      </c>
      <c r="AY11" s="1" t="e">
        <f>VLOOKUP($AQ11,TableHandbook[],AY$2,FALSE)</f>
        <v>#N/A</v>
      </c>
      <c r="AZ11" s="1" t="e">
        <f>VLOOKUP($AQ11,TableHandbook[],AZ$2,FALSE)</f>
        <v>#N/A</v>
      </c>
      <c r="BB11"/>
      <c r="BF11" s="92"/>
      <c r="BG11" s="92"/>
    </row>
    <row r="12" spans="1:60" x14ac:dyDescent="0.25">
      <c r="A12" s="81" t="s">
        <v>100</v>
      </c>
      <c r="B12" s="273" t="s">
        <v>101</v>
      </c>
      <c r="C12" s="243" t="s">
        <v>85</v>
      </c>
      <c r="D12" s="243" t="s">
        <v>86</v>
      </c>
      <c r="E12" s="245">
        <v>44197</v>
      </c>
      <c r="F12" s="245">
        <v>44197</v>
      </c>
      <c r="G12" s="81" t="s">
        <v>92</v>
      </c>
      <c r="I12" s="91">
        <v>9</v>
      </c>
      <c r="J12" s="123" t="s">
        <v>69</v>
      </c>
      <c r="K12" s="129" t="s">
        <v>75</v>
      </c>
      <c r="L12" s="125" t="s">
        <v>64</v>
      </c>
      <c r="M12" s="129" t="s">
        <v>102</v>
      </c>
      <c r="N12" s="123" t="s">
        <v>66</v>
      </c>
      <c r="O12" s="129" t="s">
        <v>73</v>
      </c>
      <c r="P12" s="125" t="s">
        <v>68</v>
      </c>
      <c r="Q12" s="129" t="s">
        <v>74</v>
      </c>
      <c r="R12" s="123" t="s">
        <v>69</v>
      </c>
      <c r="S12" s="129" t="s">
        <v>103</v>
      </c>
      <c r="T12" s="125" t="s">
        <v>64</v>
      </c>
      <c r="U12" s="129" t="s">
        <v>89</v>
      </c>
      <c r="V12" s="123" t="s">
        <v>66</v>
      </c>
      <c r="W12" s="129" t="s">
        <v>98</v>
      </c>
      <c r="X12" s="125" t="s">
        <v>68</v>
      </c>
      <c r="Y12" s="129" t="s">
        <v>98</v>
      </c>
      <c r="Z12"/>
      <c r="AA12"/>
      <c r="AB12"/>
      <c r="AC12"/>
      <c r="AD12"/>
      <c r="AE12"/>
      <c r="AF12"/>
      <c r="AG12"/>
      <c r="AH12"/>
      <c r="AI12"/>
      <c r="AJ12"/>
      <c r="AK12"/>
      <c r="AL12"/>
      <c r="AM12"/>
      <c r="AN12"/>
      <c r="AO12"/>
      <c r="AP12" s="87"/>
      <c r="AQ12" s="105" t="e">
        <f t="shared" si="0"/>
        <v>#N/A</v>
      </c>
      <c r="AR12" s="106" t="e">
        <f>VLOOKUP($AQ12,TableHandbook[],AR$2,FALSE)</f>
        <v>#N/A</v>
      </c>
      <c r="AS12" t="e">
        <f>VLOOKUP($AQ12,TableHandbook[],AS$2,FALSE)</f>
        <v>#N/A</v>
      </c>
      <c r="AT12" s="107" t="e">
        <f>VLOOKUP($AQ12,TableHandbook[],AT$2,FALSE)</f>
        <v>#N/A</v>
      </c>
      <c r="AU12" s="108" t="e">
        <f>VLOOKUP($AQ12,TableHandbook[],AU$2,FALSE)</f>
        <v>#N/A</v>
      </c>
      <c r="AV12" s="108" t="e">
        <f>VLOOKUP($AQ12,TableHandbook[],AV$2,FALSE)</f>
        <v>#N/A</v>
      </c>
      <c r="AW12" s="1" t="e">
        <f>VLOOKUP($AQ12,TableHandbook[],AW$2,FALSE)</f>
        <v>#N/A</v>
      </c>
      <c r="AX12" s="1" t="e">
        <f>VLOOKUP($AQ12,TableHandbook[],AX$2,FALSE)</f>
        <v>#N/A</v>
      </c>
      <c r="AY12" s="1" t="e">
        <f>VLOOKUP($AQ12,TableHandbook[],AY$2,FALSE)</f>
        <v>#N/A</v>
      </c>
      <c r="AZ12" s="1" t="e">
        <f>VLOOKUP($AQ12,TableHandbook[],AZ$2,FALSE)</f>
        <v>#N/A</v>
      </c>
      <c r="BB12"/>
      <c r="BF12" s="92"/>
      <c r="BG12" s="92"/>
    </row>
    <row r="13" spans="1:60" x14ac:dyDescent="0.25">
      <c r="A13" s="81" t="s">
        <v>44</v>
      </c>
      <c r="B13" s="273" t="s">
        <v>104</v>
      </c>
      <c r="C13" s="243" t="s">
        <v>105</v>
      </c>
      <c r="D13" s="243" t="s">
        <v>86</v>
      </c>
      <c r="E13" s="245">
        <v>42736</v>
      </c>
      <c r="F13" s="245">
        <v>43831</v>
      </c>
      <c r="G13" s="81" t="s">
        <v>92</v>
      </c>
      <c r="I13" s="91">
        <v>10</v>
      </c>
      <c r="J13" s="122" t="s">
        <v>106</v>
      </c>
      <c r="K13" s="128" t="s">
        <v>67</v>
      </c>
      <c r="L13" s="122" t="s">
        <v>107</v>
      </c>
      <c r="M13" s="128" t="s">
        <v>88</v>
      </c>
      <c r="N13" s="122" t="s">
        <v>108</v>
      </c>
      <c r="O13" s="128" t="s">
        <v>97</v>
      </c>
      <c r="P13" s="122" t="s">
        <v>109</v>
      </c>
      <c r="Q13" s="128" t="s">
        <v>110</v>
      </c>
      <c r="R13" s="122" t="s">
        <v>106</v>
      </c>
      <c r="S13" s="128" t="s">
        <v>111</v>
      </c>
      <c r="T13" s="122" t="s">
        <v>107</v>
      </c>
      <c r="U13" s="128" t="s">
        <v>112</v>
      </c>
      <c r="V13" s="122" t="s">
        <v>108</v>
      </c>
      <c r="W13" s="128" t="s">
        <v>93</v>
      </c>
      <c r="X13" s="122" t="s">
        <v>109</v>
      </c>
      <c r="Y13" s="128" t="s">
        <v>103</v>
      </c>
      <c r="Z13"/>
      <c r="AA13"/>
      <c r="AB13"/>
      <c r="AC13"/>
      <c r="AD13"/>
      <c r="AE13"/>
      <c r="AF13"/>
      <c r="AG13"/>
      <c r="AH13"/>
      <c r="AI13"/>
      <c r="AJ13"/>
      <c r="AK13"/>
      <c r="AL13"/>
      <c r="AM13"/>
      <c r="AN13"/>
      <c r="AO13"/>
      <c r="AP13" s="96"/>
      <c r="AQ13" s="146" t="e">
        <f t="shared" si="0"/>
        <v>#N/A</v>
      </c>
      <c r="AR13" s="147" t="e">
        <f>VLOOKUP($AQ13,TableHandbook[],AR$2,FALSE)</f>
        <v>#N/A</v>
      </c>
      <c r="AS13" s="148" t="e">
        <f>VLOOKUP($AQ13,TableHandbook[],AS$2,FALSE)</f>
        <v>#N/A</v>
      </c>
      <c r="AT13" s="149" t="e">
        <f>VLOOKUP($AQ13,TableHandbook[],AT$2,FALSE)</f>
        <v>#N/A</v>
      </c>
      <c r="AU13" s="150" t="e">
        <f>VLOOKUP($AQ13,TableHandbook[],AU$2,FALSE)</f>
        <v>#N/A</v>
      </c>
      <c r="AV13" s="150" t="e">
        <f>VLOOKUP($AQ13,TableHandbook[],AV$2,FALSE)</f>
        <v>#N/A</v>
      </c>
      <c r="AW13" s="151" t="e">
        <f>VLOOKUP($AQ13,TableHandbook[],AW$2,FALSE)</f>
        <v>#N/A</v>
      </c>
      <c r="AX13" s="151" t="e">
        <f>VLOOKUP($AQ13,TableHandbook[],AX$2,FALSE)</f>
        <v>#N/A</v>
      </c>
      <c r="AY13" s="151" t="e">
        <f>VLOOKUP($AQ13,TableHandbook[],AY$2,FALSE)</f>
        <v>#N/A</v>
      </c>
      <c r="AZ13" s="151" t="e">
        <f>VLOOKUP($AQ13,TableHandbook[],AZ$2,FALSE)</f>
        <v>#N/A</v>
      </c>
      <c r="BB13"/>
      <c r="BF13" s="92"/>
      <c r="BG13" s="92"/>
    </row>
    <row r="14" spans="1:60" x14ac:dyDescent="0.25">
      <c r="A14" s="81" t="s">
        <v>113</v>
      </c>
      <c r="B14" s="243" t="s">
        <v>114</v>
      </c>
      <c r="C14" s="243" t="s">
        <v>85</v>
      </c>
      <c r="D14" s="243" t="s">
        <v>115</v>
      </c>
      <c r="E14" s="245">
        <v>45292</v>
      </c>
      <c r="F14" s="245">
        <v>45292</v>
      </c>
      <c r="G14" s="81" t="s">
        <v>116</v>
      </c>
      <c r="I14" s="91">
        <v>11</v>
      </c>
      <c r="J14" s="123" t="s">
        <v>106</v>
      </c>
      <c r="K14" s="129" t="s">
        <v>102</v>
      </c>
      <c r="L14" s="123" t="s">
        <v>107</v>
      </c>
      <c r="M14" s="129" t="s">
        <v>117</v>
      </c>
      <c r="N14" s="123" t="s">
        <v>108</v>
      </c>
      <c r="O14" s="129" t="s">
        <v>118</v>
      </c>
      <c r="P14" s="123" t="s">
        <v>109</v>
      </c>
      <c r="Q14" s="129" t="s">
        <v>93</v>
      </c>
      <c r="R14" s="123" t="s">
        <v>106</v>
      </c>
      <c r="S14" s="129" t="s">
        <v>119</v>
      </c>
      <c r="T14" s="123" t="s">
        <v>107</v>
      </c>
      <c r="U14" s="129" t="s">
        <v>98</v>
      </c>
      <c r="V14" s="123" t="s">
        <v>108</v>
      </c>
      <c r="W14" s="129" t="s">
        <v>120</v>
      </c>
      <c r="X14" s="123" t="s">
        <v>109</v>
      </c>
      <c r="Y14" s="129" t="s">
        <v>121</v>
      </c>
      <c r="Z14"/>
      <c r="AA14"/>
      <c r="AB14"/>
      <c r="AC14"/>
      <c r="AD14"/>
      <c r="AE14"/>
      <c r="AF14"/>
      <c r="AG14"/>
      <c r="AH14"/>
      <c r="AI14"/>
      <c r="AJ14"/>
      <c r="AK14"/>
      <c r="AL14"/>
      <c r="AM14"/>
      <c r="AN14"/>
      <c r="AO14"/>
      <c r="AP14" s="96"/>
      <c r="AQ14" s="152" t="e">
        <f t="shared" si="0"/>
        <v>#N/A</v>
      </c>
      <c r="AR14" s="153" t="e">
        <f>VLOOKUP($AQ14,TableHandbook[],AR$2,FALSE)</f>
        <v>#N/A</v>
      </c>
      <c r="AS14" s="154" t="e">
        <f>VLOOKUP($AQ14,TableHandbook[],AS$2,FALSE)</f>
        <v>#N/A</v>
      </c>
      <c r="AT14" s="155" t="e">
        <f>VLOOKUP($AQ14,TableHandbook[],AT$2,FALSE)</f>
        <v>#N/A</v>
      </c>
      <c r="AU14" s="156" t="e">
        <f>VLOOKUP($AQ14,TableHandbook[],AU$2,FALSE)</f>
        <v>#N/A</v>
      </c>
      <c r="AV14" s="156" t="e">
        <f>VLOOKUP($AQ14,TableHandbook[],AV$2,FALSE)</f>
        <v>#N/A</v>
      </c>
      <c r="AW14" s="157" t="e">
        <f>VLOOKUP($AQ14,TableHandbook[],AW$2,FALSE)</f>
        <v>#N/A</v>
      </c>
      <c r="AX14" s="157" t="e">
        <f>VLOOKUP($AQ14,TableHandbook[],AX$2,FALSE)</f>
        <v>#N/A</v>
      </c>
      <c r="AY14" s="157" t="e">
        <f>VLOOKUP($AQ14,TableHandbook[],AY$2,FALSE)</f>
        <v>#N/A</v>
      </c>
      <c r="AZ14" s="157" t="e">
        <f>VLOOKUP($AQ14,TableHandbook[],AZ$2,FALSE)</f>
        <v>#N/A</v>
      </c>
      <c r="BB14"/>
      <c r="BF14" s="92"/>
      <c r="BG14" s="92"/>
    </row>
    <row r="15" spans="1:60" x14ac:dyDescent="0.25">
      <c r="A15" s="316" t="s">
        <v>606</v>
      </c>
      <c r="B15" s="243" t="s">
        <v>114</v>
      </c>
      <c r="C15" s="243" t="s">
        <v>85</v>
      </c>
      <c r="D15" s="243" t="s">
        <v>115</v>
      </c>
      <c r="E15" s="245">
        <v>45292</v>
      </c>
      <c r="F15" s="245">
        <v>45292</v>
      </c>
      <c r="G15" s="81" t="s">
        <v>116</v>
      </c>
      <c r="I15" s="91"/>
      <c r="J15" s="123"/>
      <c r="K15" s="129"/>
      <c r="L15" s="123"/>
      <c r="M15" s="129"/>
      <c r="N15" s="123"/>
      <c r="O15" s="129"/>
      <c r="P15" s="123"/>
      <c r="Q15" s="129"/>
      <c r="R15" s="123"/>
      <c r="S15" s="129"/>
      <c r="T15" s="123"/>
      <c r="U15" s="129"/>
      <c r="V15" s="123"/>
      <c r="W15" s="129"/>
      <c r="X15" s="123"/>
      <c r="Y15" s="129"/>
      <c r="Z15"/>
      <c r="AA15"/>
      <c r="AB15"/>
      <c r="AC15"/>
      <c r="AD15"/>
      <c r="AE15"/>
      <c r="AF15"/>
      <c r="AG15"/>
      <c r="AH15"/>
      <c r="AI15"/>
      <c r="AJ15"/>
      <c r="AK15"/>
      <c r="AL15"/>
      <c r="AM15"/>
      <c r="AN15"/>
      <c r="AO15"/>
      <c r="AP15" s="96"/>
      <c r="AQ15" s="311"/>
      <c r="AR15" s="312"/>
      <c r="AS15" s="313"/>
      <c r="AT15" s="311"/>
      <c r="AU15" s="314"/>
      <c r="AV15" s="314"/>
      <c r="AW15" s="315"/>
      <c r="AX15" s="315"/>
      <c r="AY15" s="315"/>
      <c r="AZ15" s="315"/>
      <c r="BB15"/>
      <c r="BF15" s="92"/>
      <c r="BG15" s="92"/>
    </row>
    <row r="16" spans="1:60" x14ac:dyDescent="0.25">
      <c r="A16" s="81" t="s">
        <v>122</v>
      </c>
      <c r="B16" s="243" t="s">
        <v>123</v>
      </c>
      <c r="C16" s="243" t="s">
        <v>85</v>
      </c>
      <c r="D16" s="243" t="s">
        <v>115</v>
      </c>
      <c r="E16" s="245">
        <v>45292</v>
      </c>
      <c r="F16" s="245">
        <v>45292</v>
      </c>
      <c r="G16" s="81" t="s">
        <v>116</v>
      </c>
      <c r="I16" s="91">
        <v>12</v>
      </c>
      <c r="J16" s="123" t="s">
        <v>107</v>
      </c>
      <c r="K16" s="129" t="s">
        <v>73</v>
      </c>
      <c r="L16" s="123" t="s">
        <v>108</v>
      </c>
      <c r="M16" s="129" t="s">
        <v>97</v>
      </c>
      <c r="N16" s="123" t="s">
        <v>109</v>
      </c>
      <c r="O16" s="129" t="s">
        <v>110</v>
      </c>
      <c r="P16" s="123" t="s">
        <v>106</v>
      </c>
      <c r="Q16" s="129" t="s">
        <v>102</v>
      </c>
      <c r="R16" s="123" t="s">
        <v>107</v>
      </c>
      <c r="S16" s="129" t="s">
        <v>112</v>
      </c>
      <c r="T16" s="123" t="s">
        <v>108</v>
      </c>
      <c r="U16" s="129" t="s">
        <v>120</v>
      </c>
      <c r="V16" s="123" t="s">
        <v>109</v>
      </c>
      <c r="W16" s="129" t="s">
        <v>103</v>
      </c>
      <c r="X16" s="123" t="s">
        <v>106</v>
      </c>
      <c r="Y16" s="129" t="s">
        <v>111</v>
      </c>
      <c r="Z16"/>
      <c r="AA16"/>
      <c r="AB16"/>
      <c r="AC16"/>
      <c r="AD16"/>
      <c r="AE16"/>
      <c r="AF16"/>
      <c r="AG16"/>
      <c r="AH16"/>
      <c r="AI16"/>
      <c r="AJ16"/>
      <c r="AK16"/>
      <c r="AL16"/>
      <c r="AM16"/>
      <c r="AN16"/>
      <c r="AO16"/>
      <c r="AP16" s="96"/>
      <c r="AQ16" s="105" t="e">
        <f t="shared" si="0"/>
        <v>#N/A</v>
      </c>
      <c r="AR16" s="106" t="e">
        <f>VLOOKUP($AQ16,TableHandbook[],AR$2,FALSE)</f>
        <v>#N/A</v>
      </c>
      <c r="AS16" t="e">
        <f>VLOOKUP($AQ16,TableHandbook[],AS$2,FALSE)</f>
        <v>#N/A</v>
      </c>
      <c r="AT16" s="107" t="e">
        <f>VLOOKUP($AQ16,TableHandbook[],AT$2,FALSE)</f>
        <v>#N/A</v>
      </c>
      <c r="AU16" s="108" t="e">
        <f>VLOOKUP($AQ16,TableHandbook[],AU$2,FALSE)</f>
        <v>#N/A</v>
      </c>
      <c r="AV16" s="108" t="e">
        <f>VLOOKUP($AQ16,TableHandbook[],AV$2,FALSE)</f>
        <v>#N/A</v>
      </c>
      <c r="AW16" s="1" t="e">
        <f>VLOOKUP($AQ16,TableHandbook[],AW$2,FALSE)</f>
        <v>#N/A</v>
      </c>
      <c r="AX16" s="1" t="e">
        <f>VLOOKUP($AQ16,TableHandbook[],AX$2,FALSE)</f>
        <v>#N/A</v>
      </c>
      <c r="AY16" s="1" t="e">
        <f>VLOOKUP($AQ16,TableHandbook[],AY$2,FALSE)</f>
        <v>#N/A</v>
      </c>
      <c r="AZ16" s="1" t="e">
        <f>VLOOKUP($AQ16,TableHandbook[],AZ$2,FALSE)</f>
        <v>#N/A</v>
      </c>
      <c r="BF16" s="92"/>
      <c r="BG16" s="92"/>
    </row>
    <row r="17" spans="1:60" x14ac:dyDescent="0.25">
      <c r="A17" s="81" t="s">
        <v>43</v>
      </c>
      <c r="B17" s="273" t="s">
        <v>124</v>
      </c>
      <c r="C17" s="243" t="s">
        <v>85</v>
      </c>
      <c r="D17" s="243" t="s">
        <v>115</v>
      </c>
      <c r="E17" s="245">
        <v>43647</v>
      </c>
      <c r="F17" s="245">
        <v>43647</v>
      </c>
      <c r="G17" s="81" t="s">
        <v>92</v>
      </c>
      <c r="I17" s="91">
        <v>13</v>
      </c>
      <c r="J17" s="123" t="s">
        <v>107</v>
      </c>
      <c r="K17" s="129" t="s">
        <v>117</v>
      </c>
      <c r="L17" s="123" t="s">
        <v>108</v>
      </c>
      <c r="M17" s="129" t="s">
        <v>118</v>
      </c>
      <c r="N17" s="123" t="s">
        <v>109</v>
      </c>
      <c r="O17" s="129" t="s">
        <v>93</v>
      </c>
      <c r="P17" s="123" t="s">
        <v>106</v>
      </c>
      <c r="Q17" s="129" t="s">
        <v>119</v>
      </c>
      <c r="R17" s="123" t="s">
        <v>107</v>
      </c>
      <c r="S17" s="129" t="s">
        <v>76</v>
      </c>
      <c r="T17" s="123" t="s">
        <v>108</v>
      </c>
      <c r="U17" s="129" t="s">
        <v>119</v>
      </c>
      <c r="V17" s="123" t="s">
        <v>109</v>
      </c>
      <c r="W17" s="129" t="s">
        <v>121</v>
      </c>
      <c r="X17" s="123" t="s">
        <v>106</v>
      </c>
      <c r="Y17" s="129" t="s">
        <v>119</v>
      </c>
      <c r="Z17"/>
      <c r="AA17"/>
      <c r="AB17"/>
      <c r="AC17"/>
      <c r="AD17"/>
      <c r="AE17"/>
      <c r="AF17"/>
      <c r="AG17"/>
      <c r="AH17"/>
      <c r="AI17"/>
      <c r="AJ17"/>
      <c r="AK17"/>
      <c r="AL17"/>
      <c r="AM17"/>
      <c r="AN17"/>
      <c r="AO17"/>
      <c r="AP17" s="96"/>
      <c r="AQ17" s="114" t="e">
        <f t="shared" si="0"/>
        <v>#N/A</v>
      </c>
      <c r="AR17" s="106" t="e">
        <f>VLOOKUP($AQ17,TableHandbook[],AR$2,FALSE)</f>
        <v>#N/A</v>
      </c>
      <c r="AS17" t="e">
        <f>VLOOKUP($AQ17,TableHandbook[],AS$2,FALSE)</f>
        <v>#N/A</v>
      </c>
      <c r="AT17" s="107" t="e">
        <f>VLOOKUP($AQ17,TableHandbook[],AT$2,FALSE)</f>
        <v>#N/A</v>
      </c>
      <c r="AU17" s="108" t="e">
        <f>VLOOKUP($AQ17,TableHandbook[],AU$2,FALSE)</f>
        <v>#N/A</v>
      </c>
      <c r="AV17" s="108" t="e">
        <f>VLOOKUP($AQ17,TableHandbook[],AV$2,FALSE)</f>
        <v>#N/A</v>
      </c>
      <c r="AW17" s="1" t="e">
        <f>VLOOKUP($AQ17,TableHandbook[],AW$2,FALSE)</f>
        <v>#N/A</v>
      </c>
      <c r="AX17" s="1" t="e">
        <f>VLOOKUP($AQ17,TableHandbook[],AX$2,FALSE)</f>
        <v>#N/A</v>
      </c>
      <c r="AY17" s="1" t="e">
        <f>VLOOKUP($AQ17,TableHandbook[],AY$2,FALSE)</f>
        <v>#N/A</v>
      </c>
      <c r="AZ17" s="1" t="e">
        <f>VLOOKUP($AQ17,TableHandbook[],AZ$2,FALSE)</f>
        <v>#N/A</v>
      </c>
      <c r="BA17" s="78"/>
      <c r="BB17" s="92"/>
      <c r="BF17" s="92"/>
      <c r="BG17" s="92"/>
    </row>
    <row r="18" spans="1:60" x14ac:dyDescent="0.25">
      <c r="A18" s="81" t="s">
        <v>37</v>
      </c>
      <c r="B18" s="273" t="s">
        <v>125</v>
      </c>
      <c r="C18" s="243" t="s">
        <v>105</v>
      </c>
      <c r="D18" s="243" t="s">
        <v>115</v>
      </c>
      <c r="E18" s="245">
        <v>44562</v>
      </c>
      <c r="F18" s="245">
        <v>44562</v>
      </c>
      <c r="G18" s="81" t="s">
        <v>92</v>
      </c>
      <c r="I18" s="91">
        <v>14</v>
      </c>
      <c r="J18" s="123" t="s">
        <v>108</v>
      </c>
      <c r="K18" s="129" t="s">
        <v>119</v>
      </c>
      <c r="L18" s="123" t="s">
        <v>109</v>
      </c>
      <c r="M18" s="129" t="s">
        <v>110</v>
      </c>
      <c r="N18" s="123" t="s">
        <v>106</v>
      </c>
      <c r="O18" s="129" t="s">
        <v>119</v>
      </c>
      <c r="P18" s="123" t="s">
        <v>107</v>
      </c>
      <c r="Q18" s="129" t="s">
        <v>73</v>
      </c>
      <c r="R18" s="123" t="s">
        <v>108</v>
      </c>
      <c r="S18" s="129" t="s">
        <v>94</v>
      </c>
      <c r="T18" s="123" t="s">
        <v>109</v>
      </c>
      <c r="U18" s="129" t="s">
        <v>103</v>
      </c>
      <c r="V18" s="123" t="s">
        <v>106</v>
      </c>
      <c r="W18" s="129" t="s">
        <v>111</v>
      </c>
      <c r="X18" s="123" t="s">
        <v>107</v>
      </c>
      <c r="Y18" s="129" t="s">
        <v>112</v>
      </c>
      <c r="Z18"/>
      <c r="AA18"/>
      <c r="AB18"/>
      <c r="AC18"/>
      <c r="AD18"/>
      <c r="AE18"/>
      <c r="AF18"/>
      <c r="AG18"/>
      <c r="AH18"/>
      <c r="AI18"/>
      <c r="AJ18"/>
      <c r="AK18"/>
      <c r="AL18"/>
      <c r="AM18"/>
      <c r="AN18"/>
      <c r="AO18"/>
      <c r="AP18" s="96"/>
      <c r="AQ18" s="158" t="e">
        <f t="shared" si="0"/>
        <v>#N/A</v>
      </c>
      <c r="AR18" s="147" t="e">
        <f>VLOOKUP($AQ18,TableHandbook[],AR$2,FALSE)</f>
        <v>#N/A</v>
      </c>
      <c r="AS18" s="148" t="e">
        <f>VLOOKUP($AQ18,TableHandbook[],AS$2,FALSE)</f>
        <v>#N/A</v>
      </c>
      <c r="AT18" s="149" t="e">
        <f>VLOOKUP($AQ18,TableHandbook[],AT$2,FALSE)</f>
        <v>#N/A</v>
      </c>
      <c r="AU18" s="150" t="e">
        <f>VLOOKUP($AQ18,TableHandbook[],AU$2,FALSE)</f>
        <v>#N/A</v>
      </c>
      <c r="AV18" s="150" t="e">
        <f>VLOOKUP($AQ18,TableHandbook[],AV$2,FALSE)</f>
        <v>#N/A</v>
      </c>
      <c r="AW18" s="151" t="e">
        <f>VLOOKUP($AQ18,TableHandbook[],AW$2,FALSE)</f>
        <v>#N/A</v>
      </c>
      <c r="AX18" s="151" t="e">
        <f>VLOOKUP($AQ18,TableHandbook[],AX$2,FALSE)</f>
        <v>#N/A</v>
      </c>
      <c r="AY18" s="151" t="e">
        <f>VLOOKUP($AQ18,TableHandbook[],AY$2,FALSE)</f>
        <v>#N/A</v>
      </c>
      <c r="AZ18" s="151" t="e">
        <f>VLOOKUP($AQ18,TableHandbook[],AZ$2,FALSE)</f>
        <v>#N/A</v>
      </c>
      <c r="BA18" s="78"/>
      <c r="BB18" s="92"/>
      <c r="BC18" s="93"/>
      <c r="BD18" s="92"/>
      <c r="BE18" s="99"/>
      <c r="BF18" s="92"/>
      <c r="BG18" s="92"/>
    </row>
    <row r="19" spans="1:60" x14ac:dyDescent="0.25">
      <c r="A19" s="78" t="s">
        <v>11</v>
      </c>
      <c r="B19" s="273" t="s">
        <v>126</v>
      </c>
      <c r="C19" s="243" t="s">
        <v>105</v>
      </c>
      <c r="D19" s="243" t="s">
        <v>127</v>
      </c>
      <c r="E19" s="245">
        <v>44562</v>
      </c>
      <c r="F19" s="245">
        <v>44562</v>
      </c>
      <c r="G19" s="81" t="s">
        <v>92</v>
      </c>
      <c r="I19" s="91">
        <v>15</v>
      </c>
      <c r="J19" s="123" t="s">
        <v>108</v>
      </c>
      <c r="K19" s="129" t="s">
        <v>118</v>
      </c>
      <c r="L19" s="123" t="s">
        <v>109</v>
      </c>
      <c r="M19" s="129" t="s">
        <v>93</v>
      </c>
      <c r="N19" s="123" t="s">
        <v>106</v>
      </c>
      <c r="O19" s="129" t="s">
        <v>102</v>
      </c>
      <c r="P19" s="123" t="s">
        <v>107</v>
      </c>
      <c r="Q19" s="129" t="s">
        <v>117</v>
      </c>
      <c r="R19" s="123" t="s">
        <v>108</v>
      </c>
      <c r="S19" s="129" t="s">
        <v>120</v>
      </c>
      <c r="T19" s="123" t="s">
        <v>109</v>
      </c>
      <c r="U19" s="129" t="s">
        <v>121</v>
      </c>
      <c r="V19" s="123" t="s">
        <v>106</v>
      </c>
      <c r="W19" s="129" t="s">
        <v>119</v>
      </c>
      <c r="X19" s="123" t="s">
        <v>107</v>
      </c>
      <c r="Y19" s="129" t="s">
        <v>93</v>
      </c>
      <c r="Z19"/>
      <c r="AA19"/>
      <c r="AB19"/>
      <c r="AC19"/>
      <c r="AD19"/>
      <c r="AE19"/>
      <c r="AF19"/>
      <c r="AG19"/>
      <c r="AH19"/>
      <c r="AI19"/>
      <c r="AJ19"/>
      <c r="AK19"/>
      <c r="AL19"/>
      <c r="AM19"/>
      <c r="AN19"/>
      <c r="AO19"/>
      <c r="AP19" s="96"/>
      <c r="AQ19" s="159" t="e">
        <f t="shared" si="0"/>
        <v>#N/A</v>
      </c>
      <c r="AR19" s="153" t="e">
        <f>VLOOKUP($AQ19,TableHandbook[],AR$2,FALSE)</f>
        <v>#N/A</v>
      </c>
      <c r="AS19" s="154" t="e">
        <f>VLOOKUP($AQ19,TableHandbook[],AS$2,FALSE)</f>
        <v>#N/A</v>
      </c>
      <c r="AT19" s="155" t="e">
        <f>VLOOKUP($AQ19,TableHandbook[],AT$2,FALSE)</f>
        <v>#N/A</v>
      </c>
      <c r="AU19" s="156" t="e">
        <f>VLOOKUP($AQ19,TableHandbook[],AU$2,FALSE)</f>
        <v>#N/A</v>
      </c>
      <c r="AV19" s="156" t="e">
        <f>VLOOKUP($AQ19,TableHandbook[],AV$2,FALSE)</f>
        <v>#N/A</v>
      </c>
      <c r="AW19" s="157" t="e">
        <f>VLOOKUP($AQ19,TableHandbook[],AW$2,FALSE)</f>
        <v>#N/A</v>
      </c>
      <c r="AX19" s="157" t="e">
        <f>VLOOKUP($AQ19,TableHandbook[],AX$2,FALSE)</f>
        <v>#N/A</v>
      </c>
      <c r="AY19" s="157" t="e">
        <f>VLOOKUP($AQ19,TableHandbook[],AY$2,FALSE)</f>
        <v>#N/A</v>
      </c>
      <c r="AZ19" s="157" t="e">
        <f>VLOOKUP($AQ19,TableHandbook[],AZ$2,FALSE)</f>
        <v>#N/A</v>
      </c>
      <c r="BA19" s="78"/>
      <c r="BB19" s="92"/>
      <c r="BC19" s="93"/>
      <c r="BD19" s="92"/>
      <c r="BE19" s="99"/>
      <c r="BF19" s="92"/>
      <c r="BG19" s="92"/>
    </row>
    <row r="20" spans="1:60" x14ac:dyDescent="0.25">
      <c r="I20" s="91">
        <v>16</v>
      </c>
      <c r="J20" s="123" t="s">
        <v>109</v>
      </c>
      <c r="K20" s="129" t="s">
        <v>110</v>
      </c>
      <c r="L20" s="123" t="s">
        <v>106</v>
      </c>
      <c r="M20" s="129" t="s">
        <v>119</v>
      </c>
      <c r="N20" s="123" t="s">
        <v>107</v>
      </c>
      <c r="O20" s="129" t="s">
        <v>117</v>
      </c>
      <c r="P20" s="123" t="s">
        <v>108</v>
      </c>
      <c r="Q20" s="129" t="s">
        <v>118</v>
      </c>
      <c r="R20" s="123" t="s">
        <v>109</v>
      </c>
      <c r="S20" s="129" t="s">
        <v>121</v>
      </c>
      <c r="T20" s="123" t="s">
        <v>106</v>
      </c>
      <c r="U20" s="129" t="s">
        <v>111</v>
      </c>
      <c r="V20" s="123" t="s">
        <v>107</v>
      </c>
      <c r="W20" s="129" t="s">
        <v>112</v>
      </c>
      <c r="X20" s="123" t="s">
        <v>108</v>
      </c>
      <c r="Y20" s="129" t="s">
        <v>120</v>
      </c>
      <c r="Z20"/>
      <c r="AA20"/>
      <c r="AB20"/>
      <c r="AC20"/>
      <c r="AD20"/>
      <c r="AE20"/>
      <c r="AF20"/>
      <c r="AG20"/>
      <c r="AH20"/>
      <c r="AI20"/>
      <c r="AJ20"/>
      <c r="AK20"/>
      <c r="AL20"/>
      <c r="AM20"/>
      <c r="AN20"/>
      <c r="AO20"/>
      <c r="AP20" s="96"/>
      <c r="AQ20" s="114" t="e">
        <f t="shared" si="0"/>
        <v>#N/A</v>
      </c>
      <c r="AR20" s="106" t="e">
        <f>VLOOKUP($AQ20,TableHandbook[],AR$2,FALSE)</f>
        <v>#N/A</v>
      </c>
      <c r="AS20" t="e">
        <f>VLOOKUP($AQ20,TableHandbook[],AS$2,FALSE)</f>
        <v>#N/A</v>
      </c>
      <c r="AT20" s="107" t="e">
        <f>VLOOKUP($AQ20,TableHandbook[],AT$2,FALSE)</f>
        <v>#N/A</v>
      </c>
      <c r="AU20" s="108" t="e">
        <f>VLOOKUP($AQ20,TableHandbook[],AU$2,FALSE)</f>
        <v>#N/A</v>
      </c>
      <c r="AV20" s="108" t="e">
        <f>VLOOKUP($AQ20,TableHandbook[],AV$2,FALSE)</f>
        <v>#N/A</v>
      </c>
      <c r="AW20" s="1" t="e">
        <f>VLOOKUP($AQ20,TableHandbook[],AW$2,FALSE)</f>
        <v>#N/A</v>
      </c>
      <c r="AX20" s="1" t="e">
        <f>VLOOKUP($AQ20,TableHandbook[],AX$2,FALSE)</f>
        <v>#N/A</v>
      </c>
      <c r="AY20" s="1" t="e">
        <f>VLOOKUP($AQ20,TableHandbook[],AY$2,FALSE)</f>
        <v>#N/A</v>
      </c>
      <c r="AZ20" s="1" t="e">
        <f>VLOOKUP($AQ20,TableHandbook[],AZ$2,FALSE)</f>
        <v>#N/A</v>
      </c>
      <c r="BA20" s="78"/>
      <c r="BB20" s="92"/>
      <c r="BC20" s="93"/>
      <c r="BD20" s="92"/>
      <c r="BE20" s="99"/>
      <c r="BF20" s="92"/>
      <c r="BG20" s="92"/>
    </row>
    <row r="21" spans="1:60" x14ac:dyDescent="0.25">
      <c r="A21" s="240" t="s">
        <v>128</v>
      </c>
      <c r="I21" s="91">
        <v>17</v>
      </c>
      <c r="J21" s="125" t="s">
        <v>109</v>
      </c>
      <c r="K21" s="124" t="s">
        <v>129</v>
      </c>
      <c r="L21" s="125" t="s">
        <v>106</v>
      </c>
      <c r="M21" s="145" t="s">
        <v>130</v>
      </c>
      <c r="N21" s="125" t="s">
        <v>107</v>
      </c>
      <c r="O21" s="124" t="s">
        <v>129</v>
      </c>
      <c r="P21" s="125" t="s">
        <v>108</v>
      </c>
      <c r="Q21" s="124" t="s">
        <v>129</v>
      </c>
      <c r="R21" s="125" t="s">
        <v>109</v>
      </c>
      <c r="S21" s="124" t="s">
        <v>129</v>
      </c>
      <c r="T21" s="125" t="s">
        <v>106</v>
      </c>
      <c r="U21" s="124" t="s">
        <v>129</v>
      </c>
      <c r="V21" s="125" t="s">
        <v>107</v>
      </c>
      <c r="W21" s="124" t="s">
        <v>129</v>
      </c>
      <c r="X21" s="125" t="s">
        <v>108</v>
      </c>
      <c r="Y21" s="124" t="s">
        <v>129</v>
      </c>
      <c r="Z21"/>
      <c r="AA21"/>
      <c r="AB21"/>
      <c r="AC21"/>
      <c r="AD21"/>
      <c r="AE21"/>
      <c r="AF21"/>
      <c r="AG21"/>
      <c r="AH21"/>
      <c r="AI21"/>
      <c r="AJ21"/>
      <c r="AK21"/>
      <c r="AL21"/>
      <c r="AM21"/>
      <c r="AN21"/>
      <c r="AO21"/>
      <c r="AP21" s="96"/>
      <c r="AQ21" s="127" t="e">
        <f t="shared" si="0"/>
        <v>#N/A</v>
      </c>
      <c r="AR21" s="109" t="e">
        <f>VLOOKUP($AQ21,TableHandbook[],AR$2,FALSE)</f>
        <v>#N/A</v>
      </c>
      <c r="AS21" s="110" t="e">
        <f>VLOOKUP($AQ21,TableHandbook[],AS$2,FALSE)</f>
        <v>#N/A</v>
      </c>
      <c r="AT21" s="111" t="e">
        <f>VLOOKUP($AQ21,TableHandbook[],AT$2,FALSE)</f>
        <v>#N/A</v>
      </c>
      <c r="AU21" s="112" t="e">
        <f>VLOOKUP($AQ21,TableHandbook[],AU$2,FALSE)</f>
        <v>#N/A</v>
      </c>
      <c r="AV21" s="112" t="e">
        <f>VLOOKUP($AQ21,TableHandbook[],AV$2,FALSE)</f>
        <v>#N/A</v>
      </c>
      <c r="AW21" s="113" t="e">
        <f>VLOOKUP($AQ21,TableHandbook[],AW$2,FALSE)</f>
        <v>#N/A</v>
      </c>
      <c r="AX21" s="113" t="e">
        <f>VLOOKUP($AQ21,TableHandbook[],AX$2,FALSE)</f>
        <v>#N/A</v>
      </c>
      <c r="AY21" s="113" t="e">
        <f>VLOOKUP($AQ21,TableHandbook[],AY$2,FALSE)</f>
        <v>#N/A</v>
      </c>
      <c r="AZ21" s="113" t="e">
        <f>VLOOKUP($AQ21,TableHandbook[],AZ$2,FALSE)</f>
        <v>#N/A</v>
      </c>
      <c r="BC21" s="93"/>
      <c r="BD21" s="92"/>
      <c r="BE21" s="100"/>
      <c r="BF21" s="92"/>
      <c r="BG21" s="95"/>
    </row>
    <row r="22" spans="1:60" x14ac:dyDescent="0.25">
      <c r="A22" s="97" t="s">
        <v>17</v>
      </c>
      <c r="B22" s="244" t="s">
        <v>131</v>
      </c>
      <c r="C22" s="243" t="s">
        <v>132</v>
      </c>
      <c r="D22" s="243" t="s">
        <v>133</v>
      </c>
      <c r="E22" s="243" t="s">
        <v>134</v>
      </c>
      <c r="I22" s="91">
        <v>18</v>
      </c>
      <c r="J22" s="123" t="s">
        <v>135</v>
      </c>
      <c r="K22" s="144" t="s">
        <v>136</v>
      </c>
      <c r="L22" s="123" t="s">
        <v>137</v>
      </c>
      <c r="M22" s="129" t="s">
        <v>129</v>
      </c>
      <c r="N22" s="123" t="s">
        <v>138</v>
      </c>
      <c r="O22" s="144" t="s">
        <v>136</v>
      </c>
      <c r="P22" s="123" t="s">
        <v>139</v>
      </c>
      <c r="Q22" s="144" t="s">
        <v>136</v>
      </c>
      <c r="R22" s="123" t="s">
        <v>135</v>
      </c>
      <c r="S22" s="129" t="s">
        <v>136</v>
      </c>
      <c r="T22" s="123" t="s">
        <v>137</v>
      </c>
      <c r="U22" s="129" t="s">
        <v>136</v>
      </c>
      <c r="V22" s="123" t="s">
        <v>138</v>
      </c>
      <c r="W22" s="129" t="s">
        <v>136</v>
      </c>
      <c r="X22" s="123" t="s">
        <v>139</v>
      </c>
      <c r="Y22" s="129" t="s">
        <v>136</v>
      </c>
      <c r="Z22"/>
      <c r="AA22"/>
      <c r="AB22"/>
      <c r="AC22"/>
      <c r="AD22"/>
      <c r="AE22"/>
      <c r="AF22"/>
      <c r="AG22"/>
      <c r="AH22"/>
      <c r="AI22"/>
      <c r="AJ22"/>
      <c r="AK22"/>
      <c r="AL22"/>
      <c r="AM22"/>
      <c r="AN22"/>
      <c r="AO22"/>
      <c r="AP22" s="96"/>
      <c r="AQ22" s="114" t="e">
        <f t="shared" si="0"/>
        <v>#N/A</v>
      </c>
      <c r="AR22" s="106" t="e">
        <f>VLOOKUP($AQ22,TableHandbook[],AR$2,FALSE)</f>
        <v>#N/A</v>
      </c>
      <c r="AS22" t="e">
        <f>VLOOKUP($AQ22,TableHandbook[],AS$2,FALSE)</f>
        <v>#N/A</v>
      </c>
      <c r="AT22" s="107" t="e">
        <f>VLOOKUP($AQ22,TableHandbook[],AT$2,FALSE)</f>
        <v>#N/A</v>
      </c>
      <c r="AU22" s="108" t="e">
        <f>VLOOKUP($AQ22,TableHandbook[],AU$2,FALSE)</f>
        <v>#N/A</v>
      </c>
      <c r="AV22" s="108" t="e">
        <f>VLOOKUP($AQ22,TableHandbook[],AV$2,FALSE)</f>
        <v>#N/A</v>
      </c>
      <c r="AW22" s="1" t="e">
        <f>VLOOKUP($AQ22,TableHandbook[],AW$2,FALSE)</f>
        <v>#N/A</v>
      </c>
      <c r="AX22" s="1" t="e">
        <f>VLOOKUP($AQ22,TableHandbook[],AX$2,FALSE)</f>
        <v>#N/A</v>
      </c>
      <c r="AY22" s="1" t="e">
        <f>VLOOKUP($AQ22,TableHandbook[],AY$2,FALSE)</f>
        <v>#N/A</v>
      </c>
      <c r="AZ22" s="1" t="e">
        <f>VLOOKUP($AQ22,TableHandbook[],AZ$2,FALSE)</f>
        <v>#N/A</v>
      </c>
    </row>
    <row r="23" spans="1:60" x14ac:dyDescent="0.25">
      <c r="A23" s="78" t="s">
        <v>140</v>
      </c>
      <c r="B23" s="243" t="s">
        <v>25</v>
      </c>
      <c r="C23" s="243" t="s">
        <v>26</v>
      </c>
      <c r="D23" s="243" t="s">
        <v>27</v>
      </c>
      <c r="E23" s="243" t="s">
        <v>28</v>
      </c>
      <c r="I23" s="91">
        <v>19</v>
      </c>
      <c r="J23" s="125" t="s">
        <v>135</v>
      </c>
      <c r="K23" s="145"/>
      <c r="L23" s="125" t="s">
        <v>137</v>
      </c>
      <c r="M23" s="145"/>
      <c r="N23" s="125" t="s">
        <v>138</v>
      </c>
      <c r="O23" s="145"/>
      <c r="P23" s="125" t="s">
        <v>139</v>
      </c>
      <c r="Q23" s="145"/>
      <c r="R23" s="125" t="s">
        <v>135</v>
      </c>
      <c r="S23" s="124"/>
      <c r="T23" s="125" t="s">
        <v>137</v>
      </c>
      <c r="U23" s="124"/>
      <c r="V23" s="125" t="s">
        <v>138</v>
      </c>
      <c r="W23" s="124"/>
      <c r="X23" s="125" t="s">
        <v>139</v>
      </c>
      <c r="Y23" s="124"/>
      <c r="Z23"/>
      <c r="AA23"/>
      <c r="AB23"/>
      <c r="AC23"/>
      <c r="AD23"/>
      <c r="AE23"/>
      <c r="AF23"/>
      <c r="AG23"/>
      <c r="AH23"/>
      <c r="AI23"/>
      <c r="AJ23"/>
      <c r="AK23"/>
      <c r="AL23"/>
      <c r="AM23"/>
      <c r="AN23"/>
      <c r="AO23"/>
      <c r="AP23"/>
      <c r="AQ23" s="127" t="e">
        <f t="shared" si="0"/>
        <v>#N/A</v>
      </c>
      <c r="AR23" s="109" t="e">
        <f>VLOOKUP($AQ23,TableHandbook[],AR$2,FALSE)</f>
        <v>#N/A</v>
      </c>
      <c r="AS23" s="110" t="e">
        <f>VLOOKUP($AQ23,TableHandbook[],AS$2,FALSE)</f>
        <v>#N/A</v>
      </c>
      <c r="AT23" s="111" t="e">
        <f>VLOOKUP($AQ23,TableHandbook[],AT$2,FALSE)</f>
        <v>#N/A</v>
      </c>
      <c r="AU23" s="112" t="e">
        <f>VLOOKUP($AQ23,TableHandbook[],AU$2,FALSE)</f>
        <v>#N/A</v>
      </c>
      <c r="AV23" s="112" t="e">
        <f>VLOOKUP($AQ23,TableHandbook[],AV$2,FALSE)</f>
        <v>#N/A</v>
      </c>
      <c r="AW23" s="113" t="e">
        <f>VLOOKUP($AQ23,TableHandbook[],AW$2,FALSE)</f>
        <v>#N/A</v>
      </c>
      <c r="AX23" s="113" t="e">
        <f>VLOOKUP($AQ23,TableHandbook[],AX$2,FALSE)</f>
        <v>#N/A</v>
      </c>
      <c r="AY23" s="113" t="e">
        <f>VLOOKUP($AQ23,TableHandbook[],AY$2,FALSE)</f>
        <v>#N/A</v>
      </c>
      <c r="AZ23" s="113" t="e">
        <f>VLOOKUP($AQ23,TableHandbook[],AZ$2,FALSE)</f>
        <v>#N/A</v>
      </c>
      <c r="BA23"/>
      <c r="BB23"/>
      <c r="BC23"/>
      <c r="BD23"/>
      <c r="BE23"/>
      <c r="BF23"/>
      <c r="BG23"/>
      <c r="BH23"/>
    </row>
    <row r="24" spans="1:60" x14ac:dyDescent="0.25">
      <c r="A24" s="78" t="s">
        <v>141</v>
      </c>
      <c r="B24" s="243" t="s">
        <v>26</v>
      </c>
      <c r="C24" s="243" t="s">
        <v>27</v>
      </c>
      <c r="D24" s="243" t="s">
        <v>28</v>
      </c>
      <c r="E24" s="243" t="s">
        <v>25</v>
      </c>
      <c r="Z24" s="96"/>
      <c r="AA24" s="96"/>
      <c r="AB24" s="96"/>
      <c r="AC24" s="96"/>
      <c r="AD24" s="96"/>
      <c r="AE24"/>
      <c r="AF24"/>
      <c r="AG24"/>
      <c r="AH24"/>
      <c r="AI24"/>
      <c r="AJ24"/>
    </row>
    <row r="25" spans="1:60" x14ac:dyDescent="0.25">
      <c r="A25" s="78" t="s">
        <v>142</v>
      </c>
      <c r="B25" s="243" t="s">
        <v>27</v>
      </c>
      <c r="C25" s="243" t="s">
        <v>28</v>
      </c>
      <c r="D25" s="243" t="s">
        <v>25</v>
      </c>
      <c r="E25" s="243" t="s">
        <v>26</v>
      </c>
      <c r="H25"/>
      <c r="I25"/>
      <c r="K25" s="91"/>
      <c r="L25" s="96"/>
      <c r="M25" s="87"/>
      <c r="N25"/>
      <c r="O25"/>
      <c r="P25"/>
      <c r="Q25"/>
      <c r="R25"/>
      <c r="S25"/>
      <c r="T25"/>
      <c r="U25"/>
      <c r="V25"/>
      <c r="W25"/>
      <c r="X25"/>
      <c r="Y25"/>
      <c r="AD25" s="96"/>
      <c r="AE25"/>
      <c r="AF25"/>
      <c r="AG25"/>
      <c r="AH25"/>
      <c r="AI25"/>
      <c r="AJ25"/>
    </row>
    <row r="26" spans="1:60" x14ac:dyDescent="0.25">
      <c r="A26" s="78" t="s">
        <v>143</v>
      </c>
      <c r="B26" s="243" t="s">
        <v>28</v>
      </c>
      <c r="C26" s="243" t="s">
        <v>25</v>
      </c>
      <c r="D26" s="243" t="s">
        <v>26</v>
      </c>
      <c r="E26" s="243" t="s">
        <v>27</v>
      </c>
      <c r="H26" s="241" t="s">
        <v>144</v>
      </c>
      <c r="I26" s="87">
        <v>1</v>
      </c>
      <c r="J26" s="250"/>
      <c r="K26" s="251" t="s">
        <v>145</v>
      </c>
      <c r="L26" s="250"/>
      <c r="M26" s="251" t="s">
        <v>146</v>
      </c>
      <c r="N26" s="250"/>
      <c r="O26" s="251" t="s">
        <v>147</v>
      </c>
      <c r="P26" s="250"/>
      <c r="Q26" s="251" t="s">
        <v>148</v>
      </c>
      <c r="R26" s="250"/>
      <c r="S26" s="251" t="s">
        <v>149</v>
      </c>
      <c r="T26" s="250"/>
      <c r="U26" s="251" t="s">
        <v>150</v>
      </c>
      <c r="V26" s="250"/>
      <c r="W26" s="251" t="s">
        <v>151</v>
      </c>
      <c r="X26" s="250"/>
      <c r="Y26" s="251" t="s">
        <v>152</v>
      </c>
      <c r="Z26" s="89"/>
      <c r="AA26" s="88" t="s">
        <v>153</v>
      </c>
      <c r="AB26" s="89"/>
      <c r="AC26" s="88" t="s">
        <v>154</v>
      </c>
      <c r="AD26" s="89"/>
      <c r="AE26" s="88" t="s">
        <v>155</v>
      </c>
      <c r="AF26" s="89"/>
      <c r="AG26" s="88" t="s">
        <v>156</v>
      </c>
      <c r="AH26" s="89"/>
      <c r="AI26" s="88" t="s">
        <v>157</v>
      </c>
      <c r="AJ26" s="89"/>
      <c r="AK26" s="88" t="s">
        <v>158</v>
      </c>
      <c r="AL26" s="89"/>
      <c r="AM26" s="88" t="s">
        <v>159</v>
      </c>
      <c r="AN26" s="89"/>
      <c r="AO26" s="88" t="s">
        <v>160</v>
      </c>
    </row>
    <row r="27" spans="1:60" x14ac:dyDescent="0.25">
      <c r="E27" s="246"/>
      <c r="I27" s="91">
        <v>2</v>
      </c>
      <c r="J27" s="122" t="s">
        <v>161</v>
      </c>
      <c r="K27" s="128" t="s">
        <v>162</v>
      </c>
      <c r="L27" s="122" t="s">
        <v>163</v>
      </c>
      <c r="M27" s="128" t="s">
        <v>164</v>
      </c>
      <c r="N27" s="122" t="s">
        <v>165</v>
      </c>
      <c r="O27" s="128" t="s">
        <v>162</v>
      </c>
      <c r="P27" s="122" t="s">
        <v>166</v>
      </c>
      <c r="Q27" s="128" t="s">
        <v>164</v>
      </c>
      <c r="R27" s="122" t="s">
        <v>161</v>
      </c>
      <c r="S27" s="128" t="s">
        <v>162</v>
      </c>
      <c r="T27" s="122" t="s">
        <v>163</v>
      </c>
      <c r="U27" s="128" t="s">
        <v>164</v>
      </c>
      <c r="V27" s="122" t="s">
        <v>165</v>
      </c>
      <c r="W27" s="128" t="s">
        <v>162</v>
      </c>
      <c r="X27" s="122" t="s">
        <v>166</v>
      </c>
      <c r="Y27" s="128" t="s">
        <v>164</v>
      </c>
      <c r="Z27" s="122" t="s">
        <v>161</v>
      </c>
      <c r="AA27" s="128" t="s">
        <v>162</v>
      </c>
      <c r="AB27" s="122" t="s">
        <v>163</v>
      </c>
      <c r="AC27" s="128" t="s">
        <v>164</v>
      </c>
      <c r="AD27" s="122" t="s">
        <v>165</v>
      </c>
      <c r="AE27" s="128" t="s">
        <v>162</v>
      </c>
      <c r="AF27" s="122" t="s">
        <v>166</v>
      </c>
      <c r="AG27" s="128" t="s">
        <v>164</v>
      </c>
      <c r="AH27" s="122" t="s">
        <v>161</v>
      </c>
      <c r="AI27" s="128" t="s">
        <v>162</v>
      </c>
      <c r="AJ27" s="122" t="s">
        <v>163</v>
      </c>
      <c r="AK27" s="128" t="s">
        <v>164</v>
      </c>
      <c r="AL27" s="122" t="s">
        <v>165</v>
      </c>
      <c r="AM27" s="128" t="s">
        <v>162</v>
      </c>
      <c r="AN27" s="122" t="s">
        <v>166</v>
      </c>
      <c r="AO27" s="128" t="s">
        <v>164</v>
      </c>
    </row>
    <row r="28" spans="1:60" x14ac:dyDescent="0.25">
      <c r="A28" s="240" t="s">
        <v>167</v>
      </c>
      <c r="I28" s="91">
        <v>3</v>
      </c>
      <c r="J28" s="123" t="s">
        <v>161</v>
      </c>
      <c r="K28" s="129" t="s">
        <v>168</v>
      </c>
      <c r="L28" s="123" t="s">
        <v>163</v>
      </c>
      <c r="M28" s="129" t="s">
        <v>168</v>
      </c>
      <c r="N28" s="123" t="s">
        <v>165</v>
      </c>
      <c r="O28" s="129" t="s">
        <v>168</v>
      </c>
      <c r="P28" s="123" t="s">
        <v>166</v>
      </c>
      <c r="Q28" s="129" t="s">
        <v>168</v>
      </c>
      <c r="R28" s="123" t="s">
        <v>161</v>
      </c>
      <c r="S28" s="129" t="s">
        <v>169</v>
      </c>
      <c r="T28" s="123" t="s">
        <v>163</v>
      </c>
      <c r="U28" s="129" t="s">
        <v>170</v>
      </c>
      <c r="V28" s="123" t="s">
        <v>165</v>
      </c>
      <c r="W28" s="129" t="s">
        <v>171</v>
      </c>
      <c r="X28" s="123" t="s">
        <v>166</v>
      </c>
      <c r="Y28" s="129" t="s">
        <v>170</v>
      </c>
      <c r="Z28" s="123" t="s">
        <v>161</v>
      </c>
      <c r="AA28" s="129" t="s">
        <v>172</v>
      </c>
      <c r="AB28" s="123" t="s">
        <v>163</v>
      </c>
      <c r="AC28" s="129" t="s">
        <v>170</v>
      </c>
      <c r="AD28" s="123" t="s">
        <v>165</v>
      </c>
      <c r="AE28" s="129" t="s">
        <v>173</v>
      </c>
      <c r="AF28" s="123" t="s">
        <v>166</v>
      </c>
      <c r="AG28" s="129" t="s">
        <v>170</v>
      </c>
      <c r="AH28" s="123" t="s">
        <v>161</v>
      </c>
      <c r="AI28" s="129" t="s">
        <v>174</v>
      </c>
      <c r="AJ28" s="123" t="s">
        <v>163</v>
      </c>
      <c r="AK28" s="129" t="s">
        <v>170</v>
      </c>
      <c r="AL28" s="123" t="s">
        <v>165</v>
      </c>
      <c r="AM28" s="129" t="s">
        <v>175</v>
      </c>
      <c r="AN28" s="123" t="s">
        <v>166</v>
      </c>
      <c r="AO28" s="129" t="s">
        <v>170</v>
      </c>
    </row>
    <row r="29" spans="1:60" x14ac:dyDescent="0.25">
      <c r="A29" s="97" t="s">
        <v>176</v>
      </c>
      <c r="B29" s="244" t="s">
        <v>0</v>
      </c>
      <c r="C29" s="243" t="s">
        <v>79</v>
      </c>
      <c r="D29" s="243" t="s">
        <v>80</v>
      </c>
      <c r="E29" s="243" t="s">
        <v>81</v>
      </c>
      <c r="F29" s="243" t="s">
        <v>82</v>
      </c>
      <c r="I29" s="91">
        <v>4</v>
      </c>
      <c r="J29" s="123" t="s">
        <v>163</v>
      </c>
      <c r="K29" s="129" t="s">
        <v>164</v>
      </c>
      <c r="L29" s="123" t="s">
        <v>165</v>
      </c>
      <c r="M29" s="129" t="s">
        <v>162</v>
      </c>
      <c r="N29" s="123" t="s">
        <v>166</v>
      </c>
      <c r="O29" s="129" t="s">
        <v>164</v>
      </c>
      <c r="P29" s="123" t="s">
        <v>161</v>
      </c>
      <c r="Q29" s="129" t="s">
        <v>162</v>
      </c>
      <c r="R29" s="123" t="s">
        <v>163</v>
      </c>
      <c r="S29" s="129" t="s">
        <v>164</v>
      </c>
      <c r="T29" s="123" t="s">
        <v>165</v>
      </c>
      <c r="U29" s="129" t="s">
        <v>162</v>
      </c>
      <c r="V29" s="123" t="s">
        <v>166</v>
      </c>
      <c r="W29" s="129" t="s">
        <v>164</v>
      </c>
      <c r="X29" s="123" t="s">
        <v>161</v>
      </c>
      <c r="Y29" s="129" t="s">
        <v>162</v>
      </c>
      <c r="Z29" s="123" t="s">
        <v>163</v>
      </c>
      <c r="AA29" s="129" t="s">
        <v>164</v>
      </c>
      <c r="AB29" s="123" t="s">
        <v>165</v>
      </c>
      <c r="AC29" s="129" t="s">
        <v>162</v>
      </c>
      <c r="AD29" s="123" t="s">
        <v>166</v>
      </c>
      <c r="AE29" s="129" t="s">
        <v>164</v>
      </c>
      <c r="AF29" s="123" t="s">
        <v>161</v>
      </c>
      <c r="AG29" s="129" t="s">
        <v>162</v>
      </c>
      <c r="AH29" s="123" t="s">
        <v>163</v>
      </c>
      <c r="AI29" s="129" t="s">
        <v>164</v>
      </c>
      <c r="AJ29" s="123" t="s">
        <v>165</v>
      </c>
      <c r="AK29" s="129" t="s">
        <v>162</v>
      </c>
      <c r="AL29" s="123" t="s">
        <v>166</v>
      </c>
      <c r="AM29" s="129" t="s">
        <v>164</v>
      </c>
      <c r="AN29" s="123" t="s">
        <v>161</v>
      </c>
      <c r="AO29" s="129" t="s">
        <v>162</v>
      </c>
    </row>
    <row r="30" spans="1:60" x14ac:dyDescent="0.25">
      <c r="A30" s="93" t="s">
        <v>14</v>
      </c>
      <c r="B30" s="279" t="s">
        <v>177</v>
      </c>
      <c r="C30" s="92" t="s">
        <v>105</v>
      </c>
      <c r="D30" s="92" t="s">
        <v>127</v>
      </c>
      <c r="E30" s="245">
        <v>44562</v>
      </c>
      <c r="F30" s="278">
        <v>45017</v>
      </c>
      <c r="I30" s="91">
        <v>5</v>
      </c>
      <c r="J30" s="123" t="s">
        <v>163</v>
      </c>
      <c r="K30" s="129" t="s">
        <v>168</v>
      </c>
      <c r="L30" s="123" t="s">
        <v>165</v>
      </c>
      <c r="M30" s="129" t="s">
        <v>168</v>
      </c>
      <c r="N30" s="123" t="s">
        <v>166</v>
      </c>
      <c r="O30" s="129" t="s">
        <v>168</v>
      </c>
      <c r="P30" s="123" t="s">
        <v>161</v>
      </c>
      <c r="Q30" s="129" t="s">
        <v>168</v>
      </c>
      <c r="R30" s="123" t="s">
        <v>163</v>
      </c>
      <c r="S30" s="129" t="s">
        <v>170</v>
      </c>
      <c r="T30" s="123" t="s">
        <v>165</v>
      </c>
      <c r="U30" s="129" t="s">
        <v>171</v>
      </c>
      <c r="V30" s="123" t="s">
        <v>166</v>
      </c>
      <c r="W30" s="129" t="s">
        <v>170</v>
      </c>
      <c r="X30" s="123" t="s">
        <v>161</v>
      </c>
      <c r="Y30" s="129" t="s">
        <v>169</v>
      </c>
      <c r="Z30" s="123" t="s">
        <v>163</v>
      </c>
      <c r="AA30" s="129" t="s">
        <v>170</v>
      </c>
      <c r="AB30" s="123" t="s">
        <v>165</v>
      </c>
      <c r="AC30" s="129" t="s">
        <v>173</v>
      </c>
      <c r="AD30" s="123" t="s">
        <v>166</v>
      </c>
      <c r="AE30" s="129" t="s">
        <v>170</v>
      </c>
      <c r="AF30" s="123" t="s">
        <v>161</v>
      </c>
      <c r="AG30" s="129" t="s">
        <v>172</v>
      </c>
      <c r="AH30" s="123" t="s">
        <v>163</v>
      </c>
      <c r="AI30" s="129" t="s">
        <v>170</v>
      </c>
      <c r="AJ30" s="123" t="s">
        <v>165</v>
      </c>
      <c r="AK30" s="129" t="s">
        <v>175</v>
      </c>
      <c r="AL30" s="123" t="s">
        <v>166</v>
      </c>
      <c r="AM30" s="129" t="s">
        <v>170</v>
      </c>
      <c r="AN30" s="123" t="s">
        <v>161</v>
      </c>
      <c r="AO30" s="129" t="s">
        <v>174</v>
      </c>
    </row>
    <row r="31" spans="1:60" x14ac:dyDescent="0.25">
      <c r="A31" s="93" t="s">
        <v>36</v>
      </c>
      <c r="B31" s="279" t="s">
        <v>178</v>
      </c>
      <c r="C31" s="92" t="s">
        <v>105</v>
      </c>
      <c r="D31" s="92" t="s">
        <v>127</v>
      </c>
      <c r="E31" s="245">
        <v>44562</v>
      </c>
      <c r="F31" s="278">
        <v>45017</v>
      </c>
      <c r="I31" s="91">
        <v>6</v>
      </c>
      <c r="J31" s="123" t="s">
        <v>165</v>
      </c>
      <c r="K31" s="129" t="s">
        <v>168</v>
      </c>
      <c r="L31" s="123" t="s">
        <v>166</v>
      </c>
      <c r="M31" s="129" t="s">
        <v>179</v>
      </c>
      <c r="N31" s="123" t="s">
        <v>161</v>
      </c>
      <c r="O31" s="129" t="s">
        <v>168</v>
      </c>
      <c r="P31" s="123" t="s">
        <v>163</v>
      </c>
      <c r="Q31" s="129" t="s">
        <v>179</v>
      </c>
      <c r="R31" s="123" t="s">
        <v>165</v>
      </c>
      <c r="S31" s="129" t="s">
        <v>180</v>
      </c>
      <c r="T31" s="123" t="s">
        <v>166</v>
      </c>
      <c r="U31" s="129" t="s">
        <v>179</v>
      </c>
      <c r="V31" s="123" t="s">
        <v>161</v>
      </c>
      <c r="W31" s="129" t="s">
        <v>180</v>
      </c>
      <c r="X31" s="123" t="s">
        <v>163</v>
      </c>
      <c r="Y31" s="129" t="s">
        <v>179</v>
      </c>
      <c r="Z31" s="123" t="s">
        <v>165</v>
      </c>
      <c r="AA31" s="129" t="s">
        <v>181</v>
      </c>
      <c r="AB31" s="123" t="s">
        <v>166</v>
      </c>
      <c r="AC31" s="129" t="s">
        <v>179</v>
      </c>
      <c r="AD31" s="123" t="s">
        <v>161</v>
      </c>
      <c r="AE31" s="129" t="s">
        <v>181</v>
      </c>
      <c r="AF31" s="123" t="s">
        <v>163</v>
      </c>
      <c r="AG31" s="129" t="s">
        <v>179</v>
      </c>
      <c r="AH31" s="123" t="s">
        <v>165</v>
      </c>
      <c r="AI31" s="129" t="s">
        <v>181</v>
      </c>
      <c r="AJ31" s="123" t="s">
        <v>166</v>
      </c>
      <c r="AK31" s="129" t="s">
        <v>179</v>
      </c>
      <c r="AL31" s="123" t="s">
        <v>161</v>
      </c>
      <c r="AM31" s="129" t="s">
        <v>181</v>
      </c>
      <c r="AN31" s="123" t="s">
        <v>163</v>
      </c>
      <c r="AO31" s="129" t="s">
        <v>179</v>
      </c>
    </row>
    <row r="32" spans="1:60" x14ac:dyDescent="0.25">
      <c r="A32" s="93" t="s">
        <v>182</v>
      </c>
      <c r="B32" s="279" t="s">
        <v>183</v>
      </c>
      <c r="C32" s="92" t="s">
        <v>184</v>
      </c>
      <c r="D32" s="92" t="s">
        <v>127</v>
      </c>
      <c r="E32" s="245">
        <v>44562</v>
      </c>
      <c r="F32" s="278">
        <v>45017</v>
      </c>
      <c r="I32" s="91">
        <v>7</v>
      </c>
      <c r="J32" s="123" t="s">
        <v>165</v>
      </c>
      <c r="K32" s="129" t="s">
        <v>168</v>
      </c>
      <c r="L32" s="123" t="s">
        <v>166</v>
      </c>
      <c r="M32" s="144" t="s">
        <v>185</v>
      </c>
      <c r="N32" s="123" t="s">
        <v>161</v>
      </c>
      <c r="O32" s="129" t="s">
        <v>168</v>
      </c>
      <c r="P32" s="123" t="s">
        <v>163</v>
      </c>
      <c r="Q32" s="144" t="s">
        <v>185</v>
      </c>
      <c r="R32" s="123" t="s">
        <v>165</v>
      </c>
      <c r="S32" s="129" t="s">
        <v>171</v>
      </c>
      <c r="T32" s="123" t="s">
        <v>166</v>
      </c>
      <c r="U32" s="144" t="s">
        <v>185</v>
      </c>
      <c r="V32" s="123" t="s">
        <v>161</v>
      </c>
      <c r="W32" s="129" t="s">
        <v>169</v>
      </c>
      <c r="X32" s="123" t="s">
        <v>163</v>
      </c>
      <c r="Y32" s="144" t="s">
        <v>185</v>
      </c>
      <c r="Z32" s="123" t="s">
        <v>165</v>
      </c>
      <c r="AA32" s="129" t="s">
        <v>173</v>
      </c>
      <c r="AB32" s="123" t="s">
        <v>166</v>
      </c>
      <c r="AC32" s="144" t="s">
        <v>185</v>
      </c>
      <c r="AD32" s="123" t="s">
        <v>161</v>
      </c>
      <c r="AE32" s="129" t="s">
        <v>172</v>
      </c>
      <c r="AF32" s="123" t="s">
        <v>163</v>
      </c>
      <c r="AG32" s="144" t="s">
        <v>185</v>
      </c>
      <c r="AH32" s="123" t="s">
        <v>165</v>
      </c>
      <c r="AI32" s="129" t="s">
        <v>175</v>
      </c>
      <c r="AJ32" s="123" t="s">
        <v>166</v>
      </c>
      <c r="AK32" s="144" t="s">
        <v>185</v>
      </c>
      <c r="AL32" s="123" t="s">
        <v>161</v>
      </c>
      <c r="AM32" s="129" t="s">
        <v>174</v>
      </c>
      <c r="AN32" s="123" t="s">
        <v>163</v>
      </c>
      <c r="AO32" s="144" t="s">
        <v>185</v>
      </c>
    </row>
    <row r="33" spans="1:41" x14ac:dyDescent="0.25">
      <c r="A33" s="97"/>
      <c r="B33" s="244"/>
      <c r="I33" s="91">
        <v>8</v>
      </c>
      <c r="J33" s="123" t="s">
        <v>166</v>
      </c>
      <c r="K33" s="129" t="s">
        <v>179</v>
      </c>
      <c r="L33" s="123" t="s">
        <v>161</v>
      </c>
      <c r="M33" s="129" t="s">
        <v>168</v>
      </c>
      <c r="N33" s="123" t="s">
        <v>163</v>
      </c>
      <c r="O33" s="129" t="s">
        <v>179</v>
      </c>
      <c r="P33" s="123" t="s">
        <v>165</v>
      </c>
      <c r="Q33" s="129" t="s">
        <v>168</v>
      </c>
      <c r="R33" s="123" t="s">
        <v>166</v>
      </c>
      <c r="S33" s="129" t="s">
        <v>179</v>
      </c>
      <c r="T33" s="123" t="s">
        <v>161</v>
      </c>
      <c r="U33" s="129" t="s">
        <v>180</v>
      </c>
      <c r="V33" s="123" t="s">
        <v>163</v>
      </c>
      <c r="W33" s="129" t="s">
        <v>179</v>
      </c>
      <c r="X33" s="123" t="s">
        <v>165</v>
      </c>
      <c r="Y33" s="129" t="s">
        <v>180</v>
      </c>
      <c r="Z33" s="123" t="s">
        <v>166</v>
      </c>
      <c r="AA33" s="129" t="s">
        <v>179</v>
      </c>
      <c r="AB33" s="123" t="s">
        <v>161</v>
      </c>
      <c r="AC33" s="129" t="s">
        <v>181</v>
      </c>
      <c r="AD33" s="123" t="s">
        <v>163</v>
      </c>
      <c r="AE33" s="129" t="s">
        <v>179</v>
      </c>
      <c r="AF33" s="123" t="s">
        <v>165</v>
      </c>
      <c r="AG33" s="129" t="s">
        <v>181</v>
      </c>
      <c r="AH33" s="123" t="s">
        <v>166</v>
      </c>
      <c r="AI33" s="129" t="s">
        <v>179</v>
      </c>
      <c r="AJ33" s="123" t="s">
        <v>161</v>
      </c>
      <c r="AK33" s="129" t="s">
        <v>181</v>
      </c>
      <c r="AL33" s="123" t="s">
        <v>163</v>
      </c>
      <c r="AM33" s="129" t="s">
        <v>179</v>
      </c>
      <c r="AN33" s="123" t="s">
        <v>165</v>
      </c>
      <c r="AO33" s="129" t="s">
        <v>181</v>
      </c>
    </row>
    <row r="34" spans="1:41" x14ac:dyDescent="0.25">
      <c r="A34" s="240" t="s">
        <v>186</v>
      </c>
      <c r="I34" s="91">
        <v>9</v>
      </c>
      <c r="J34" s="125" t="s">
        <v>166</v>
      </c>
      <c r="K34" s="145" t="s">
        <v>185</v>
      </c>
      <c r="L34" s="125" t="s">
        <v>161</v>
      </c>
      <c r="M34" s="124" t="s">
        <v>168</v>
      </c>
      <c r="N34" s="125" t="s">
        <v>163</v>
      </c>
      <c r="O34" s="145" t="s">
        <v>185</v>
      </c>
      <c r="P34" s="125" t="s">
        <v>165</v>
      </c>
      <c r="Q34" s="124" t="s">
        <v>168</v>
      </c>
      <c r="R34" s="125" t="s">
        <v>166</v>
      </c>
      <c r="S34" s="145" t="s">
        <v>185</v>
      </c>
      <c r="T34" s="125" t="s">
        <v>161</v>
      </c>
      <c r="U34" s="124" t="s">
        <v>169</v>
      </c>
      <c r="V34" s="125" t="s">
        <v>163</v>
      </c>
      <c r="W34" s="145" t="s">
        <v>185</v>
      </c>
      <c r="X34" s="125" t="s">
        <v>165</v>
      </c>
      <c r="Y34" s="124" t="s">
        <v>171</v>
      </c>
      <c r="Z34" s="125" t="s">
        <v>166</v>
      </c>
      <c r="AA34" s="145" t="s">
        <v>185</v>
      </c>
      <c r="AB34" s="125" t="s">
        <v>161</v>
      </c>
      <c r="AC34" s="124" t="s">
        <v>172</v>
      </c>
      <c r="AD34" s="125" t="s">
        <v>163</v>
      </c>
      <c r="AE34" s="145" t="s">
        <v>185</v>
      </c>
      <c r="AF34" s="125" t="s">
        <v>165</v>
      </c>
      <c r="AG34" s="124" t="s">
        <v>173</v>
      </c>
      <c r="AH34" s="125" t="s">
        <v>166</v>
      </c>
      <c r="AI34" s="144" t="s">
        <v>185</v>
      </c>
      <c r="AJ34" s="125" t="s">
        <v>161</v>
      </c>
      <c r="AK34" s="124" t="s">
        <v>174</v>
      </c>
      <c r="AL34" s="125" t="s">
        <v>163</v>
      </c>
      <c r="AM34" s="144" t="s">
        <v>185</v>
      </c>
      <c r="AN34" s="125" t="s">
        <v>165</v>
      </c>
      <c r="AO34" s="124" t="s">
        <v>175</v>
      </c>
    </row>
    <row r="35" spans="1:41" x14ac:dyDescent="0.25">
      <c r="A35" s="97" t="s">
        <v>176</v>
      </c>
      <c r="B35" s="244" t="s">
        <v>0</v>
      </c>
      <c r="C35" s="243" t="s">
        <v>79</v>
      </c>
      <c r="D35" s="243" t="s">
        <v>80</v>
      </c>
      <c r="E35" s="243" t="s">
        <v>81</v>
      </c>
      <c r="F35" s="243" t="s">
        <v>82</v>
      </c>
      <c r="G35" s="1"/>
      <c r="I35" s="91">
        <v>10</v>
      </c>
      <c r="J35" s="122" t="s">
        <v>187</v>
      </c>
      <c r="K35" s="128" t="s">
        <v>171</v>
      </c>
      <c r="L35" s="122" t="s">
        <v>187</v>
      </c>
      <c r="M35" s="128" t="s">
        <v>171</v>
      </c>
      <c r="N35" s="122" t="s">
        <v>187</v>
      </c>
      <c r="O35" s="128" t="s">
        <v>171</v>
      </c>
      <c r="P35" s="122" t="s">
        <v>187</v>
      </c>
      <c r="Q35" s="128" t="s">
        <v>171</v>
      </c>
      <c r="R35" s="122"/>
      <c r="S35" s="252" t="s">
        <v>136</v>
      </c>
      <c r="T35" s="122"/>
      <c r="U35" s="252" t="s">
        <v>136</v>
      </c>
      <c r="V35" s="122"/>
      <c r="W35" s="252" t="s">
        <v>136</v>
      </c>
      <c r="X35" s="122"/>
      <c r="Y35" s="252" t="s">
        <v>136</v>
      </c>
      <c r="Z35" s="122"/>
      <c r="AA35" s="252" t="s">
        <v>136</v>
      </c>
      <c r="AB35" s="122"/>
      <c r="AC35" s="252" t="s">
        <v>136</v>
      </c>
      <c r="AD35" s="122"/>
      <c r="AE35" s="252" t="s">
        <v>136</v>
      </c>
      <c r="AF35" s="122"/>
      <c r="AG35" s="252" t="s">
        <v>136</v>
      </c>
      <c r="AH35" s="122"/>
      <c r="AI35" s="252" t="s">
        <v>136</v>
      </c>
      <c r="AJ35" s="122"/>
      <c r="AK35" s="252" t="s">
        <v>136</v>
      </c>
      <c r="AL35" s="122"/>
      <c r="AM35" s="252" t="s">
        <v>136</v>
      </c>
      <c r="AN35" s="122"/>
      <c r="AO35" s="252" t="s">
        <v>136</v>
      </c>
    </row>
    <row r="36" spans="1:41" ht="15.75" customHeight="1" x14ac:dyDescent="0.25">
      <c r="A36" s="93" t="s">
        <v>188</v>
      </c>
      <c r="B36" s="92" t="s">
        <v>189</v>
      </c>
      <c r="C36" s="92" t="s">
        <v>85</v>
      </c>
      <c r="D36" s="92" t="s">
        <v>115</v>
      </c>
      <c r="E36" s="245">
        <v>45292</v>
      </c>
      <c r="F36" s="245">
        <v>45292</v>
      </c>
      <c r="G36" s="1"/>
      <c r="I36" s="91">
        <v>11</v>
      </c>
      <c r="J36" s="123" t="s">
        <v>190</v>
      </c>
      <c r="K36" s="129" t="s">
        <v>175</v>
      </c>
      <c r="L36" s="123" t="s">
        <v>190</v>
      </c>
      <c r="M36" s="129" t="s">
        <v>175</v>
      </c>
      <c r="N36" s="123" t="s">
        <v>190</v>
      </c>
      <c r="O36" s="129" t="s">
        <v>175</v>
      </c>
      <c r="P36" s="123" t="s">
        <v>190</v>
      </c>
      <c r="Q36" s="129" t="s">
        <v>175</v>
      </c>
      <c r="R36" s="123"/>
      <c r="S36" s="129"/>
      <c r="T36" s="123"/>
      <c r="U36" s="129"/>
      <c r="V36" s="123"/>
      <c r="W36" s="129"/>
      <c r="X36" s="123"/>
      <c r="Y36" s="129"/>
      <c r="Z36" s="123"/>
      <c r="AA36" s="129"/>
      <c r="AB36" s="123"/>
      <c r="AC36" s="129"/>
      <c r="AD36" s="123"/>
      <c r="AE36" s="129"/>
      <c r="AF36" s="123"/>
      <c r="AG36" s="129"/>
      <c r="AH36" s="123"/>
      <c r="AI36" s="129"/>
      <c r="AJ36" s="123"/>
      <c r="AK36" s="129"/>
      <c r="AL36" s="123"/>
      <c r="AM36" s="129"/>
      <c r="AN36" s="123"/>
      <c r="AO36" s="129"/>
    </row>
    <row r="37" spans="1:41" x14ac:dyDescent="0.25">
      <c r="A37" s="93" t="s">
        <v>191</v>
      </c>
      <c r="B37" s="92" t="s">
        <v>192</v>
      </c>
      <c r="C37" s="92" t="s">
        <v>85</v>
      </c>
      <c r="D37" s="92" t="s">
        <v>115</v>
      </c>
      <c r="E37" s="245">
        <v>45292</v>
      </c>
      <c r="F37" s="245">
        <v>45292</v>
      </c>
      <c r="G37" s="1"/>
      <c r="I37" s="91">
        <v>12</v>
      </c>
      <c r="J37" s="123" t="s">
        <v>193</v>
      </c>
      <c r="K37" s="129" t="s">
        <v>181</v>
      </c>
      <c r="L37" s="123" t="s">
        <v>193</v>
      </c>
      <c r="M37" s="129" t="s">
        <v>181</v>
      </c>
      <c r="N37" s="123" t="s">
        <v>193</v>
      </c>
      <c r="O37" s="129" t="s">
        <v>181</v>
      </c>
      <c r="P37" s="123" t="s">
        <v>193</v>
      </c>
      <c r="Q37" s="129" t="s">
        <v>181</v>
      </c>
      <c r="R37" s="123"/>
      <c r="S37" s="129"/>
      <c r="T37" s="123"/>
      <c r="U37" s="129"/>
      <c r="V37" s="123"/>
      <c r="W37" s="129"/>
      <c r="X37" s="123"/>
      <c r="Y37" s="129"/>
      <c r="Z37" s="123"/>
      <c r="AA37" s="129"/>
      <c r="AB37" s="123"/>
      <c r="AC37" s="129"/>
      <c r="AD37" s="123"/>
      <c r="AE37" s="129"/>
      <c r="AF37" s="123"/>
      <c r="AG37" s="129"/>
      <c r="AH37" s="123"/>
      <c r="AI37" s="129"/>
      <c r="AJ37" s="123"/>
      <c r="AK37" s="129"/>
      <c r="AL37" s="123"/>
      <c r="AM37" s="129"/>
      <c r="AN37" s="123"/>
      <c r="AO37" s="129"/>
    </row>
    <row r="38" spans="1:41" ht="15.75" customHeight="1" x14ac:dyDescent="0.25">
      <c r="C38" s="1"/>
      <c r="D38" s="1"/>
      <c r="E38" s="1"/>
      <c r="F38" s="1"/>
      <c r="G38" s="1"/>
      <c r="I38" s="91">
        <v>13</v>
      </c>
      <c r="J38" s="123" t="s">
        <v>194</v>
      </c>
      <c r="K38" s="129" t="s">
        <v>170</v>
      </c>
      <c r="L38" s="123" t="s">
        <v>194</v>
      </c>
      <c r="M38" s="129" t="s">
        <v>170</v>
      </c>
      <c r="N38" s="123" t="s">
        <v>194</v>
      </c>
      <c r="O38" s="129" t="s">
        <v>170</v>
      </c>
      <c r="P38" s="123" t="s">
        <v>194</v>
      </c>
      <c r="Q38" s="129" t="s">
        <v>170</v>
      </c>
      <c r="R38" s="123"/>
      <c r="S38" s="129"/>
      <c r="T38" s="123"/>
      <c r="U38" s="129"/>
      <c r="V38" s="123"/>
      <c r="W38" s="129"/>
      <c r="X38" s="123"/>
      <c r="Y38" s="129"/>
      <c r="Z38" s="123"/>
      <c r="AA38" s="129"/>
      <c r="AB38" s="123"/>
      <c r="AC38" s="129"/>
      <c r="AD38" s="123"/>
      <c r="AE38" s="129"/>
      <c r="AF38" s="123"/>
      <c r="AG38" s="129"/>
      <c r="AH38" s="123"/>
      <c r="AI38" s="129"/>
      <c r="AJ38" s="123"/>
      <c r="AK38" s="129"/>
      <c r="AL38" s="123"/>
      <c r="AM38" s="129"/>
      <c r="AN38" s="123"/>
      <c r="AO38" s="129"/>
    </row>
    <row r="39" spans="1:41" ht="15.75" customHeight="1" x14ac:dyDescent="0.25">
      <c r="A39" s="240" t="s">
        <v>195</v>
      </c>
      <c r="B39" s="78"/>
      <c r="C39" s="78"/>
      <c r="D39" s="78"/>
      <c r="E39" s="78"/>
      <c r="G39" s="1"/>
      <c r="I39" s="91">
        <v>14</v>
      </c>
      <c r="J39" s="123" t="s">
        <v>196</v>
      </c>
      <c r="K39" s="129" t="s">
        <v>172</v>
      </c>
      <c r="L39" s="123" t="s">
        <v>196</v>
      </c>
      <c r="M39" s="129" t="s">
        <v>172</v>
      </c>
      <c r="N39" s="123" t="s">
        <v>196</v>
      </c>
      <c r="O39" s="129" t="s">
        <v>172</v>
      </c>
      <c r="P39" s="123" t="s">
        <v>196</v>
      </c>
      <c r="Q39" s="129" t="s">
        <v>172</v>
      </c>
      <c r="R39" s="123"/>
      <c r="S39" s="129"/>
      <c r="T39" s="123"/>
      <c r="U39" s="129"/>
      <c r="V39" s="123"/>
      <c r="W39" s="129"/>
      <c r="X39" s="123"/>
      <c r="Y39" s="129"/>
      <c r="Z39" s="123"/>
      <c r="AA39" s="129"/>
      <c r="AB39" s="123"/>
      <c r="AC39" s="129"/>
      <c r="AD39" s="123"/>
      <c r="AE39" s="129"/>
      <c r="AF39" s="123"/>
      <c r="AG39" s="129"/>
      <c r="AH39" s="123"/>
      <c r="AI39" s="129"/>
      <c r="AJ39" s="123"/>
      <c r="AK39" s="129"/>
      <c r="AL39" s="123"/>
      <c r="AM39" s="129"/>
      <c r="AN39" s="123"/>
      <c r="AO39" s="129"/>
    </row>
    <row r="40" spans="1:41" x14ac:dyDescent="0.25">
      <c r="A40" s="97" t="s">
        <v>39</v>
      </c>
      <c r="B40" s="98" t="s">
        <v>0</v>
      </c>
      <c r="C40" s="78" t="s">
        <v>79</v>
      </c>
      <c r="D40" s="78" t="s">
        <v>80</v>
      </c>
      <c r="E40" s="78" t="s">
        <v>81</v>
      </c>
      <c r="F40" s="243" t="s">
        <v>82</v>
      </c>
      <c r="G40" s="1"/>
      <c r="I40" s="91">
        <v>15</v>
      </c>
      <c r="J40" s="123" t="s">
        <v>197</v>
      </c>
      <c r="K40" s="129" t="s">
        <v>169</v>
      </c>
      <c r="L40" s="123" t="s">
        <v>197</v>
      </c>
      <c r="M40" s="129" t="s">
        <v>169</v>
      </c>
      <c r="N40" s="123" t="s">
        <v>197</v>
      </c>
      <c r="O40" s="129" t="s">
        <v>169</v>
      </c>
      <c r="P40" s="123" t="s">
        <v>197</v>
      </c>
      <c r="Q40" s="129" t="s">
        <v>169</v>
      </c>
      <c r="R40" s="123"/>
      <c r="S40" s="129"/>
      <c r="T40" s="123"/>
      <c r="U40" s="144"/>
      <c r="V40" s="123"/>
      <c r="W40" s="129"/>
      <c r="X40" s="123"/>
      <c r="Y40" s="129"/>
      <c r="Z40" s="123"/>
      <c r="AA40" s="129"/>
      <c r="AB40" s="123"/>
      <c r="AC40" s="144"/>
      <c r="AD40" s="123"/>
      <c r="AE40" s="129"/>
      <c r="AF40" s="123"/>
      <c r="AG40" s="144"/>
      <c r="AH40" s="123"/>
      <c r="AI40" s="129"/>
      <c r="AJ40" s="123"/>
      <c r="AK40" s="129"/>
      <c r="AL40" s="123"/>
      <c r="AM40" s="129"/>
      <c r="AN40" s="123"/>
      <c r="AO40" s="129"/>
    </row>
    <row r="41" spans="1:41" x14ac:dyDescent="0.25">
      <c r="A41" s="294" t="s">
        <v>198</v>
      </c>
      <c r="B41" s="92" t="s">
        <v>199</v>
      </c>
      <c r="C41" s="92"/>
      <c r="D41" s="93"/>
      <c r="E41" s="278"/>
      <c r="F41" s="278"/>
      <c r="G41" s="1"/>
      <c r="I41" s="91">
        <v>16</v>
      </c>
      <c r="J41" s="123" t="s">
        <v>200</v>
      </c>
      <c r="K41" s="129" t="s">
        <v>173</v>
      </c>
      <c r="L41" s="123" t="s">
        <v>200</v>
      </c>
      <c r="M41" s="129" t="s">
        <v>173</v>
      </c>
      <c r="N41" s="123" t="s">
        <v>200</v>
      </c>
      <c r="O41" s="129" t="s">
        <v>173</v>
      </c>
      <c r="P41" s="123" t="s">
        <v>200</v>
      </c>
      <c r="Q41" s="129" t="s">
        <v>173</v>
      </c>
      <c r="R41" s="123"/>
      <c r="S41" s="129"/>
      <c r="T41" s="123"/>
      <c r="U41" s="144"/>
      <c r="V41" s="123"/>
      <c r="W41" s="129"/>
      <c r="X41" s="123"/>
      <c r="Y41" s="129"/>
      <c r="Z41" s="123"/>
      <c r="AA41" s="129"/>
      <c r="AB41" s="123"/>
      <c r="AC41" s="144"/>
      <c r="AD41" s="123"/>
      <c r="AE41" s="129"/>
      <c r="AF41" s="123"/>
      <c r="AG41" s="144"/>
      <c r="AH41" s="123"/>
      <c r="AI41" s="129"/>
      <c r="AJ41" s="123"/>
      <c r="AK41" s="129"/>
      <c r="AL41" s="123"/>
      <c r="AM41" s="129"/>
      <c r="AN41" s="123"/>
      <c r="AO41" s="129"/>
    </row>
    <row r="42" spans="1:41" x14ac:dyDescent="0.25">
      <c r="A42" s="93" t="s">
        <v>201</v>
      </c>
      <c r="B42" s="279" t="s">
        <v>202</v>
      </c>
      <c r="C42" s="92" t="s">
        <v>85</v>
      </c>
      <c r="D42" s="93" t="s">
        <v>86</v>
      </c>
      <c r="E42" s="245">
        <v>44562</v>
      </c>
      <c r="F42" s="245">
        <v>44562</v>
      </c>
      <c r="G42" s="1"/>
      <c r="I42" s="91">
        <v>17</v>
      </c>
      <c r="J42" s="123" t="s">
        <v>203</v>
      </c>
      <c r="K42" s="129" t="s">
        <v>174</v>
      </c>
      <c r="L42" s="123" t="s">
        <v>203</v>
      </c>
      <c r="M42" s="129" t="s">
        <v>174</v>
      </c>
      <c r="N42" s="123" t="s">
        <v>203</v>
      </c>
      <c r="O42" s="129" t="s">
        <v>174</v>
      </c>
      <c r="P42" s="123" t="s">
        <v>203</v>
      </c>
      <c r="Q42" s="129" t="s">
        <v>174</v>
      </c>
      <c r="R42" s="123"/>
      <c r="S42" s="129"/>
      <c r="T42" s="123"/>
      <c r="U42" s="129"/>
      <c r="V42" s="123"/>
      <c r="W42" s="129"/>
      <c r="X42" s="123"/>
      <c r="Y42" s="129"/>
      <c r="Z42" s="123"/>
      <c r="AA42" s="129"/>
      <c r="AB42" s="123"/>
      <c r="AC42" s="129"/>
      <c r="AD42" s="123"/>
      <c r="AE42" s="129"/>
      <c r="AF42" s="123"/>
      <c r="AG42" s="129"/>
      <c r="AH42" s="123"/>
      <c r="AI42" s="129"/>
      <c r="AJ42" s="123"/>
      <c r="AK42" s="129"/>
      <c r="AL42" s="123"/>
      <c r="AM42" s="129"/>
      <c r="AN42" s="123"/>
      <c r="AO42" s="129"/>
    </row>
    <row r="43" spans="1:41" x14ac:dyDescent="0.25">
      <c r="A43" s="93" t="s">
        <v>204</v>
      </c>
      <c r="B43" s="279" t="s">
        <v>205</v>
      </c>
      <c r="C43" s="92" t="s">
        <v>85</v>
      </c>
      <c r="D43" s="93" t="s">
        <v>86</v>
      </c>
      <c r="E43" s="245">
        <v>44562</v>
      </c>
      <c r="F43" s="245">
        <v>44562</v>
      </c>
      <c r="G43" s="1"/>
      <c r="I43" s="91">
        <v>18</v>
      </c>
      <c r="J43" s="125" t="s">
        <v>206</v>
      </c>
      <c r="K43" s="145" t="s">
        <v>180</v>
      </c>
      <c r="L43" s="125" t="s">
        <v>206</v>
      </c>
      <c r="M43" s="145" t="s">
        <v>180</v>
      </c>
      <c r="N43" s="125" t="s">
        <v>206</v>
      </c>
      <c r="O43" s="145" t="s">
        <v>180</v>
      </c>
      <c r="P43" s="125" t="s">
        <v>206</v>
      </c>
      <c r="Q43" s="145" t="s">
        <v>180</v>
      </c>
      <c r="R43" s="125"/>
      <c r="S43" s="145"/>
      <c r="T43" s="125"/>
      <c r="U43" s="124"/>
      <c r="V43" s="125"/>
      <c r="W43" s="145"/>
      <c r="X43" s="125"/>
      <c r="Y43" s="124"/>
      <c r="Z43" s="125"/>
      <c r="AA43" s="145"/>
      <c r="AB43" s="125"/>
      <c r="AC43" s="124"/>
      <c r="AD43" s="125"/>
      <c r="AE43" s="145"/>
      <c r="AF43" s="125"/>
      <c r="AG43" s="124"/>
      <c r="AH43" s="125"/>
      <c r="AI43" s="124"/>
      <c r="AJ43" s="125"/>
      <c r="AK43" s="124"/>
      <c r="AL43" s="125"/>
      <c r="AM43" s="124"/>
      <c r="AN43" s="125"/>
      <c r="AO43" s="124"/>
    </row>
    <row r="44" spans="1:41" x14ac:dyDescent="0.25">
      <c r="A44" s="93" t="s">
        <v>207</v>
      </c>
      <c r="B44" s="279" t="s">
        <v>208</v>
      </c>
      <c r="C44" s="92" t="s">
        <v>85</v>
      </c>
      <c r="D44" s="93" t="s">
        <v>86</v>
      </c>
      <c r="E44" s="245">
        <v>44562</v>
      </c>
      <c r="F44" s="245">
        <v>44562</v>
      </c>
      <c r="G44" s="1"/>
      <c r="H44"/>
      <c r="I44"/>
      <c r="K44"/>
      <c r="L44"/>
      <c r="M44"/>
      <c r="N44"/>
      <c r="O44"/>
      <c r="P44"/>
      <c r="Q44"/>
    </row>
    <row r="45" spans="1:41" x14ac:dyDescent="0.25">
      <c r="A45"/>
      <c r="C45" s="1"/>
      <c r="D45" s="1"/>
      <c r="E45" s="1"/>
      <c r="F45" s="1"/>
      <c r="G45" s="1"/>
      <c r="H45"/>
      <c r="I45"/>
    </row>
    <row r="46" spans="1:41" x14ac:dyDescent="0.25">
      <c r="A46" s="247" t="s">
        <v>209</v>
      </c>
      <c r="C46" s="1"/>
      <c r="D46" s="1"/>
      <c r="E46" s="1"/>
      <c r="F46" s="1"/>
      <c r="G46" s="1"/>
      <c r="H46" s="241" t="s">
        <v>210</v>
      </c>
      <c r="I46" s="87">
        <v>1</v>
      </c>
      <c r="J46" s="250"/>
      <c r="K46" s="251" t="s">
        <v>211</v>
      </c>
      <c r="L46" s="250"/>
      <c r="M46" s="251" t="s">
        <v>212</v>
      </c>
      <c r="N46" s="250"/>
      <c r="O46" s="251" t="s">
        <v>213</v>
      </c>
      <c r="P46" s="250"/>
      <c r="Q46" s="251" t="s">
        <v>214</v>
      </c>
      <c r="R46" s="250"/>
      <c r="S46" s="251" t="s">
        <v>215</v>
      </c>
      <c r="T46" s="250"/>
      <c r="U46" s="251" t="s">
        <v>216</v>
      </c>
      <c r="V46" s="250"/>
      <c r="W46" s="251" t="s">
        <v>217</v>
      </c>
      <c r="X46" s="250"/>
      <c r="Y46" s="251" t="s">
        <v>218</v>
      </c>
      <c r="Z46"/>
      <c r="AA46"/>
    </row>
    <row r="47" spans="1:41" x14ac:dyDescent="0.25">
      <c r="A47" s="247" t="s">
        <v>219</v>
      </c>
      <c r="C47" s="1"/>
      <c r="D47" s="1"/>
      <c r="E47" s="1"/>
      <c r="F47" s="1"/>
      <c r="G47" s="1"/>
      <c r="I47" s="91">
        <v>2</v>
      </c>
      <c r="J47" s="122" t="s">
        <v>161</v>
      </c>
      <c r="K47" s="128" t="s">
        <v>220</v>
      </c>
      <c r="L47" s="122" t="s">
        <v>163</v>
      </c>
      <c r="M47" s="128" t="s">
        <v>221</v>
      </c>
      <c r="N47" s="122" t="s">
        <v>165</v>
      </c>
      <c r="O47" s="263" t="str">
        <f>K47</f>
        <v>EDUC5024</v>
      </c>
      <c r="P47" s="122" t="s">
        <v>166</v>
      </c>
      <c r="Q47" s="263" t="str">
        <f>M47</f>
        <v>EDUC5020</v>
      </c>
      <c r="R47" s="122" t="s">
        <v>161</v>
      </c>
      <c r="S47" s="128" t="s">
        <v>222</v>
      </c>
      <c r="T47" s="122" t="s">
        <v>163</v>
      </c>
      <c r="U47" s="128" t="s">
        <v>223</v>
      </c>
      <c r="V47" s="122" t="s">
        <v>165</v>
      </c>
      <c r="W47" s="128" t="s">
        <v>222</v>
      </c>
      <c r="X47" s="122" t="s">
        <v>166</v>
      </c>
      <c r="Y47" s="128" t="s">
        <v>223</v>
      </c>
      <c r="Z47"/>
      <c r="AA47"/>
    </row>
    <row r="48" spans="1:41" x14ac:dyDescent="0.25">
      <c r="C48" s="1"/>
      <c r="D48" s="1"/>
      <c r="E48" s="1"/>
      <c r="F48" s="1"/>
      <c r="G48" s="1"/>
      <c r="I48" s="91">
        <v>3</v>
      </c>
      <c r="J48" s="123" t="s">
        <v>161</v>
      </c>
      <c r="K48" s="129" t="s">
        <v>224</v>
      </c>
      <c r="L48" s="123" t="s">
        <v>163</v>
      </c>
      <c r="M48" s="129" t="s">
        <v>225</v>
      </c>
      <c r="N48" s="123" t="s">
        <v>165</v>
      </c>
      <c r="O48" s="261" t="str">
        <f t="shared" ref="O48:Q50" si="1">K48</f>
        <v>AltCoreTESOL</v>
      </c>
      <c r="P48" s="123" t="s">
        <v>166</v>
      </c>
      <c r="Q48" s="261" t="str">
        <f t="shared" si="1"/>
        <v>EDUC5026</v>
      </c>
      <c r="R48" s="123" t="s">
        <v>161</v>
      </c>
      <c r="S48" s="129" t="s">
        <v>226</v>
      </c>
      <c r="T48" s="123" t="s">
        <v>163</v>
      </c>
      <c r="U48" s="129" t="s">
        <v>227</v>
      </c>
      <c r="V48" s="123" t="s">
        <v>165</v>
      </c>
      <c r="W48" s="129" t="s">
        <v>171</v>
      </c>
      <c r="X48" s="123" t="s">
        <v>166</v>
      </c>
      <c r="Y48" s="129" t="s">
        <v>227</v>
      </c>
      <c r="Z48"/>
      <c r="AA48"/>
    </row>
    <row r="49" spans="1:27" x14ac:dyDescent="0.25">
      <c r="C49" s="1"/>
      <c r="D49" s="1"/>
      <c r="E49" s="1"/>
      <c r="F49" s="1"/>
      <c r="G49" s="1"/>
      <c r="I49" s="91">
        <v>4</v>
      </c>
      <c r="J49" s="123" t="s">
        <v>163</v>
      </c>
      <c r="K49" s="129" t="s">
        <v>221</v>
      </c>
      <c r="L49" s="123" t="s">
        <v>165</v>
      </c>
      <c r="M49" s="129" t="s">
        <v>220</v>
      </c>
      <c r="N49" s="123" t="s">
        <v>166</v>
      </c>
      <c r="O49" s="261" t="str">
        <f t="shared" si="1"/>
        <v>EDUC5020</v>
      </c>
      <c r="P49" s="123" t="s">
        <v>161</v>
      </c>
      <c r="Q49" s="261" t="str">
        <f t="shared" si="1"/>
        <v>EDUC5024</v>
      </c>
      <c r="R49" s="123" t="s">
        <v>163</v>
      </c>
      <c r="S49" s="129" t="s">
        <v>223</v>
      </c>
      <c r="T49" s="123" t="s">
        <v>165</v>
      </c>
      <c r="U49" s="129" t="s">
        <v>222</v>
      </c>
      <c r="V49" s="123" t="s">
        <v>166</v>
      </c>
      <c r="W49" s="129" t="s">
        <v>223</v>
      </c>
      <c r="X49" s="123" t="s">
        <v>161</v>
      </c>
      <c r="Y49" s="129" t="s">
        <v>222</v>
      </c>
      <c r="Z49"/>
      <c r="AA49"/>
    </row>
    <row r="50" spans="1:27" x14ac:dyDescent="0.25">
      <c r="A50"/>
      <c r="B50"/>
      <c r="C50"/>
      <c r="D50"/>
      <c r="E50"/>
      <c r="F50" s="1"/>
      <c r="G50" s="1"/>
      <c r="I50" s="91">
        <v>5</v>
      </c>
      <c r="J50" s="123" t="s">
        <v>163</v>
      </c>
      <c r="K50" s="129" t="s">
        <v>225</v>
      </c>
      <c r="L50" s="123" t="s">
        <v>165</v>
      </c>
      <c r="M50" s="129" t="s">
        <v>224</v>
      </c>
      <c r="N50" s="123" t="s">
        <v>166</v>
      </c>
      <c r="O50" s="261" t="str">
        <f t="shared" si="1"/>
        <v>EDUC5026</v>
      </c>
      <c r="P50" s="123" t="s">
        <v>161</v>
      </c>
      <c r="Q50" s="261" t="str">
        <f t="shared" si="1"/>
        <v>AltCoreTESOL</v>
      </c>
      <c r="R50" s="123" t="s">
        <v>163</v>
      </c>
      <c r="S50" s="129" t="s">
        <v>227</v>
      </c>
      <c r="T50" s="123" t="s">
        <v>165</v>
      </c>
      <c r="U50" s="129" t="s">
        <v>171</v>
      </c>
      <c r="V50" s="123" t="s">
        <v>166</v>
      </c>
      <c r="W50" s="129" t="s">
        <v>227</v>
      </c>
      <c r="X50" s="123" t="s">
        <v>161</v>
      </c>
      <c r="Y50" s="129" t="s">
        <v>226</v>
      </c>
      <c r="Z50"/>
      <c r="AA50"/>
    </row>
    <row r="51" spans="1:27" x14ac:dyDescent="0.25">
      <c r="A51"/>
      <c r="B51"/>
      <c r="C51"/>
      <c r="D51"/>
      <c r="E51"/>
      <c r="F51" s="1"/>
      <c r="G51" s="1"/>
      <c r="I51" s="91">
        <v>6</v>
      </c>
      <c r="J51" s="123" t="s">
        <v>165</v>
      </c>
      <c r="K51" s="129"/>
      <c r="L51" s="123" t="s">
        <v>166</v>
      </c>
      <c r="M51" s="129"/>
      <c r="N51" s="123" t="s">
        <v>161</v>
      </c>
      <c r="O51" s="129"/>
      <c r="P51" s="123" t="s">
        <v>163</v>
      </c>
      <c r="Q51" s="129"/>
      <c r="R51" s="123" t="s">
        <v>165</v>
      </c>
      <c r="S51" s="129" t="s">
        <v>180</v>
      </c>
      <c r="T51" s="123" t="s">
        <v>166</v>
      </c>
      <c r="U51" s="129" t="s">
        <v>179</v>
      </c>
      <c r="V51" s="123" t="s">
        <v>161</v>
      </c>
      <c r="W51" s="129" t="s">
        <v>226</v>
      </c>
      <c r="X51" s="123" t="s">
        <v>163</v>
      </c>
      <c r="Y51" s="129" t="s">
        <v>179</v>
      </c>
      <c r="Z51"/>
      <c r="AA51"/>
    </row>
    <row r="52" spans="1:27" x14ac:dyDescent="0.25">
      <c r="C52" s="1"/>
      <c r="D52" s="1"/>
      <c r="E52" s="1"/>
      <c r="F52" s="1"/>
      <c r="G52" s="1"/>
      <c r="I52" s="91">
        <v>7</v>
      </c>
      <c r="J52" s="123" t="s">
        <v>165</v>
      </c>
      <c r="K52" s="129"/>
      <c r="L52" s="123" t="s">
        <v>166</v>
      </c>
      <c r="M52" s="144"/>
      <c r="N52" s="123" t="s">
        <v>161</v>
      </c>
      <c r="O52" s="129"/>
      <c r="P52" s="123" t="s">
        <v>163</v>
      </c>
      <c r="Q52" s="144"/>
      <c r="R52" s="123" t="s">
        <v>165</v>
      </c>
      <c r="S52" s="129" t="s">
        <v>171</v>
      </c>
      <c r="T52" s="123" t="s">
        <v>166</v>
      </c>
      <c r="U52" s="144" t="s">
        <v>185</v>
      </c>
      <c r="V52" s="123" t="s">
        <v>161</v>
      </c>
      <c r="W52" s="129" t="s">
        <v>180</v>
      </c>
      <c r="X52" s="123" t="s">
        <v>163</v>
      </c>
      <c r="Y52" s="144" t="s">
        <v>185</v>
      </c>
      <c r="Z52"/>
      <c r="AA52"/>
    </row>
    <row r="53" spans="1:27" x14ac:dyDescent="0.25">
      <c r="C53" s="1"/>
      <c r="D53" s="1"/>
      <c r="E53" s="1"/>
      <c r="F53" s="1"/>
      <c r="G53" s="1"/>
      <c r="I53" s="91">
        <v>8</v>
      </c>
      <c r="J53" s="123" t="s">
        <v>166</v>
      </c>
      <c r="K53" s="129"/>
      <c r="L53" s="123" t="s">
        <v>161</v>
      </c>
      <c r="M53" s="129"/>
      <c r="N53" s="123" t="s">
        <v>163</v>
      </c>
      <c r="O53" s="129"/>
      <c r="P53" s="123" t="s">
        <v>165</v>
      </c>
      <c r="Q53" s="129"/>
      <c r="R53" s="123" t="s">
        <v>166</v>
      </c>
      <c r="S53" s="129" t="s">
        <v>179</v>
      </c>
      <c r="T53" s="123" t="s">
        <v>161</v>
      </c>
      <c r="U53" s="129" t="s">
        <v>226</v>
      </c>
      <c r="V53" s="123" t="s">
        <v>163</v>
      </c>
      <c r="W53" s="129" t="s">
        <v>179</v>
      </c>
      <c r="X53" s="123" t="s">
        <v>165</v>
      </c>
      <c r="Y53" s="129" t="s">
        <v>171</v>
      </c>
      <c r="Z53"/>
      <c r="AA53"/>
    </row>
    <row r="54" spans="1:27" x14ac:dyDescent="0.25">
      <c r="C54" s="1"/>
      <c r="D54" s="1"/>
      <c r="E54" s="1"/>
      <c r="F54" s="1"/>
      <c r="G54" s="1"/>
      <c r="I54" s="91">
        <v>9</v>
      </c>
      <c r="J54" s="125" t="s">
        <v>166</v>
      </c>
      <c r="K54" s="145"/>
      <c r="L54" s="125" t="s">
        <v>161</v>
      </c>
      <c r="M54" s="124"/>
      <c r="N54" s="125" t="s">
        <v>163</v>
      </c>
      <c r="O54" s="145"/>
      <c r="P54" s="125" t="s">
        <v>165</v>
      </c>
      <c r="Q54" s="124"/>
      <c r="R54" s="125" t="s">
        <v>166</v>
      </c>
      <c r="S54" s="145" t="s">
        <v>185</v>
      </c>
      <c r="T54" s="125" t="s">
        <v>161</v>
      </c>
      <c r="U54" s="124" t="s">
        <v>180</v>
      </c>
      <c r="V54" s="125" t="s">
        <v>163</v>
      </c>
      <c r="W54" s="145" t="s">
        <v>185</v>
      </c>
      <c r="X54" s="125" t="s">
        <v>165</v>
      </c>
      <c r="Y54" s="124" t="s">
        <v>180</v>
      </c>
      <c r="Z54"/>
      <c r="AA54"/>
    </row>
    <row r="55" spans="1:27" x14ac:dyDescent="0.25">
      <c r="C55" s="1"/>
      <c r="D55" s="1"/>
      <c r="E55" s="1"/>
      <c r="F55" s="1"/>
      <c r="G55" s="1"/>
      <c r="I55" s="91">
        <v>10</v>
      </c>
      <c r="J55" s="123" t="s">
        <v>228</v>
      </c>
      <c r="K55" s="129" t="s">
        <v>224</v>
      </c>
      <c r="L55" s="123" t="s">
        <v>166</v>
      </c>
      <c r="M55" s="261" t="str">
        <f>K55</f>
        <v>AltCoreTESOL</v>
      </c>
      <c r="N55" s="123" t="s">
        <v>161</v>
      </c>
      <c r="O55" s="261" t="str">
        <f>M55</f>
        <v>AltCoreTESOL</v>
      </c>
      <c r="P55" s="123" t="s">
        <v>163</v>
      </c>
      <c r="Q55" s="261" t="str">
        <f>O55</f>
        <v>AltCoreTESOL</v>
      </c>
      <c r="R55" s="123"/>
      <c r="S55" s="144"/>
      <c r="T55" s="123"/>
      <c r="U55" s="144"/>
      <c r="V55" s="123"/>
      <c r="W55" s="144"/>
      <c r="X55" s="123"/>
      <c r="Y55" s="144"/>
    </row>
    <row r="56" spans="1:27" x14ac:dyDescent="0.25">
      <c r="C56" s="1"/>
      <c r="D56" s="1"/>
      <c r="E56" s="1"/>
      <c r="F56" s="1"/>
      <c r="G56" s="1"/>
      <c r="I56" s="91">
        <v>11</v>
      </c>
      <c r="J56" s="123" t="s">
        <v>229</v>
      </c>
      <c r="K56" s="129" t="s">
        <v>230</v>
      </c>
      <c r="L56" s="123" t="s">
        <v>161</v>
      </c>
      <c r="M56" s="261" t="str">
        <f t="shared" ref="M56:Q57" si="2">K56</f>
        <v>EDUC5022</v>
      </c>
      <c r="N56" s="123" t="s">
        <v>163</v>
      </c>
      <c r="O56" s="261" t="str">
        <f t="shared" si="2"/>
        <v>EDUC5022</v>
      </c>
      <c r="P56" s="123" t="s">
        <v>165</v>
      </c>
      <c r="Q56" s="261" t="str">
        <f t="shared" si="2"/>
        <v>EDUC5022</v>
      </c>
      <c r="R56" s="123"/>
      <c r="S56" s="129"/>
      <c r="T56" s="123"/>
      <c r="U56" s="129"/>
      <c r="V56" s="123"/>
      <c r="W56" s="129"/>
      <c r="X56" s="123"/>
      <c r="Y56" s="129"/>
    </row>
    <row r="57" spans="1:27" x14ac:dyDescent="0.25">
      <c r="C57" s="1"/>
      <c r="D57" s="1"/>
      <c r="E57" s="1"/>
      <c r="F57" s="1"/>
      <c r="G57" s="1"/>
      <c r="I57" s="91">
        <v>12</v>
      </c>
      <c r="J57" s="125" t="s">
        <v>231</v>
      </c>
      <c r="K57" s="145" t="s">
        <v>232</v>
      </c>
      <c r="L57" s="125" t="s">
        <v>161</v>
      </c>
      <c r="M57" s="262" t="str">
        <f t="shared" si="2"/>
        <v>EDUC5029</v>
      </c>
      <c r="N57" s="125" t="s">
        <v>163</v>
      </c>
      <c r="O57" s="262" t="str">
        <f t="shared" si="2"/>
        <v>EDUC5029</v>
      </c>
      <c r="P57" s="125" t="s">
        <v>165</v>
      </c>
      <c r="Q57" s="262" t="str">
        <f t="shared" si="2"/>
        <v>EDUC5029</v>
      </c>
      <c r="R57" s="125"/>
      <c r="S57" s="145"/>
      <c r="T57" s="125"/>
      <c r="U57" s="124"/>
      <c r="V57" s="125"/>
      <c r="W57" s="145"/>
      <c r="X57" s="125"/>
      <c r="Y57" s="124"/>
    </row>
    <row r="58" spans="1:27" x14ac:dyDescent="0.25">
      <c r="C58" s="1"/>
      <c r="D58" s="1"/>
      <c r="E58" s="1"/>
      <c r="F58" s="1"/>
      <c r="G58" s="1"/>
    </row>
    <row r="59" spans="1:27" x14ac:dyDescent="0.25">
      <c r="C59" s="1"/>
      <c r="D59" s="1"/>
      <c r="E59" s="1"/>
      <c r="F59" s="1"/>
      <c r="G59" s="1"/>
    </row>
    <row r="60" spans="1:27" x14ac:dyDescent="0.25">
      <c r="A60"/>
      <c r="B60" s="1"/>
      <c r="C60" s="1"/>
      <c r="D60" s="1"/>
      <c r="E60" s="1"/>
      <c r="F60" s="1"/>
      <c r="G60" s="1"/>
      <c r="H60" s="241" t="s">
        <v>233</v>
      </c>
      <c r="I60" s="87">
        <v>1</v>
      </c>
      <c r="J60" s="250"/>
      <c r="K60" s="251" t="s">
        <v>234</v>
      </c>
      <c r="L60" s="250"/>
      <c r="M60" s="251" t="s">
        <v>235</v>
      </c>
      <c r="N60" s="250"/>
      <c r="O60" s="251" t="s">
        <v>236</v>
      </c>
      <c r="P60" s="250"/>
      <c r="Q60" s="251" t="s">
        <v>237</v>
      </c>
    </row>
    <row r="61" spans="1:27" x14ac:dyDescent="0.25">
      <c r="A61"/>
      <c r="B61" s="1"/>
      <c r="G61" s="1"/>
      <c r="I61" s="91">
        <v>2</v>
      </c>
      <c r="J61" s="122" t="s">
        <v>161</v>
      </c>
      <c r="K61" s="128" t="s">
        <v>238</v>
      </c>
      <c r="L61" s="122" t="s">
        <v>163</v>
      </c>
      <c r="M61" s="128" t="s">
        <v>239</v>
      </c>
      <c r="N61" s="122" t="s">
        <v>165</v>
      </c>
      <c r="O61" s="263" t="str">
        <f>K61</f>
        <v>EDHE5001</v>
      </c>
      <c r="P61" s="122" t="s">
        <v>166</v>
      </c>
      <c r="Q61" s="263" t="str">
        <f>M61</f>
        <v>EDHE5002</v>
      </c>
    </row>
    <row r="62" spans="1:27" x14ac:dyDescent="0.25">
      <c r="A62"/>
      <c r="B62" s="1"/>
      <c r="I62" s="91">
        <v>3</v>
      </c>
      <c r="J62" s="123" t="s">
        <v>161</v>
      </c>
      <c r="K62" s="129" t="s">
        <v>240</v>
      </c>
      <c r="L62" s="123" t="s">
        <v>163</v>
      </c>
      <c r="M62" s="129" t="s">
        <v>241</v>
      </c>
      <c r="N62" s="123" t="s">
        <v>165</v>
      </c>
      <c r="O62" s="261" t="str">
        <f t="shared" ref="O62:O64" si="3">K62</f>
        <v>EDHE5004</v>
      </c>
      <c r="P62" s="123" t="s">
        <v>166</v>
      </c>
      <c r="Q62" s="261" t="str">
        <f t="shared" ref="Q62:Q64" si="4">M62</f>
        <v>EDHE5005</v>
      </c>
    </row>
    <row r="63" spans="1:27" x14ac:dyDescent="0.25">
      <c r="I63" s="91">
        <v>4</v>
      </c>
      <c r="J63" s="123" t="s">
        <v>163</v>
      </c>
      <c r="K63" s="129" t="s">
        <v>239</v>
      </c>
      <c r="L63" s="123" t="s">
        <v>165</v>
      </c>
      <c r="M63" s="129" t="s">
        <v>238</v>
      </c>
      <c r="N63" s="123" t="s">
        <v>166</v>
      </c>
      <c r="O63" s="261" t="str">
        <f t="shared" si="3"/>
        <v>EDHE5002</v>
      </c>
      <c r="P63" s="123" t="s">
        <v>161</v>
      </c>
      <c r="Q63" s="261" t="str">
        <f t="shared" si="4"/>
        <v>EDHE5001</v>
      </c>
    </row>
    <row r="64" spans="1:27" x14ac:dyDescent="0.25">
      <c r="I64" s="91">
        <v>5</v>
      </c>
      <c r="J64" s="125" t="s">
        <v>163</v>
      </c>
      <c r="K64" s="145" t="s">
        <v>241</v>
      </c>
      <c r="L64" s="125" t="s">
        <v>165</v>
      </c>
      <c r="M64" s="145" t="s">
        <v>240</v>
      </c>
      <c r="N64" s="125" t="s">
        <v>166</v>
      </c>
      <c r="O64" s="310" t="str">
        <f t="shared" si="3"/>
        <v>EDHE5005</v>
      </c>
      <c r="P64" s="125" t="s">
        <v>161</v>
      </c>
      <c r="Q64" s="310" t="str">
        <f t="shared" si="4"/>
        <v>EDHE5004</v>
      </c>
    </row>
  </sheetData>
  <dataValidations count="1">
    <dataValidation type="list" allowBlank="1" showInputMessage="1" showErrorMessage="1" sqref="AQ1">
      <formula1>$K$4:$Y$4</formula1>
    </dataValidation>
  </dataValidations>
  <pageMargins left="0.7" right="0.7" top="0.75" bottom="0.75" header="0.3" footer="0.3"/>
  <pageSetup paperSize="9" orientation="portrait" r:id="rId1"/>
  <tableParts count="5">
    <tablePart r:id="rId2"/>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 OM-Teach Sec'!$I$22:$O$22</xm:f>
          </x14:formula1>
          <xm:sqref>AQ2:AQ3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59999389629810485"/>
    <pageSetUpPr fitToPage="1"/>
  </sheetPr>
  <dimension ref="A1:W48"/>
  <sheetViews>
    <sheetView showGridLines="0" topLeftCell="A3" workbookViewId="0">
      <selection activeCell="D7" sqref="D7"/>
    </sheetView>
  </sheetViews>
  <sheetFormatPr defaultColWidth="9" defaultRowHeight="15" x14ac:dyDescent="0.25"/>
  <cols>
    <col min="1" max="1" width="8.5" style="16" customWidth="1"/>
    <col min="2" max="2" width="3.25" style="16" customWidth="1"/>
    <col min="3" max="3" width="10.375" style="16" customWidth="1"/>
    <col min="4" max="4" width="50.125" style="13" bestFit="1" customWidth="1"/>
    <col min="5" max="5" width="8.75" style="13" customWidth="1"/>
    <col min="6" max="6" width="18.125" style="13" customWidth="1"/>
    <col min="7" max="7" width="5.625" style="13" customWidth="1"/>
    <col min="8" max="11" width="3.875" style="13" customWidth="1"/>
    <col min="12" max="12" width="15.625" style="13" customWidth="1"/>
    <col min="13" max="13" width="2.5" style="13" hidden="1" customWidth="1"/>
    <col min="14" max="16384" width="9" style="13"/>
  </cols>
  <sheetData>
    <row r="1" spans="1:23" hidden="1" x14ac:dyDescent="0.25">
      <c r="A1" s="9" t="s">
        <v>0</v>
      </c>
      <c r="B1" s="10" t="s">
        <v>1</v>
      </c>
      <c r="C1" s="10" t="s">
        <v>2</v>
      </c>
      <c r="D1" s="11" t="s">
        <v>3</v>
      </c>
      <c r="E1" s="11"/>
      <c r="F1" s="11" t="s">
        <v>4</v>
      </c>
      <c r="G1" s="11" t="s">
        <v>5</v>
      </c>
      <c r="H1" s="12" t="s">
        <v>6</v>
      </c>
      <c r="I1" s="12"/>
      <c r="J1" s="11"/>
      <c r="K1" s="11"/>
      <c r="L1" s="11" t="s">
        <v>7</v>
      </c>
    </row>
    <row r="2" spans="1:23" hidden="1" x14ac:dyDescent="0.25">
      <c r="A2" s="176"/>
      <c r="B2" s="228">
        <v>2</v>
      </c>
      <c r="C2" s="228">
        <v>3</v>
      </c>
      <c r="D2" s="228">
        <v>4</v>
      </c>
      <c r="E2" s="228"/>
      <c r="F2" s="228">
        <v>6</v>
      </c>
      <c r="G2" s="228">
        <v>5</v>
      </c>
      <c r="H2" s="228">
        <v>7</v>
      </c>
      <c r="I2" s="228">
        <v>8</v>
      </c>
      <c r="J2" s="228">
        <v>9</v>
      </c>
      <c r="K2" s="228">
        <v>10</v>
      </c>
      <c r="L2" s="177"/>
    </row>
    <row r="3" spans="1:23" ht="39.950000000000003" customHeight="1" x14ac:dyDescent="0.25">
      <c r="A3" s="428" t="s">
        <v>8</v>
      </c>
      <c r="B3" s="428"/>
      <c r="C3" s="428"/>
      <c r="D3" s="428"/>
      <c r="E3" s="135"/>
      <c r="F3" s="135"/>
      <c r="G3" s="135"/>
      <c r="H3" s="135"/>
      <c r="I3" s="135"/>
      <c r="J3" s="135"/>
      <c r="K3" s="135"/>
      <c r="L3" s="135"/>
    </row>
    <row r="4" spans="1:23" ht="25.5" x14ac:dyDescent="0.25">
      <c r="A4" s="14"/>
      <c r="B4" s="15"/>
      <c r="C4" s="15"/>
      <c r="D4" s="309" t="s">
        <v>9</v>
      </c>
      <c r="E4" s="265"/>
      <c r="F4" s="15"/>
      <c r="G4" s="72"/>
      <c r="H4" s="72"/>
      <c r="I4" s="72"/>
      <c r="J4" s="72"/>
      <c r="K4" s="72"/>
      <c r="L4" s="72"/>
    </row>
    <row r="5" spans="1:23" ht="20.100000000000001" customHeight="1" x14ac:dyDescent="0.25">
      <c r="B5" s="17"/>
      <c r="C5" s="190" t="s">
        <v>10</v>
      </c>
      <c r="D5" s="298" t="s">
        <v>11</v>
      </c>
      <c r="E5" s="18"/>
      <c r="F5" s="17" t="s">
        <v>12</v>
      </c>
      <c r="G5" s="204" t="str">
        <f>IFERROR(CONCATENATE(VLOOKUP(D5,TableCourses[],2,FALSE)," ",VLOOKUP(D5,TableCourses[],3,FALSE)),"")</f>
        <v>OM-TEACH1 v.2</v>
      </c>
      <c r="H5" s="18"/>
      <c r="I5" s="18"/>
      <c r="J5" s="18"/>
      <c r="K5" s="18"/>
      <c r="L5" s="19"/>
    </row>
    <row r="6" spans="1:23" ht="20.100000000000001" customHeight="1" x14ac:dyDescent="0.25">
      <c r="B6" s="17"/>
      <c r="C6" s="190" t="s">
        <v>13</v>
      </c>
      <c r="D6" s="170" t="s">
        <v>182</v>
      </c>
      <c r="E6" s="18"/>
      <c r="F6" s="17" t="s">
        <v>15</v>
      </c>
      <c r="G6" s="18" t="str">
        <f>IFERROR(CONCATENATE(VLOOKUP(D6,TableMajorsMTeach[],2,FALSE)," ",VLOOKUP(D6,TableMajorsMTeach[],3,FALSE)),"")</f>
        <v>OUMP-TCHSE v.3</v>
      </c>
      <c r="H6" s="18"/>
      <c r="I6" s="18"/>
      <c r="J6" s="18"/>
      <c r="K6" s="18"/>
      <c r="L6" s="307" t="e">
        <f>CONCATENATE(VLOOKUP(D6,TableMajorsMTeach[],2,FALSE),VLOOKUP(D9,TableStudyPeriods[],2,FALSE))</f>
        <v>#N/A</v>
      </c>
    </row>
    <row r="7" spans="1:23" ht="20.100000000000001" customHeight="1" x14ac:dyDescent="0.25">
      <c r="B7" s="17"/>
      <c r="C7" s="190" t="s">
        <v>242</v>
      </c>
      <c r="D7" s="170" t="s">
        <v>243</v>
      </c>
      <c r="E7" s="18"/>
      <c r="F7" s="17"/>
      <c r="G7" s="18"/>
      <c r="H7" s="18"/>
      <c r="I7" s="18"/>
      <c r="J7" s="18"/>
      <c r="K7" s="18"/>
      <c r="L7" s="307" t="e">
        <f>VLOOKUP(D7,TableFirstTeachingArea[],2,FALSE)</f>
        <v>#N/A</v>
      </c>
    </row>
    <row r="8" spans="1:23" ht="20.100000000000001" customHeight="1" x14ac:dyDescent="0.25">
      <c r="B8" s="17"/>
      <c r="C8" s="190" t="s">
        <v>244</v>
      </c>
      <c r="D8" s="170" t="s">
        <v>245</v>
      </c>
      <c r="E8" s="18"/>
      <c r="F8" s="17"/>
      <c r="G8" s="18"/>
      <c r="H8" s="18"/>
      <c r="I8" s="18"/>
      <c r="J8" s="18"/>
      <c r="K8" s="18"/>
      <c r="L8" s="307" t="e">
        <f>VLOOKUP(D8,TableSecondTeachingArea[],2,FALSE)</f>
        <v>#N/A</v>
      </c>
    </row>
    <row r="9" spans="1:23" ht="20.100000000000001" customHeight="1" x14ac:dyDescent="0.25">
      <c r="A9" s="20"/>
      <c r="B9" s="21"/>
      <c r="C9" s="190" t="s">
        <v>16</v>
      </c>
      <c r="D9" s="171" t="s">
        <v>17</v>
      </c>
      <c r="E9" s="22"/>
      <c r="F9" s="17" t="s">
        <v>18</v>
      </c>
      <c r="G9" s="18" t="str">
        <f>IFERROR(VLOOKUP($D$5,TableCourses[],4,FALSE),"")</f>
        <v>400 credit points required</v>
      </c>
      <c r="H9" s="76"/>
      <c r="I9" s="76"/>
      <c r="J9" s="76"/>
      <c r="K9" s="76"/>
      <c r="L9" s="76"/>
      <c r="M9" s="23"/>
      <c r="N9" s="23"/>
      <c r="O9" s="23"/>
      <c r="P9" s="23"/>
      <c r="Q9" s="23"/>
      <c r="R9" s="23"/>
      <c r="S9" s="23"/>
      <c r="T9" s="23"/>
      <c r="U9" s="23"/>
      <c r="V9" s="23"/>
      <c r="W9" s="23"/>
    </row>
    <row r="10" spans="1:23" s="26" customFormat="1" ht="14.1" customHeight="1" x14ac:dyDescent="0.25">
      <c r="A10" s="160"/>
      <c r="B10" s="160"/>
      <c r="C10" s="160"/>
      <c r="D10" s="161"/>
      <c r="E10" s="162"/>
      <c r="F10" s="160"/>
      <c r="G10" s="160"/>
      <c r="H10" s="163" t="s">
        <v>19</v>
      </c>
      <c r="I10" s="179"/>
      <c r="J10" s="179"/>
      <c r="K10" s="164"/>
      <c r="L10" s="165"/>
      <c r="M10" s="24"/>
      <c r="N10" s="24"/>
      <c r="O10" s="24"/>
      <c r="P10" s="25"/>
      <c r="Q10" s="25"/>
      <c r="R10" s="25"/>
      <c r="S10" s="25"/>
      <c r="T10" s="25"/>
      <c r="U10" s="25"/>
      <c r="V10" s="25"/>
      <c r="W10" s="25"/>
    </row>
    <row r="11" spans="1:23" s="26" customFormat="1" ht="21" x14ac:dyDescent="0.25">
      <c r="A11" s="160" t="s">
        <v>20</v>
      </c>
      <c r="B11" s="160"/>
      <c r="C11" s="186" t="s">
        <v>21</v>
      </c>
      <c r="D11" s="161" t="s">
        <v>3</v>
      </c>
      <c r="E11" s="186" t="s">
        <v>22</v>
      </c>
      <c r="F11" s="160" t="s">
        <v>23</v>
      </c>
      <c r="G11" s="160" t="s">
        <v>24</v>
      </c>
      <c r="H11" s="167" t="s">
        <v>25</v>
      </c>
      <c r="I11" s="180" t="s">
        <v>26</v>
      </c>
      <c r="J11" s="180" t="s">
        <v>27</v>
      </c>
      <c r="K11" s="168" t="s">
        <v>28</v>
      </c>
      <c r="L11" s="166" t="s">
        <v>29</v>
      </c>
      <c r="M11" s="24"/>
      <c r="N11" s="24"/>
      <c r="O11" s="24"/>
      <c r="P11" s="25"/>
      <c r="Q11" s="25"/>
      <c r="R11" s="25"/>
      <c r="S11" s="25"/>
      <c r="T11" s="25"/>
      <c r="U11" s="25"/>
      <c r="V11" s="25"/>
      <c r="W11" s="25"/>
    </row>
    <row r="12" spans="1:23" s="29" customFormat="1" ht="21" customHeight="1" x14ac:dyDescent="0.15">
      <c r="A12" s="64" t="str">
        <f>IFERROR(IF(HLOOKUP($L$6,RangeUnitsetsSec,M12,FALSE)=0,"",HLOOKUP($L$6,RangeUnitsetsSec,M12,FALSE)),"")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IF(OR(A12="",A12="--"),"",VLOOKUP($D$9,TableStudyPeriods[],2,FALSE))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69" t="str">
        <f>IFERROR(VLOOKUP($A12,TableHandbook[],K$2,FALSE),"")</f>
        <v/>
      </c>
      <c r="L12" s="66"/>
      <c r="M12" s="226">
        <v>2</v>
      </c>
      <c r="N12" s="27"/>
      <c r="O12" s="27"/>
      <c r="P12" s="28"/>
      <c r="Q12" s="28"/>
      <c r="R12" s="28"/>
      <c r="S12" s="28"/>
      <c r="T12" s="28"/>
      <c r="U12" s="28"/>
      <c r="V12" s="28"/>
      <c r="W12" s="28"/>
    </row>
    <row r="13" spans="1:23" s="29" customFormat="1" ht="21" customHeight="1" x14ac:dyDescent="0.15">
      <c r="A13" s="64" t="str">
        <f>IFERROR(IF(HLOOKUP($L$6,RangeUnitsetsSec,M13,FALSE)=0,"",HLOOKUP($L$6,RangeUnitsetsSec,M13,FALSE)),"")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69" t="str">
        <f>IFERROR(VLOOKUP($A13,TableHandbook[],K$2,FALSE),"")</f>
        <v/>
      </c>
      <c r="L13" s="66"/>
      <c r="M13" s="226">
        <v>3</v>
      </c>
      <c r="N13" s="27"/>
      <c r="O13" s="27"/>
      <c r="P13" s="28"/>
      <c r="Q13" s="28"/>
      <c r="R13" s="28"/>
      <c r="S13" s="28"/>
      <c r="T13" s="28"/>
      <c r="U13" s="28"/>
      <c r="V13" s="28"/>
      <c r="W13" s="28"/>
    </row>
    <row r="14" spans="1:23" s="29" customFormat="1" ht="6" customHeight="1" x14ac:dyDescent="0.15">
      <c r="A14" s="284"/>
      <c r="B14" s="285"/>
      <c r="C14" s="285"/>
      <c r="D14" s="286"/>
      <c r="E14" s="285"/>
      <c r="F14" s="287"/>
      <c r="G14" s="285"/>
      <c r="H14" s="288"/>
      <c r="I14" s="289"/>
      <c r="J14" s="289"/>
      <c r="K14" s="292"/>
      <c r="L14" s="291"/>
      <c r="M14" s="226"/>
      <c r="N14" s="27"/>
      <c r="O14" s="27"/>
      <c r="P14" s="27"/>
      <c r="Q14" s="28"/>
      <c r="R14" s="28"/>
      <c r="S14" s="28"/>
      <c r="T14" s="28"/>
      <c r="U14" s="28"/>
      <c r="V14" s="28"/>
      <c r="W14" s="28"/>
    </row>
    <row r="15" spans="1:23" s="29" customFormat="1" ht="21" customHeight="1" x14ac:dyDescent="0.15">
      <c r="A15" s="64" t="str">
        <f>IFERROR(IF(HLOOKUP($L$6,RangeUnitsetsSec,M15,FALSE)=0,"",HLOOKUP($L$6,RangeUnitsetsSec,M15,FALSE)),"")</f>
        <v/>
      </c>
      <c r="B15" s="58" t="str">
        <f>IFERROR(IF(VLOOKUP($A15,TableHandbook[],2,FALSE)=0,"",VLOOKUP($A15,TableHandbook[],2,FALSE)),"")</f>
        <v/>
      </c>
      <c r="C15" s="58" t="str">
        <f>IFERROR(IF(VLOOKUP($A15,TableHandbook[],3,FALSE)=0,"",VLOOKUP($A15,TableHandbook[],3,FALSE)),"")</f>
        <v/>
      </c>
      <c r="D15" s="65" t="str">
        <f>IFERROR(IF(VLOOKUP($A15,TableHandbook[],4,FALSE)=0,"",VLOOKUP($A15,TableHandbook[],4,FALSE)),"")</f>
        <v/>
      </c>
      <c r="E15" s="58" t="str">
        <f>IF(OR(A15="",A15="--"),"",VLOOKUP($D$9,TableStudyPeriods[],3,FALSE))</f>
        <v/>
      </c>
      <c r="F15" s="57" t="str">
        <f>IFERROR(IF(VLOOKUP($A15,TableHandbook[],6,FALSE)=0,"",VLOOKUP($A15,TableHandbook[],6,FALSE)),"")</f>
        <v/>
      </c>
      <c r="G15" s="58" t="str">
        <f>IFERROR(IF(VLOOKUP($A15,TableHandbook[],5,FALSE)=0,"",VLOOKUP($A15,TableHandbook[],5,FALSE)),"")</f>
        <v/>
      </c>
      <c r="H15" s="68" t="str">
        <f>IFERROR(VLOOKUP($A15,TableHandbook[],H$2,FALSE),"")</f>
        <v/>
      </c>
      <c r="I15" s="58" t="str">
        <f>IFERROR(VLOOKUP($A15,TableHandbook[],I$2,FALSE),"")</f>
        <v/>
      </c>
      <c r="J15" s="58" t="str">
        <f>IFERROR(VLOOKUP($A15,TableHandbook[],J$2,FALSE),"")</f>
        <v/>
      </c>
      <c r="K15" s="69" t="str">
        <f>IFERROR(VLOOKUP($A15,TableHandbook[],K$2,FALSE),"")</f>
        <v/>
      </c>
      <c r="L15" s="67"/>
      <c r="M15" s="226">
        <v>4</v>
      </c>
      <c r="N15" s="27"/>
      <c r="O15" s="27"/>
      <c r="P15" s="28"/>
      <c r="Q15" s="28"/>
      <c r="R15" s="28"/>
      <c r="S15" s="28"/>
      <c r="T15" s="28"/>
      <c r="U15" s="28"/>
      <c r="V15" s="28"/>
      <c r="W15" s="28"/>
    </row>
    <row r="16" spans="1:23" s="29" customFormat="1" ht="21" customHeight="1" x14ac:dyDescent="0.15">
      <c r="A16" s="64" t="str">
        <f>IFERROR(IF(HLOOKUP($L$6,RangeUnitsetsSec,M16,FALSE)=0,"",HLOOKUP($L$6,RangeUnitsetsSec,M16,FALSE)),"")</f>
        <v/>
      </c>
      <c r="B16" s="58" t="str">
        <f>IFERROR(IF(VLOOKUP($A16,TableHandbook[],2,FALSE)=0,"",VLOOKUP($A16,TableHandbook[],2,FALSE)),"")</f>
        <v/>
      </c>
      <c r="C16" s="58" t="str">
        <f>IFERROR(IF(VLOOKUP($A16,TableHandbook[],3,FALSE)=0,"",VLOOKUP($A16,TableHandbook[],3,FALSE)),"")</f>
        <v/>
      </c>
      <c r="D16" s="65" t="str">
        <f>IFERROR(IF(VLOOKUP($A16,TableHandbook[],4,FALSE)=0,"",VLOOKUP($A16,TableHandbook[],4,FALSE)),"")</f>
        <v/>
      </c>
      <c r="E16" s="58" t="str">
        <f>IF(A16="","",E15)</f>
        <v/>
      </c>
      <c r="F16" s="57" t="str">
        <f>IFERROR(IF(VLOOKUP($A16,TableHandbook[],6,FALSE)=0,"",VLOOKUP($A16,TableHandbook[],6,FALSE)),"")</f>
        <v/>
      </c>
      <c r="G16" s="58" t="str">
        <f>IFERROR(IF(VLOOKUP($A16,TableHandbook[],5,FALSE)=0,"",VLOOKUP($A16,TableHandbook[],5,FALSE)),"")</f>
        <v/>
      </c>
      <c r="H16" s="68" t="str">
        <f>IFERROR(VLOOKUP($A16,TableHandbook[],H$2,FALSE),"")</f>
        <v/>
      </c>
      <c r="I16" s="58" t="str">
        <f>IFERROR(VLOOKUP($A16,TableHandbook[],I$2,FALSE),"")</f>
        <v/>
      </c>
      <c r="J16" s="58" t="str">
        <f>IFERROR(VLOOKUP($A16,TableHandbook[],J$2,FALSE),"")</f>
        <v/>
      </c>
      <c r="K16" s="69" t="str">
        <f>IFERROR(VLOOKUP($A16,TableHandbook[],K$2,FALSE),"")</f>
        <v/>
      </c>
      <c r="L16" s="66"/>
      <c r="M16" s="226">
        <v>5</v>
      </c>
      <c r="N16" s="27"/>
      <c r="O16" s="27"/>
      <c r="P16" s="28"/>
      <c r="Q16" s="28"/>
      <c r="R16" s="28"/>
      <c r="S16" s="28"/>
      <c r="T16" s="28"/>
      <c r="U16" s="28"/>
      <c r="V16" s="28"/>
      <c r="W16" s="28"/>
    </row>
    <row r="17" spans="1:23" s="29" customFormat="1" ht="6" customHeight="1" x14ac:dyDescent="0.15">
      <c r="A17" s="284"/>
      <c r="B17" s="285"/>
      <c r="C17" s="285"/>
      <c r="D17" s="286"/>
      <c r="E17" s="285"/>
      <c r="F17" s="287"/>
      <c r="G17" s="285"/>
      <c r="H17" s="288"/>
      <c r="I17" s="289"/>
      <c r="J17" s="289"/>
      <c r="K17" s="292"/>
      <c r="L17" s="291"/>
      <c r="M17" s="226"/>
      <c r="N17" s="27"/>
      <c r="O17" s="27"/>
      <c r="P17" s="27"/>
      <c r="Q17" s="28"/>
      <c r="R17" s="28"/>
      <c r="S17" s="28"/>
      <c r="T17" s="28"/>
      <c r="U17" s="28"/>
      <c r="V17" s="28"/>
      <c r="W17" s="28"/>
    </row>
    <row r="18" spans="1:23" s="29" customFormat="1" ht="21" customHeight="1" x14ac:dyDescent="0.15">
      <c r="A18" s="64" t="str">
        <f>IFERROR(IF(HLOOKUP($L$6,RangeUnitsetsSec,M18,FALSE)=0,"",HLOOKUP($L$6,RangeUnitsetsSec,M18,FALSE)),"")</f>
        <v/>
      </c>
      <c r="B18" s="60" t="str">
        <f>IFERROR(IF(VLOOKUP($A18,TableHandbook[],2,FALSE)=0,"",VLOOKUP($A18,TableHandbook[],2,FALSE)),"")</f>
        <v/>
      </c>
      <c r="C18" s="60" t="str">
        <f>IFERROR(IF(VLOOKUP($A18,TableHandbook[],3,FALSE)=0,"",VLOOKUP($A18,TableHandbook[],3,FALSE)),"")</f>
        <v/>
      </c>
      <c r="D18" s="65" t="str">
        <f>IFERROR(IF(VLOOKUP($A18,TableHandbook[],4,FALSE)=0,"",VLOOKUP($A18,TableHandbook[],4,FALSE)),"")</f>
        <v/>
      </c>
      <c r="E18" s="58" t="str">
        <f>IF(OR(A18="",A18="--"),"",VLOOKUP($D$9,TableStudyPeriods[],4,FALSE))</f>
        <v/>
      </c>
      <c r="F18" s="57" t="str">
        <f>IFERROR(IF(VLOOKUP($A18,TableHandbook[],6,FALSE)=0,"",VLOOKUP($A18,TableHandbook[],6,FALSE)),"")</f>
        <v/>
      </c>
      <c r="G18" s="60" t="str">
        <f>IFERROR(IF(VLOOKUP($A18,TableHandbook[],5,FALSE)=0,"",VLOOKUP($A18,TableHandbook[],5,FALSE)),"")</f>
        <v/>
      </c>
      <c r="H18" s="70" t="str">
        <f>IFERROR(VLOOKUP($A18,TableHandbook[],H$2,FALSE),"")</f>
        <v/>
      </c>
      <c r="I18" s="60" t="str">
        <f>IFERROR(VLOOKUP($A18,TableHandbook[],I$2,FALSE),"")</f>
        <v/>
      </c>
      <c r="J18" s="60" t="str">
        <f>IFERROR(VLOOKUP($A18,TableHandbook[],J$2,FALSE),"")</f>
        <v/>
      </c>
      <c r="K18" s="71" t="str">
        <f>IFERROR(VLOOKUP($A18,TableHandbook[],K$2,FALSE),"")</f>
        <v/>
      </c>
      <c r="L18" s="67"/>
      <c r="M18" s="226">
        <v>6</v>
      </c>
      <c r="N18" s="27"/>
      <c r="O18" s="27"/>
      <c r="P18" s="28"/>
      <c r="Q18" s="28"/>
      <c r="R18" s="28"/>
      <c r="S18" s="28"/>
      <c r="T18" s="28"/>
      <c r="U18" s="28"/>
      <c r="V18" s="28"/>
      <c r="W18" s="28"/>
    </row>
    <row r="19" spans="1:23" s="38" customFormat="1" ht="21" customHeight="1" x14ac:dyDescent="0.15">
      <c r="A19" s="64" t="str">
        <f>IFERROR(IF(HLOOKUP($L$6,RangeUnitsetsSec,M19,FALSE)=0,"",HLOOKUP($L$6,RangeUnitsetsSec,M19,FALSE)),"")</f>
        <v/>
      </c>
      <c r="B19" s="60" t="str">
        <f>IFERROR(IF(VLOOKUP($A19,TableHandbook[],2,FALSE)=0,"",VLOOKUP($A19,TableHandbook[],2,FALSE)),"")</f>
        <v/>
      </c>
      <c r="C19" s="60" t="str">
        <f>IFERROR(IF(VLOOKUP($A19,TableHandbook[],3,FALSE)=0,"",VLOOKUP($A19,TableHandbook[],3,FALSE)),"")</f>
        <v/>
      </c>
      <c r="D19" s="65" t="str">
        <f>IFERROR(IF(VLOOKUP($A19,TableHandbook[],4,FALSE)=0,"",VLOOKUP($A19,TableHandbook[],4,FALSE)),"")</f>
        <v/>
      </c>
      <c r="E19" s="58" t="str">
        <f>IF(A19="","",E18)</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71" t="str">
        <f>IFERROR(VLOOKUP($A19,TableHandbook[],K$2,FALSE),"")</f>
        <v/>
      </c>
      <c r="L19" s="67"/>
      <c r="M19" s="226">
        <v>7</v>
      </c>
      <c r="N19" s="36"/>
      <c r="O19" s="36"/>
      <c r="P19" s="37"/>
      <c r="Q19" s="37"/>
      <c r="R19" s="37"/>
      <c r="S19" s="37"/>
      <c r="T19" s="37"/>
      <c r="U19" s="37"/>
      <c r="V19" s="37"/>
      <c r="W19" s="37"/>
    </row>
    <row r="20" spans="1:23" s="29" customFormat="1" ht="6" customHeight="1" x14ac:dyDescent="0.15">
      <c r="A20" s="284"/>
      <c r="B20" s="285"/>
      <c r="C20" s="285"/>
      <c r="D20" s="286"/>
      <c r="E20" s="285"/>
      <c r="F20" s="287"/>
      <c r="G20" s="285"/>
      <c r="H20" s="288"/>
      <c r="I20" s="289"/>
      <c r="J20" s="289"/>
      <c r="K20" s="292"/>
      <c r="L20" s="291"/>
      <c r="M20" s="226"/>
      <c r="N20" s="27"/>
      <c r="O20" s="27"/>
      <c r="P20" s="27"/>
      <c r="Q20" s="28"/>
      <c r="R20" s="28"/>
      <c r="S20" s="28"/>
      <c r="T20" s="28"/>
      <c r="U20" s="28"/>
      <c r="V20" s="28"/>
      <c r="W20" s="28"/>
    </row>
    <row r="21" spans="1:23" s="38" customFormat="1" ht="21" customHeight="1" x14ac:dyDescent="0.15">
      <c r="A21" s="64" t="str">
        <f>IFERROR(IF(HLOOKUP($L$6,RangeUnitsetsSec,M21,FALSE)=0,"",HLOOKUP($L$6,RangeUnitsetsSec,M21,FALSE)),"")</f>
        <v/>
      </c>
      <c r="B21" s="60" t="str">
        <f>IFERROR(IF(VLOOKUP($A21,TableHandbook[],2,FALSE)=0,"",VLOOKUP($A21,TableHandbook[],2,FALSE)),"")</f>
        <v/>
      </c>
      <c r="C21" s="60" t="str">
        <f>IFERROR(IF(VLOOKUP($A21,TableHandbook[],3,FALSE)=0,"",VLOOKUP($A21,TableHandbook[],3,FALSE)),"")</f>
        <v/>
      </c>
      <c r="D21" s="65" t="str">
        <f>IFERROR(IF(VLOOKUP($A21,TableHandbook[],4,FALSE)=0,"",VLOOKUP($A21,TableHandbook[],4,FALSE)),"")</f>
        <v/>
      </c>
      <c r="E21" s="58" t="str">
        <f>IF(OR(A21="",A21="--"),"",VLOOKUP($D$9,TableStudyPeriods[],5,FALSE))</f>
        <v/>
      </c>
      <c r="F21" s="57" t="str">
        <f>IFERROR(IF(VLOOKUP($A21,TableHandbook[],6,FALSE)=0,"",VLOOKUP($A21,TableHandbook[],6,FALSE)),"")</f>
        <v/>
      </c>
      <c r="G21" s="60" t="str">
        <f>IFERROR(IF(VLOOKUP($A21,TableHandbook[],5,FALSE)=0,"",VLOOKUP($A21,TableHandbook[],5,FALSE)),"")</f>
        <v/>
      </c>
      <c r="H21" s="70" t="str">
        <f>IFERROR(VLOOKUP($A21,TableHandbook[],H$2,FALSE),"")</f>
        <v/>
      </c>
      <c r="I21" s="60" t="str">
        <f>IFERROR(VLOOKUP($A21,TableHandbook[],I$2,FALSE),"")</f>
        <v/>
      </c>
      <c r="J21" s="60" t="str">
        <f>IFERROR(VLOOKUP($A21,TableHandbook[],J$2,FALSE),"")</f>
        <v/>
      </c>
      <c r="K21" s="71" t="str">
        <f>IFERROR(VLOOKUP($A21,TableHandbook[],K$2,FALSE),"")</f>
        <v/>
      </c>
      <c r="L21" s="67"/>
      <c r="M21" s="226">
        <v>8</v>
      </c>
      <c r="N21" s="36"/>
      <c r="O21" s="36"/>
      <c r="P21" s="37"/>
      <c r="Q21" s="37"/>
      <c r="R21" s="37"/>
      <c r="S21" s="37"/>
      <c r="T21" s="37"/>
      <c r="U21" s="37"/>
      <c r="V21" s="37"/>
      <c r="W21" s="37"/>
    </row>
    <row r="22" spans="1:23" s="38" customFormat="1" ht="21" customHeight="1" x14ac:dyDescent="0.15">
      <c r="A22" s="64" t="str">
        <f>IFERROR(IF(HLOOKUP($L$6,RangeUnitsetsSec,M22,FALSE)=0,"",HLOOKUP($L$6,RangeUnitsetsSec,M22,FALSE)),"")</f>
        <v/>
      </c>
      <c r="B22" s="60" t="str">
        <f>IFERROR(IF(VLOOKUP($A22,TableHandbook[],2,FALSE)=0,"",VLOOKUP($A22,TableHandbook[],2,FALSE)),"")</f>
        <v/>
      </c>
      <c r="C22" s="60" t="str">
        <f>IFERROR(IF(VLOOKUP($A22,TableHandbook[],3,FALSE)=0,"",VLOOKUP($A22,TableHandbook[],3,FALSE)),"")</f>
        <v/>
      </c>
      <c r="D22" s="63" t="str">
        <f>IFERROR(IF(VLOOKUP($A22,TableHandbook[],4,FALSE)=0,"",VLOOKUP($A22,TableHandbook[],4,FALSE)),"")</f>
        <v/>
      </c>
      <c r="E22" s="60" t="str">
        <f>IF(A22="","",E21)</f>
        <v/>
      </c>
      <c r="F22" s="57" t="str">
        <f>IFERROR(IF(VLOOKUP($A22,TableHandbook[],6,FALSE)=0,"",VLOOKUP($A22,TableHandbook[],6,FALSE)),"")</f>
        <v/>
      </c>
      <c r="G22" s="60" t="str">
        <f>IFERROR(IF(VLOOKUP($A22,TableHandbook[],5,FALSE)=0,"",VLOOKUP($A22,TableHandbook[],5,FALSE)),"")</f>
        <v/>
      </c>
      <c r="H22" s="70" t="str">
        <f>IFERROR(VLOOKUP($A22,TableHandbook[],H$2,FALSE),"")</f>
        <v/>
      </c>
      <c r="I22" s="60" t="str">
        <f>IFERROR(VLOOKUP($A22,TableHandbook[],I$2,FALSE),"")</f>
        <v/>
      </c>
      <c r="J22" s="60" t="str">
        <f>IFERROR(VLOOKUP($A22,TableHandbook[],J$2,FALSE),"")</f>
        <v/>
      </c>
      <c r="K22" s="71" t="str">
        <f>IFERROR(VLOOKUP($A22,TableHandbook[],K$2,FALSE),"")</f>
        <v/>
      </c>
      <c r="L22" s="67"/>
      <c r="M22" s="226">
        <v>9</v>
      </c>
      <c r="N22" s="36"/>
      <c r="O22" s="36"/>
      <c r="P22" s="37"/>
      <c r="Q22" s="37"/>
      <c r="R22" s="37"/>
      <c r="S22" s="37"/>
      <c r="T22" s="37"/>
      <c r="U22" s="37"/>
      <c r="V22" s="37"/>
      <c r="W22" s="37"/>
    </row>
    <row r="23" spans="1:23" s="26" customFormat="1" ht="21" x14ac:dyDescent="0.25">
      <c r="A23" s="160" t="s">
        <v>30</v>
      </c>
      <c r="B23" s="160"/>
      <c r="C23" s="186" t="s">
        <v>21</v>
      </c>
      <c r="D23" s="161" t="s">
        <v>3</v>
      </c>
      <c r="E23" s="186" t="s">
        <v>22</v>
      </c>
      <c r="F23" s="160" t="s">
        <v>23</v>
      </c>
      <c r="G23" s="160" t="s">
        <v>24</v>
      </c>
      <c r="H23" s="167" t="s">
        <v>25</v>
      </c>
      <c r="I23" s="180" t="s">
        <v>26</v>
      </c>
      <c r="J23" s="180" t="s">
        <v>27</v>
      </c>
      <c r="K23" s="168" t="s">
        <v>28</v>
      </c>
      <c r="L23" s="166" t="s">
        <v>29</v>
      </c>
      <c r="M23" s="227"/>
      <c r="N23" s="24"/>
      <c r="O23" s="24"/>
      <c r="P23" s="25"/>
      <c r="Q23" s="25"/>
      <c r="R23" s="25"/>
      <c r="S23" s="25"/>
      <c r="T23" s="25"/>
      <c r="U23" s="25"/>
      <c r="V23" s="25"/>
      <c r="W23" s="25"/>
    </row>
    <row r="24" spans="1:23" s="29" customFormat="1" ht="21" customHeight="1" x14ac:dyDescent="0.15">
      <c r="A24" s="64" t="str">
        <f>IFERROR(IF(HLOOKUP($L$6,RangeUnitsetsSec,M24,FALSE)=0,"",HLOOKUP($L$6,RangeUnitsetsSec,M24,FALSE)),"")</f>
        <v/>
      </c>
      <c r="B24" s="60" t="str">
        <f>IFERROR(IF(VLOOKUP($A24,TableHandbook[],2,FALSE)=0,"",VLOOKUP($A24,TableHandbook[],2,FALSE)),"")</f>
        <v/>
      </c>
      <c r="C24" s="60" t="str">
        <f>IFERROR(IF(VLOOKUP($A24,TableHandbook[],3,FALSE)=0,"",VLOOKUP($A24,TableHandbook[],3,FALSE)),"")</f>
        <v/>
      </c>
      <c r="D24" s="61" t="str">
        <f>IFERROR(IF(VLOOKUP($A24,TableHandbook[],4,FALSE)=0,"",VLOOKUP($A24,TableHandbook[],4,FALSE)),"")</f>
        <v/>
      </c>
      <c r="E24" s="60" t="str">
        <f>IF(OR(A24="",A24="--"),"",VLOOKUP($D$9,TableStudyPeriods[],2,FALSE))</f>
        <v/>
      </c>
      <c r="F24" s="57" t="str">
        <f>IFERROR(IF(VLOOKUP($A24,TableHandbook[],6,FALSE)=0,"",VLOOKUP($A24,TableHandbook[],6,FALSE)),"")</f>
        <v/>
      </c>
      <c r="G24" s="58" t="str">
        <f>IFERROR(IF(VLOOKUP($A24,TableHandbook[],5,FALSE)=0,"",VLOOKUP($A24,TableHandbook[],5,FALSE)),"")</f>
        <v/>
      </c>
      <c r="H24" s="68" t="str">
        <f>IFERROR(VLOOKUP($A24,TableHandbook[],H$2,FALSE),"")</f>
        <v/>
      </c>
      <c r="I24" s="58" t="str">
        <f>IFERROR(VLOOKUP($A24,TableHandbook[],I$2,FALSE),"")</f>
        <v/>
      </c>
      <c r="J24" s="58" t="str">
        <f>IFERROR(VLOOKUP($A24,TableHandbook[],J$2,FALSE),"")</f>
        <v/>
      </c>
      <c r="K24" s="69" t="str">
        <f>IFERROR(VLOOKUP($A24,TableHandbook[],K$2,FALSE),"")</f>
        <v/>
      </c>
      <c r="L24" s="62"/>
      <c r="M24" s="226">
        <v>10</v>
      </c>
      <c r="N24" s="27"/>
      <c r="O24" s="27"/>
      <c r="P24" s="28"/>
      <c r="Q24" s="28"/>
      <c r="R24" s="28"/>
      <c r="S24" s="28"/>
      <c r="T24" s="28"/>
      <c r="U24" s="28"/>
      <c r="V24" s="28"/>
      <c r="W24" s="28"/>
    </row>
    <row r="25" spans="1:23" s="29" customFormat="1" ht="21" customHeight="1" x14ac:dyDescent="0.15">
      <c r="A25" s="64" t="str">
        <f>IFERROR(IF(HLOOKUP($L$6,RangeUnitsetsSec,M25,FALSE)=0,"",HLOOKUP($L$6,RangeUnitsetsSec,M25,FALSE)),"")</f>
        <v/>
      </c>
      <c r="B25" s="60" t="str">
        <f>IFERROR(IF(VLOOKUP($A25,TableHandbook[],2,FALSE)=0,"",VLOOKUP($A25,TableHandbook[],2,FALSE)),"")</f>
        <v/>
      </c>
      <c r="C25" s="60" t="str">
        <f>IFERROR(IF(VLOOKUP($A25,TableHandbook[],3,FALSE)=0,"",VLOOKUP($A25,TableHandbook[],3,FALSE)),"")</f>
        <v/>
      </c>
      <c r="D25" s="63" t="str">
        <f>IFERROR(IF(VLOOKUP($A25,TableHandbook[],4,FALSE)=0,"",VLOOKUP($A25,TableHandbook[],4,FALSE)),"")</f>
        <v/>
      </c>
      <c r="E25" s="60" t="str">
        <f>IF(A25="","",E24)</f>
        <v/>
      </c>
      <c r="F25" s="57" t="str">
        <f>IFERROR(IF(VLOOKUP($A25,TableHandbook[],6,FALSE)=0,"",VLOOKUP($A25,TableHandbook[],6,FALSE)),"")</f>
        <v/>
      </c>
      <c r="G25" s="58" t="str">
        <f>IFERROR(IF(VLOOKUP($A25,TableHandbook[],5,FALSE)=0,"",VLOOKUP($A25,TableHandbook[],5,FALSE)),"")</f>
        <v/>
      </c>
      <c r="H25" s="68" t="str">
        <f>IFERROR(VLOOKUP($A25,TableHandbook[],H$2,FALSE),"")</f>
        <v/>
      </c>
      <c r="I25" s="58" t="str">
        <f>IFERROR(VLOOKUP($A25,TableHandbook[],I$2,FALSE),"")</f>
        <v/>
      </c>
      <c r="J25" s="58" t="str">
        <f>IFERROR(VLOOKUP($A25,TableHandbook[],J$2,FALSE),"")</f>
        <v/>
      </c>
      <c r="K25" s="69" t="str">
        <f>IFERROR(VLOOKUP($A25,TableHandbook[],K$2,FALSE),"")</f>
        <v/>
      </c>
      <c r="L25" s="62"/>
      <c r="M25" s="226">
        <v>11</v>
      </c>
      <c r="N25" s="27"/>
      <c r="O25" s="27"/>
      <c r="P25" s="28"/>
      <c r="Q25" s="28"/>
      <c r="R25" s="28"/>
      <c r="S25" s="28"/>
      <c r="T25" s="28"/>
      <c r="U25" s="28"/>
      <c r="V25" s="28"/>
      <c r="W25" s="28"/>
    </row>
    <row r="26" spans="1:23" s="29" customFormat="1" ht="6" customHeight="1" x14ac:dyDescent="0.15">
      <c r="A26" s="284"/>
      <c r="B26" s="285"/>
      <c r="C26" s="285"/>
      <c r="D26" s="286"/>
      <c r="E26" s="285"/>
      <c r="F26" s="287"/>
      <c r="G26" s="285"/>
      <c r="H26" s="288"/>
      <c r="I26" s="289"/>
      <c r="J26" s="289"/>
      <c r="K26" s="292"/>
      <c r="L26" s="291"/>
      <c r="M26" s="226"/>
      <c r="N26" s="27"/>
      <c r="O26" s="27"/>
      <c r="P26" s="27"/>
      <c r="Q26" s="28"/>
      <c r="R26" s="28"/>
      <c r="S26" s="28"/>
      <c r="T26" s="28"/>
      <c r="U26" s="28"/>
      <c r="V26" s="28"/>
      <c r="W26" s="28"/>
    </row>
    <row r="27" spans="1:23" s="29" customFormat="1" ht="21" customHeight="1" x14ac:dyDescent="0.15">
      <c r="A27" s="64" t="str">
        <f>IFERROR(IF(HLOOKUP($L$6,RangeUnitsetsSec,M27,FALSE)=0,"",HLOOKUP($L$6,RangeUnitsetsSec,M27,FALSE)),"")</f>
        <v/>
      </c>
      <c r="B27" s="60" t="str">
        <f>IFERROR(IF(VLOOKUP($A27,TableHandbook[],2,FALSE)=0,"",VLOOKUP($A27,TableHandbook[],2,FALSE)),"")</f>
        <v/>
      </c>
      <c r="C27" s="60" t="str">
        <f>IFERROR(IF(VLOOKUP($A27,TableHandbook[],3,FALSE)=0,"",VLOOKUP($A27,TableHandbook[],3,FALSE)),"")</f>
        <v/>
      </c>
      <c r="D27" s="63" t="str">
        <f>IFERROR(IF(VLOOKUP($A27,TableHandbook[],4,FALSE)=0,"",VLOOKUP($A27,TableHandbook[],4,FALSE)),"")</f>
        <v/>
      </c>
      <c r="E27" s="60" t="str">
        <f>IF(OR(A27="",A27="--"),"",VLOOKUP($D$9,TableStudyPeriods[],3,FALSE))</f>
        <v/>
      </c>
      <c r="F27" s="57" t="str">
        <f>IFERROR(IF(VLOOKUP($A27,TableHandbook[],6,FALSE)=0,"",VLOOKUP($A27,TableHandbook[],6,FALSE)),"")</f>
        <v/>
      </c>
      <c r="G27" s="58" t="str">
        <f>IFERROR(IF(VLOOKUP($A27,TableHandbook[],5,FALSE)=0,"",VLOOKUP($A27,TableHandbook[],5,FALSE)),"")</f>
        <v/>
      </c>
      <c r="H27" s="68" t="str">
        <f>IFERROR(VLOOKUP($A27,TableHandbook[],H$2,FALSE),"")</f>
        <v/>
      </c>
      <c r="I27" s="58" t="str">
        <f>IFERROR(VLOOKUP($A27,TableHandbook[],I$2,FALSE),"")</f>
        <v/>
      </c>
      <c r="J27" s="58" t="str">
        <f>IFERROR(VLOOKUP($A27,TableHandbook[],J$2,FALSE),"")</f>
        <v/>
      </c>
      <c r="K27" s="69" t="str">
        <f>IFERROR(VLOOKUP($A27,TableHandbook[],K$2,FALSE),"")</f>
        <v/>
      </c>
      <c r="L27" s="62"/>
      <c r="M27" s="226">
        <v>12</v>
      </c>
      <c r="N27" s="27"/>
      <c r="O27" s="27"/>
      <c r="P27" s="28"/>
      <c r="Q27" s="28"/>
      <c r="R27" s="28"/>
      <c r="S27" s="28"/>
      <c r="T27" s="28"/>
      <c r="U27" s="28"/>
      <c r="V27" s="28"/>
      <c r="W27" s="28"/>
    </row>
    <row r="28" spans="1:23" s="29" customFormat="1" ht="21" customHeight="1" x14ac:dyDescent="0.15">
      <c r="A28" s="64" t="str">
        <f>IFERROR(IF(HLOOKUP($L$6,RangeUnitsetsSec,M28,FALSE)=0,"",HLOOKUP($L$6,RangeUnitsetsSec,M28,FALSE)),"")</f>
        <v/>
      </c>
      <c r="B28" s="60" t="str">
        <f>IFERROR(IF(VLOOKUP($A28,TableHandbook[],2,FALSE)=0,"",VLOOKUP($A28,TableHandbook[],2,FALSE)),"")</f>
        <v/>
      </c>
      <c r="C28" s="60" t="str">
        <f>IFERROR(IF(VLOOKUP($A28,TableHandbook[],3,FALSE)=0,"",VLOOKUP($A28,TableHandbook[],3,FALSE)),"")</f>
        <v/>
      </c>
      <c r="D28" s="63" t="str">
        <f>IFERROR(IF(VLOOKUP($A28,TableHandbook[],4,FALSE)=0,"",VLOOKUP($A28,TableHandbook[],4,FALSE)),"")</f>
        <v/>
      </c>
      <c r="E28" s="60" t="str">
        <f>IF(A28="","",E27)</f>
        <v/>
      </c>
      <c r="F28" s="57" t="str">
        <f>IFERROR(IF(VLOOKUP($A28,TableHandbook[],6,FALSE)=0,"",VLOOKUP($A28,TableHandbook[],6,FALSE)),"")</f>
        <v/>
      </c>
      <c r="G28" s="58" t="str">
        <f>IFERROR(IF(VLOOKUP($A28,TableHandbook[],5,FALSE)=0,"",VLOOKUP($A28,TableHandbook[],5,FALSE)),"")</f>
        <v/>
      </c>
      <c r="H28" s="68" t="str">
        <f>IFERROR(VLOOKUP($A28,TableHandbook[],H$2,FALSE),"")</f>
        <v/>
      </c>
      <c r="I28" s="58" t="str">
        <f>IFERROR(VLOOKUP($A28,TableHandbook[],I$2,FALSE),"")</f>
        <v/>
      </c>
      <c r="J28" s="58" t="str">
        <f>IFERROR(VLOOKUP($A28,TableHandbook[],J$2,FALSE),"")</f>
        <v/>
      </c>
      <c r="K28" s="69" t="str">
        <f>IFERROR(VLOOKUP($A28,TableHandbook[],K$2,FALSE),"")</f>
        <v/>
      </c>
      <c r="L28" s="62"/>
      <c r="M28" s="226">
        <v>13</v>
      </c>
      <c r="N28" s="27"/>
      <c r="O28" s="27"/>
      <c r="P28" s="28"/>
      <c r="Q28" s="28"/>
      <c r="R28" s="28"/>
      <c r="S28" s="28"/>
      <c r="T28" s="28"/>
      <c r="U28" s="28"/>
      <c r="V28" s="28"/>
      <c r="W28" s="28"/>
    </row>
    <row r="29" spans="1:23" s="29" customFormat="1" ht="6" customHeight="1" x14ac:dyDescent="0.15">
      <c r="A29" s="284"/>
      <c r="B29" s="285"/>
      <c r="C29" s="285"/>
      <c r="D29" s="286"/>
      <c r="E29" s="285"/>
      <c r="F29" s="287"/>
      <c r="G29" s="285"/>
      <c r="H29" s="288"/>
      <c r="I29" s="289"/>
      <c r="J29" s="289"/>
      <c r="K29" s="292"/>
      <c r="L29" s="291"/>
      <c r="M29" s="226"/>
      <c r="N29" s="27"/>
      <c r="O29" s="27"/>
      <c r="P29" s="27"/>
      <c r="Q29" s="28"/>
      <c r="R29" s="28"/>
      <c r="S29" s="28"/>
      <c r="T29" s="28"/>
      <c r="U29" s="28"/>
      <c r="V29" s="28"/>
      <c r="W29" s="28"/>
    </row>
    <row r="30" spans="1:23" s="29" customFormat="1" ht="21" customHeight="1" x14ac:dyDescent="0.15">
      <c r="A30" s="64" t="str">
        <f>IFERROR(IF(HLOOKUP($L$6,RangeUnitsetsSec,M30,FALSE)=0,"",HLOOKUP($L$6,RangeUnitsetsSec,M30,FALSE)),"")</f>
        <v/>
      </c>
      <c r="B30" s="60" t="str">
        <f>IFERROR(IF(VLOOKUP($A30,TableHandbook[],2,FALSE)=0,"",VLOOKUP($A30,TableHandbook[],2,FALSE)),"")</f>
        <v/>
      </c>
      <c r="C30" s="60" t="str">
        <f>IFERROR(IF(VLOOKUP($A30,TableHandbook[],3,FALSE)=0,"",VLOOKUP($A30,TableHandbook[],3,FALSE)),"")</f>
        <v/>
      </c>
      <c r="D30" s="63" t="str">
        <f>IFERROR(IF(VLOOKUP($A30,TableHandbook[],4,FALSE)=0,"",VLOOKUP($A30,TableHandbook[],4,FALSE)),"")</f>
        <v/>
      </c>
      <c r="E30" s="60" t="str">
        <f>IF(OR(A30="",A30="--"),"",VLOOKUP($D$9,TableStudyPeriods[],4,FALSE))</f>
        <v/>
      </c>
      <c r="F30" s="57" t="str">
        <f>IFERROR(IF(VLOOKUP($A30,TableHandbook[],6,FALSE)=0,"",VLOOKUP($A30,TableHandbook[],6,FALSE)),"")</f>
        <v/>
      </c>
      <c r="G30" s="58" t="str">
        <f>IFERROR(IF(VLOOKUP($A30,TableHandbook[],5,FALSE)=0,"",VLOOKUP($A30,TableHandbook[],5,FALSE)),"")</f>
        <v/>
      </c>
      <c r="H30" s="70" t="str">
        <f>IFERROR(VLOOKUP($A30,TableHandbook[],H$2,FALSE),"")</f>
        <v/>
      </c>
      <c r="I30" s="60" t="str">
        <f>IFERROR(VLOOKUP($A30,TableHandbook[],I$2,FALSE),"")</f>
        <v/>
      </c>
      <c r="J30" s="60" t="str">
        <f>IFERROR(VLOOKUP($A30,TableHandbook[],J$2,FALSE),"")</f>
        <v/>
      </c>
      <c r="K30" s="71" t="str">
        <f>IFERROR(VLOOKUP($A30,TableHandbook[],K$2,FALSE),"")</f>
        <v/>
      </c>
      <c r="L30" s="62"/>
      <c r="M30" s="226">
        <v>14</v>
      </c>
      <c r="N30" s="27"/>
      <c r="O30" s="27"/>
      <c r="P30" s="28"/>
      <c r="Q30" s="28"/>
      <c r="R30" s="28"/>
      <c r="S30" s="28"/>
      <c r="T30" s="28"/>
      <c r="U30" s="28"/>
      <c r="V30" s="28"/>
      <c r="W30" s="28"/>
    </row>
    <row r="31" spans="1:23" s="29" customFormat="1" ht="21" customHeight="1" x14ac:dyDescent="0.15">
      <c r="A31" s="64" t="str">
        <f>IFERROR(IF(HLOOKUP($L$6,RangeUnitsetsSec,M31,FALSE)=0,"",HLOOKUP($L$6,RangeUnitsetsSec,M31,FALSE)),"")</f>
        <v/>
      </c>
      <c r="B31" s="60" t="str">
        <f>IFERROR(IF(VLOOKUP($A31,TableHandbook[],2,FALSE)=0,"",VLOOKUP($A31,TableHandbook[],2,FALSE)),"")</f>
        <v/>
      </c>
      <c r="C31" s="60" t="str">
        <f>IFERROR(IF(VLOOKUP($A31,TableHandbook[],3,FALSE)=0,"",VLOOKUP($A31,TableHandbook[],3,FALSE)),"")</f>
        <v/>
      </c>
      <c r="D31" s="63" t="str">
        <f>IFERROR(IF(VLOOKUP($A31,TableHandbook[],4,FALSE)=0,"",VLOOKUP($A31,TableHandbook[],4,FALSE)),"")</f>
        <v/>
      </c>
      <c r="E31" s="60" t="str">
        <f>IF(A31="","",E30)</f>
        <v/>
      </c>
      <c r="F31" s="57" t="str">
        <f>IFERROR(IF(VLOOKUP($A31,TableHandbook[],6,FALSE)=0,"",VLOOKUP($A31,TableHandbook[],6,FALSE)),"")</f>
        <v/>
      </c>
      <c r="G31" s="58" t="str">
        <f>IFERROR(IF(VLOOKUP($A31,TableHandbook[],5,FALSE)=0,"",VLOOKUP($A31,TableHandbook[],5,FALSE)),"")</f>
        <v/>
      </c>
      <c r="H31" s="70" t="str">
        <f>IFERROR(VLOOKUP($A31,TableHandbook[],H$2,FALSE),"")</f>
        <v/>
      </c>
      <c r="I31" s="60" t="str">
        <f>IFERROR(VLOOKUP($A31,TableHandbook[],I$2,FALSE),"")</f>
        <v/>
      </c>
      <c r="J31" s="60" t="str">
        <f>IFERROR(VLOOKUP($A31,TableHandbook[],J$2,FALSE),"")</f>
        <v/>
      </c>
      <c r="K31" s="71" t="str">
        <f>IFERROR(VLOOKUP($A31,TableHandbook[],K$2,FALSE),"")</f>
        <v/>
      </c>
      <c r="L31" s="62"/>
      <c r="M31" s="226">
        <v>15</v>
      </c>
      <c r="N31" s="27"/>
      <c r="O31" s="27"/>
      <c r="P31" s="28"/>
      <c r="Q31" s="28"/>
      <c r="R31" s="28"/>
      <c r="S31" s="28"/>
      <c r="T31" s="28"/>
      <c r="U31" s="28"/>
      <c r="V31" s="28"/>
      <c r="W31" s="28"/>
    </row>
    <row r="32" spans="1:23" s="38" customFormat="1" ht="6" customHeight="1" x14ac:dyDescent="0.15">
      <c r="A32" s="284"/>
      <c r="B32" s="285"/>
      <c r="C32" s="285"/>
      <c r="D32" s="286"/>
      <c r="E32" s="285"/>
      <c r="F32" s="287"/>
      <c r="G32" s="285"/>
      <c r="H32" s="288"/>
      <c r="I32" s="289"/>
      <c r="J32" s="289"/>
      <c r="K32" s="292"/>
      <c r="L32" s="291"/>
      <c r="M32" s="226"/>
      <c r="N32" s="36"/>
      <c r="O32" s="36"/>
      <c r="P32" s="37"/>
      <c r="Q32" s="37"/>
      <c r="R32" s="37"/>
      <c r="S32" s="37"/>
      <c r="T32" s="37"/>
      <c r="U32" s="37"/>
      <c r="V32" s="37"/>
      <c r="W32" s="37"/>
    </row>
    <row r="33" spans="1:23" s="38" customFormat="1" ht="21" customHeight="1" x14ac:dyDescent="0.15">
      <c r="A33" s="64" t="str">
        <f>IFERROR(IF(HLOOKUP($L$6,RangeUnitsetsSec,M33,FALSE)=0,"",HLOOKUP($L$6,RangeUnitsetsSec,M33,FALSE)),"")</f>
        <v/>
      </c>
      <c r="B33" s="60" t="str">
        <f>IFERROR(IF(VLOOKUP($A33,TableHandbook[],2,FALSE)=0,"",VLOOKUP($A33,TableHandbook[],2,FALSE)),"")</f>
        <v/>
      </c>
      <c r="C33" s="60" t="str">
        <f>IFERROR(IF(VLOOKUP($A33,TableHandbook[],3,FALSE)=0,"",VLOOKUP($A33,TableHandbook[],3,FALSE)),"")</f>
        <v/>
      </c>
      <c r="D33" s="63" t="str">
        <f>IFERROR(IF(VLOOKUP($A33,TableHandbook[],4,FALSE)=0,"",VLOOKUP($A33,TableHandbook[],4,FALSE)),"")</f>
        <v/>
      </c>
      <c r="E33" s="60" t="str">
        <f>IF(OR(A33="",A33="--"),"",VLOOKUP($D$9,TableStudyPeriods[],5,FALSE))</f>
        <v/>
      </c>
      <c r="F33" s="57" t="str">
        <f>IFERROR(IF(VLOOKUP($A33,TableHandbook[],6,FALSE)=0,"",VLOOKUP($A33,TableHandbook[],6,FALSE)),"")</f>
        <v/>
      </c>
      <c r="G33" s="58" t="str">
        <f>IFERROR(IF(VLOOKUP($A33,TableHandbook[],5,FALSE)=0,"",VLOOKUP($A33,TableHandbook[],5,FALSE)),"")</f>
        <v/>
      </c>
      <c r="H33" s="70" t="str">
        <f>IFERROR(VLOOKUP($A33,TableHandbook[],H$2,FALSE),"")</f>
        <v/>
      </c>
      <c r="I33" s="60" t="str">
        <f>IFERROR(VLOOKUP($A33,TableHandbook[],I$2,FALSE),"")</f>
        <v/>
      </c>
      <c r="J33" s="60" t="str">
        <f>IFERROR(VLOOKUP($A33,TableHandbook[],J$2,FALSE),"")</f>
        <v/>
      </c>
      <c r="K33" s="71" t="str">
        <f>IFERROR(VLOOKUP($A33,TableHandbook[],K$2,FALSE),"")</f>
        <v/>
      </c>
      <c r="L33" s="62"/>
      <c r="M33" s="226">
        <v>16</v>
      </c>
      <c r="N33" s="36"/>
      <c r="O33" s="36"/>
      <c r="P33" s="37"/>
      <c r="Q33" s="37"/>
      <c r="R33" s="37"/>
      <c r="S33" s="37"/>
      <c r="T33" s="37"/>
      <c r="U33" s="37"/>
      <c r="V33" s="37"/>
      <c r="W33" s="37"/>
    </row>
    <row r="34" spans="1:23" s="38" customFormat="1" ht="21" customHeight="1" x14ac:dyDescent="0.15">
      <c r="A34" s="64" t="str">
        <f>IFERROR(IF(HLOOKUP($L$6,RangeUnitsetsSec,M34,FALSE)=0,"",HLOOKUP($L$6,RangeUnitsetsSec,M34,FALSE)),"")</f>
        <v/>
      </c>
      <c r="B34" s="60" t="str">
        <f>IFERROR(IF(VLOOKUP($A34,TableHandbook[],2,FALSE)=0,"",VLOOKUP($A34,TableHandbook[],2,FALSE)),"")</f>
        <v/>
      </c>
      <c r="C34" s="60" t="str">
        <f>IFERROR(IF(VLOOKUP($A34,TableHandbook[],3,FALSE)=0,"",VLOOKUP($A34,TableHandbook[],3,FALSE)),"")</f>
        <v/>
      </c>
      <c r="D34" s="63" t="str">
        <f>IFERROR(IF(VLOOKUP($A34,TableHandbook[],4,FALSE)=0,"",VLOOKUP($A34,TableHandbook[],4,FALSE)),"")</f>
        <v/>
      </c>
      <c r="E34" s="58" t="str">
        <f>IF(A34="","",E33)</f>
        <v/>
      </c>
      <c r="F34" s="57" t="str">
        <f>IFERROR(IF(VLOOKUP($A34,TableHandbook[],6,FALSE)=0,"",VLOOKUP($A34,TableHandbook[],6,FALSE)),"")</f>
        <v/>
      </c>
      <c r="G34" s="58" t="str">
        <f>IFERROR(IF(VLOOKUP($A34,TableHandbook[],5,FALSE)=0,"",VLOOKUP($A34,TableHandbook[],5,FALSE)),"")</f>
        <v/>
      </c>
      <c r="H34" s="70" t="str">
        <f>IFERROR(VLOOKUP($A34,TableHandbook[],H$2,FALSE),"")</f>
        <v/>
      </c>
      <c r="I34" s="60" t="str">
        <f>IFERROR(VLOOKUP($A34,TableHandbook[],I$2,FALSE),"")</f>
        <v/>
      </c>
      <c r="J34" s="60" t="str">
        <f>IFERROR(VLOOKUP($A34,TableHandbook[],J$2,FALSE),"")</f>
        <v/>
      </c>
      <c r="K34" s="71" t="str">
        <f>IFERROR(VLOOKUP($A34,TableHandbook[],K$2,FALSE),"")</f>
        <v/>
      </c>
      <c r="L34" s="62"/>
      <c r="M34" s="226">
        <v>17</v>
      </c>
      <c r="N34" s="36"/>
      <c r="O34" s="36"/>
      <c r="P34" s="37"/>
      <c r="Q34" s="37"/>
      <c r="R34" s="37"/>
      <c r="S34" s="37"/>
      <c r="T34" s="37"/>
      <c r="U34" s="37"/>
      <c r="V34" s="37"/>
      <c r="W34" s="37"/>
    </row>
    <row r="35" spans="1:23" ht="16.5" customHeight="1" x14ac:dyDescent="0.25">
      <c r="A35" s="46"/>
      <c r="B35" s="46"/>
      <c r="C35" s="46"/>
      <c r="D35" s="47"/>
      <c r="E35" s="47"/>
      <c r="F35" s="42"/>
      <c r="G35" s="42"/>
      <c r="H35" s="42"/>
      <c r="I35" s="42"/>
      <c r="J35" s="42"/>
      <c r="K35" s="42"/>
      <c r="L35" s="42"/>
      <c r="M35" s="23"/>
      <c r="N35" s="23"/>
      <c r="O35" s="23"/>
      <c r="P35" s="23"/>
      <c r="Q35" s="23"/>
      <c r="R35" s="23"/>
      <c r="S35" s="23"/>
      <c r="T35" s="23"/>
      <c r="U35" s="23"/>
      <c r="V35" s="23"/>
      <c r="W35" s="23"/>
    </row>
    <row r="36" spans="1:23" s="49" customFormat="1" ht="25.5" x14ac:dyDescent="0.25">
      <c r="A36" s="224" t="s">
        <v>246</v>
      </c>
      <c r="B36" s="136"/>
      <c r="C36" s="136"/>
      <c r="D36" s="137"/>
      <c r="E36" s="138"/>
      <c r="F36" s="138"/>
      <c r="G36" s="138"/>
      <c r="H36" s="139" t="s">
        <v>19</v>
      </c>
      <c r="I36" s="140"/>
      <c r="J36" s="141"/>
      <c r="K36" s="142"/>
      <c r="L36" s="143"/>
      <c r="M36" s="48"/>
      <c r="N36" s="48"/>
      <c r="O36" s="48"/>
      <c r="P36" s="48"/>
      <c r="Q36" s="48"/>
      <c r="R36" s="48"/>
      <c r="S36" s="48"/>
      <c r="T36" s="48"/>
      <c r="U36" s="48"/>
      <c r="V36" s="48"/>
      <c r="W36" s="48"/>
    </row>
    <row r="37" spans="1:23" ht="21" customHeight="1" x14ac:dyDescent="0.25">
      <c r="A37" s="160"/>
      <c r="B37" s="160"/>
      <c r="C37" s="186" t="s">
        <v>21</v>
      </c>
      <c r="D37" s="161" t="s">
        <v>3</v>
      </c>
      <c r="E37" s="186"/>
      <c r="F37" s="160" t="s">
        <v>23</v>
      </c>
      <c r="G37" s="160" t="s">
        <v>24</v>
      </c>
      <c r="H37" s="167" t="s">
        <v>25</v>
      </c>
      <c r="I37" s="180" t="s">
        <v>26</v>
      </c>
      <c r="J37" s="180" t="s">
        <v>27</v>
      </c>
      <c r="K37" s="168" t="s">
        <v>28</v>
      </c>
      <c r="L37" s="166" t="s">
        <v>29</v>
      </c>
      <c r="M37" s="74"/>
      <c r="N37" s="23"/>
      <c r="O37" s="23"/>
      <c r="P37" s="23"/>
      <c r="Q37" s="23"/>
      <c r="R37" s="23"/>
      <c r="S37" s="23"/>
      <c r="T37" s="23"/>
      <c r="U37" s="23"/>
      <c r="V37" s="23"/>
      <c r="W37" s="23"/>
    </row>
    <row r="38" spans="1:23" ht="21" customHeight="1" x14ac:dyDescent="0.25">
      <c r="A38" s="232" t="str">
        <f>IFERROR(IF(HLOOKUP($L$7,RangeTeachingAreas,M38,FALSE)=0,"",HLOOKUP($L$7,RangeTeachingAreas,M38,FALSE)),"")</f>
        <v/>
      </c>
      <c r="B38" s="206" t="str">
        <f>IFERROR(IF(VLOOKUP($A38,TableHandbook[],2,FALSE)=0,"",VLOOKUP($A38,TableHandbook[],2,FALSE)),"")</f>
        <v/>
      </c>
      <c r="C38" s="305" t="str">
        <f>IFERROR(IF(VLOOKUP($A38,TableHandbook[],3,FALSE)=0,"",VLOOKUP($A38,TableHandbook[],3,FALSE)),"")</f>
        <v/>
      </c>
      <c r="D38" s="207" t="str">
        <f>IFERROR(IF(VLOOKUP($A38,TableHandbook[],4,FALSE)=0,"",VLOOKUP($A38,TableHandbook[],4,FALSE)),"")</f>
        <v/>
      </c>
      <c r="E38" s="208"/>
      <c r="F38" s="209" t="str">
        <f>IFERROR(IF(VLOOKUP($A38,TableHandbook[],6,FALSE)=0,"",VLOOKUP($A38,TableHandbook[],6,FALSE)),"")</f>
        <v/>
      </c>
      <c r="G38" s="209" t="str">
        <f>IFERROR(IF(VLOOKUP($A38,TableHandbook[],5,FALSE)=0,"",VLOOKUP($A38,TableHandbook[],5,FALSE)),"")</f>
        <v/>
      </c>
      <c r="H38" s="210" t="str">
        <f>IFERROR(VLOOKUP($A38,TableHandbook[],H$2,FALSE),"")</f>
        <v/>
      </c>
      <c r="I38" s="211" t="str">
        <f>IFERROR(VLOOKUP($A38,TableHandbook[],I$2,FALSE),"")</f>
        <v/>
      </c>
      <c r="J38" s="211" t="str">
        <f>IFERROR(VLOOKUP($A38,TableHandbook[],J$2,FALSE),"")</f>
        <v/>
      </c>
      <c r="K38" s="212" t="str">
        <f>IFERROR(VLOOKUP($A38,TableHandbook[],K$2,FALSE),"")</f>
        <v/>
      </c>
      <c r="L38" s="213"/>
      <c r="M38" s="214">
        <v>2</v>
      </c>
      <c r="N38" s="23"/>
      <c r="O38" s="23"/>
      <c r="P38" s="23"/>
      <c r="Q38" s="23"/>
      <c r="R38" s="23"/>
      <c r="S38" s="23"/>
      <c r="T38" s="23"/>
      <c r="U38" s="23"/>
      <c r="V38" s="23"/>
      <c r="W38" s="23"/>
    </row>
    <row r="39" spans="1:23" ht="21" customHeight="1" x14ac:dyDescent="0.25">
      <c r="A39" s="233" t="str">
        <f>IFERROR(IF(HLOOKUP($L$7,RangeTeachingAreas,M39,FALSE)=0,"",HLOOKUP($L$7,RangeTeachingAreas,M39,FALSE)),"")</f>
        <v/>
      </c>
      <c r="B39" s="50" t="str">
        <f>IFERROR(IF(VLOOKUP($A39,TableHandbook[],2,FALSE)=0,"",VLOOKUP($A39,TableHandbook[],2,FALSE)),"")</f>
        <v/>
      </c>
      <c r="C39" s="295" t="str">
        <f>IFERROR(IF(VLOOKUP($A39,TableHandbook[],3,FALSE)=0,"",VLOOKUP($A39,TableHandbook[],3,FALSE)),"")</f>
        <v/>
      </c>
      <c r="D39" s="51" t="str">
        <f>IFERROR(IF(VLOOKUP($A39,TableHandbook[],4,FALSE)=0,"",VLOOKUP($A39,TableHandbook[],4,FALSE)),"")</f>
        <v/>
      </c>
      <c r="E39" s="52"/>
      <c r="F39" s="53" t="str">
        <f>IFERROR(IF(VLOOKUP($A39,TableHandbook[],6,FALSE)=0,"",VLOOKUP($A39,TableHandbook[],6,FALSE)),"")</f>
        <v/>
      </c>
      <c r="G39" s="53" t="str">
        <f>IFERROR(IF(VLOOKUP($A39,TableHandbook[],5,FALSE)=0,"",VLOOKUP($A39,TableHandbook[],5,FALSE)),"")</f>
        <v/>
      </c>
      <c r="H39" s="68" t="str">
        <f>IFERROR(VLOOKUP($A39,TableHandbook[],H$2,FALSE),"")</f>
        <v/>
      </c>
      <c r="I39" s="58" t="str">
        <f>IFERROR(VLOOKUP($A39,TableHandbook[],I$2,FALSE),"")</f>
        <v/>
      </c>
      <c r="J39" s="58" t="str">
        <f>IFERROR(VLOOKUP($A39,TableHandbook[],J$2,FALSE),"")</f>
        <v/>
      </c>
      <c r="K39" s="69" t="str">
        <f>IFERROR(VLOOKUP($A39,TableHandbook[],K$2,FALSE),"")</f>
        <v/>
      </c>
      <c r="L39" s="59"/>
      <c r="M39" s="74">
        <v>3</v>
      </c>
      <c r="N39" s="23"/>
      <c r="O39" s="23"/>
      <c r="P39" s="23"/>
      <c r="Q39" s="23"/>
      <c r="R39" s="23"/>
      <c r="S39" s="23"/>
      <c r="T39" s="23"/>
      <c r="U39" s="23"/>
      <c r="V39" s="23"/>
      <c r="W39" s="23"/>
    </row>
    <row r="40" spans="1:23" ht="21" customHeight="1" x14ac:dyDescent="0.25">
      <c r="A40" s="233" t="str">
        <f>IFERROR(IF(HLOOKUP($L$7,RangeTeachingAreas,M40,FALSE)=0,"",HLOOKUP($L$7,RangeTeachingAreas,M40,FALSE)),"")</f>
        <v/>
      </c>
      <c r="B40" s="50" t="str">
        <f>IFERROR(IF(VLOOKUP($A40,TableHandbook[],2,FALSE)=0,"",VLOOKUP($A40,TableHandbook[],2,FALSE)),"")</f>
        <v/>
      </c>
      <c r="C40" s="295" t="str">
        <f>IFERROR(IF(VLOOKUP($A40,TableHandbook[],3,FALSE)=0,"",VLOOKUP($A40,TableHandbook[],3,FALSE)),"")</f>
        <v/>
      </c>
      <c r="D40" s="51" t="str">
        <f>IFERROR(IF(VLOOKUP($A40,TableHandbook[],4,FALSE)=0,"",VLOOKUP($A40,TableHandbook[],4,FALSE)),"")</f>
        <v/>
      </c>
      <c r="E40" s="52"/>
      <c r="F40" s="53" t="str">
        <f>IFERROR(IF(VLOOKUP($A40,TableHandbook[],6,FALSE)=0,"",VLOOKUP($A40,TableHandbook[],6,FALSE)),"")</f>
        <v/>
      </c>
      <c r="G40" s="53" t="str">
        <f>IFERROR(IF(VLOOKUP($A40,TableHandbook[],5,FALSE)=0,"",VLOOKUP($A40,TableHandbook[],5,FALSE)),"")</f>
        <v/>
      </c>
      <c r="H40" s="68" t="str">
        <f>IFERROR(VLOOKUP($A40,TableHandbook[],H$2,FALSE),"")</f>
        <v/>
      </c>
      <c r="I40" s="58" t="str">
        <f>IFERROR(VLOOKUP($A40,TableHandbook[],I$2,FALSE),"")</f>
        <v/>
      </c>
      <c r="J40" s="58" t="str">
        <f>IFERROR(VLOOKUP($A40,TableHandbook[],J$2,FALSE),"")</f>
        <v/>
      </c>
      <c r="K40" s="69" t="str">
        <f>IFERROR(VLOOKUP($A40,TableHandbook[],K$2,FALSE),"")</f>
        <v/>
      </c>
      <c r="L40" s="59"/>
      <c r="M40" s="74">
        <v>4</v>
      </c>
      <c r="N40" s="23"/>
      <c r="O40" s="23"/>
      <c r="P40" s="23"/>
      <c r="Q40" s="23"/>
      <c r="R40" s="23"/>
      <c r="S40" s="23"/>
      <c r="T40" s="23"/>
      <c r="U40" s="23"/>
      <c r="V40" s="23"/>
      <c r="W40" s="23"/>
    </row>
    <row r="41" spans="1:23" ht="21" customHeight="1" x14ac:dyDescent="0.25">
      <c r="A41" s="233"/>
      <c r="B41" s="50"/>
      <c r="C41" s="295"/>
      <c r="D41" s="51"/>
      <c r="E41" s="52"/>
      <c r="F41" s="53"/>
      <c r="G41" s="53"/>
      <c r="H41" s="68"/>
      <c r="I41" s="58"/>
      <c r="J41" s="58"/>
      <c r="K41" s="69"/>
      <c r="L41" s="59"/>
      <c r="M41" s="74"/>
      <c r="N41" s="23"/>
      <c r="O41" s="23"/>
      <c r="P41" s="23"/>
      <c r="Q41" s="23"/>
      <c r="R41" s="23"/>
      <c r="S41" s="23"/>
      <c r="T41" s="23"/>
      <c r="U41" s="23"/>
      <c r="V41" s="23"/>
      <c r="W41" s="23"/>
    </row>
    <row r="42" spans="1:23" ht="21" customHeight="1" x14ac:dyDescent="0.25">
      <c r="A42" s="234" t="str">
        <f>IFERROR(IF(HLOOKUP($L$7,RangeTeachingAreas,M42,FALSE)=0,"",HLOOKUP($L$7,RangeTeachingAreas,M42,FALSE)),"")</f>
        <v/>
      </c>
      <c r="B42" s="215" t="str">
        <f>IFERROR(IF(VLOOKUP($A42,TableHandbook[],2,FALSE)=0,"",VLOOKUP($A42,TableHandbook[],2,FALSE)),"")</f>
        <v/>
      </c>
      <c r="C42" s="308" t="str">
        <f>IFERROR(IF(VLOOKUP($A42,TableHandbook[],3,FALSE)=0,"",VLOOKUP($A42,TableHandbook[],3,FALSE)),"")</f>
        <v/>
      </c>
      <c r="D42" s="216" t="str">
        <f>IFERROR(IF(VLOOKUP($A42,TableHandbook[],4,FALSE)=0,"",VLOOKUP($A42,TableHandbook[],4,FALSE)),"")</f>
        <v/>
      </c>
      <c r="E42" s="217"/>
      <c r="F42" s="218" t="str">
        <f>IFERROR(IF(VLOOKUP($A42,TableHandbook[],6,FALSE)=0,"",VLOOKUP($A42,TableHandbook[],6,FALSE)),"")</f>
        <v/>
      </c>
      <c r="G42" s="218" t="str">
        <f>IFERROR(IF(VLOOKUP($A42,TableHandbook[],5,FALSE)=0,"",VLOOKUP($A42,TableHandbook[],5,FALSE)),"")</f>
        <v/>
      </c>
      <c r="H42" s="219" t="str">
        <f>IFERROR(VLOOKUP($A42,TableHandbook[],H$2,FALSE),"")</f>
        <v/>
      </c>
      <c r="I42" s="220" t="str">
        <f>IFERROR(VLOOKUP($A42,TableHandbook[],I$2,FALSE),"")</f>
        <v/>
      </c>
      <c r="J42" s="220" t="str">
        <f>IFERROR(VLOOKUP($A42,TableHandbook[],J$2,FALSE),"")</f>
        <v/>
      </c>
      <c r="K42" s="221" t="str">
        <f>IFERROR(VLOOKUP($A42,TableHandbook[],K$2,FALSE),"")</f>
        <v/>
      </c>
      <c r="L42" s="222"/>
      <c r="M42" s="223">
        <v>5</v>
      </c>
      <c r="N42" s="23"/>
      <c r="O42" s="23"/>
      <c r="P42" s="23"/>
      <c r="Q42" s="23"/>
      <c r="R42" s="23"/>
      <c r="S42" s="23"/>
      <c r="T42" s="23"/>
      <c r="U42" s="23"/>
      <c r="V42" s="23"/>
      <c r="W42" s="23"/>
    </row>
    <row r="43" spans="1:23" ht="21" customHeight="1" x14ac:dyDescent="0.25">
      <c r="A43" s="233" t="str">
        <f>IFERROR(IF(HLOOKUP($L$8,RangeTeachingAreas,M43,FALSE)=0,"",HLOOKUP($L$8,RangeTeachingAreas,M43,FALSE)),"")</f>
        <v/>
      </c>
      <c r="B43" s="50" t="str">
        <f>IFERROR(IF(VLOOKUP($A43,TableHandbook[],2,FALSE)=0,"",VLOOKUP($A43,TableHandbook[],2,FALSE)),"")</f>
        <v/>
      </c>
      <c r="C43" s="295" t="str">
        <f>IFERROR(IF(VLOOKUP($A43,TableHandbook[],3,FALSE)=0,"",VLOOKUP($A43,TableHandbook[],3,FALSE)),"")</f>
        <v/>
      </c>
      <c r="D43" s="51" t="str">
        <f>IFERROR(IF(VLOOKUP($A43,TableHandbook[],4,FALSE)=0,"",VLOOKUP($A43,TableHandbook[],4,FALSE)),"")</f>
        <v/>
      </c>
      <c r="E43" s="52"/>
      <c r="F43" s="53" t="str">
        <f>IFERROR(IF(VLOOKUP($A43,TableHandbook[],6,FALSE)=0,"",VLOOKUP($A43,TableHandbook[],6,FALSE)),"")</f>
        <v/>
      </c>
      <c r="G43" s="53" t="str">
        <f>IFERROR(IF(VLOOKUP($A43,TableHandbook[],5,FALSE)=0,"",VLOOKUP($A43,TableHandbook[],5,FALSE)),"")</f>
        <v/>
      </c>
      <c r="H43" s="68" t="str">
        <f>IFERROR(VLOOKUP($A43,TableHandbook[],H$2,FALSE),"")</f>
        <v/>
      </c>
      <c r="I43" s="58" t="str">
        <f>IFERROR(VLOOKUP($A43,TableHandbook[],I$2,FALSE),"")</f>
        <v/>
      </c>
      <c r="J43" s="58" t="str">
        <f>IFERROR(VLOOKUP($A43,TableHandbook[],J$2,FALSE),"")</f>
        <v/>
      </c>
      <c r="K43" s="69" t="str">
        <f>IFERROR(VLOOKUP($A43,TableHandbook[],K$2,FALSE),"")</f>
        <v/>
      </c>
      <c r="L43" s="59"/>
      <c r="M43" s="74">
        <v>6</v>
      </c>
      <c r="N43" s="23"/>
      <c r="O43" s="23"/>
      <c r="P43" s="23"/>
      <c r="Q43" s="23"/>
      <c r="R43" s="23"/>
      <c r="S43" s="23"/>
      <c r="T43" s="23"/>
      <c r="U43" s="23"/>
      <c r="V43" s="23"/>
      <c r="W43" s="23"/>
    </row>
    <row r="44" spans="1:23" ht="21" customHeight="1" x14ac:dyDescent="0.25">
      <c r="A44" s="233" t="str">
        <f>IFERROR(IF(HLOOKUP($L$8,RangeTeachingAreas,M44,FALSE)=0,"",HLOOKUP($L$8,RangeTeachingAreas,M44,FALSE)),"")</f>
        <v/>
      </c>
      <c r="B44" s="50" t="str">
        <f>IFERROR(IF(VLOOKUP($A44,TableHandbook[],2,FALSE)=0,"",VLOOKUP($A44,TableHandbook[],2,FALSE)),"")</f>
        <v/>
      </c>
      <c r="C44" s="295" t="str">
        <f>IFERROR(IF(VLOOKUP($A44,TableHandbook[],3,FALSE)=0,"",VLOOKUP($A44,TableHandbook[],3,FALSE)),"")</f>
        <v/>
      </c>
      <c r="D44" s="51" t="str">
        <f>IFERROR(IF(VLOOKUP($A44,TableHandbook[],4,FALSE)=0,"",VLOOKUP($A44,TableHandbook[],4,FALSE)),"")</f>
        <v/>
      </c>
      <c r="E44" s="52"/>
      <c r="F44" s="53" t="str">
        <f>IFERROR(IF(VLOOKUP($A44,TableHandbook[],6,FALSE)=0,"",VLOOKUP($A44,TableHandbook[],6,FALSE)),"")</f>
        <v/>
      </c>
      <c r="G44" s="53" t="str">
        <f>IFERROR(IF(VLOOKUP($A44,TableHandbook[],5,FALSE)=0,"",VLOOKUP($A44,TableHandbook[],5,FALSE)),"")</f>
        <v/>
      </c>
      <c r="H44" s="68" t="str">
        <f>IFERROR(VLOOKUP($A44,TableHandbook[],H$2,FALSE),"")</f>
        <v/>
      </c>
      <c r="I44" s="58" t="str">
        <f>IFERROR(VLOOKUP($A44,TableHandbook[],I$2,FALSE),"")</f>
        <v/>
      </c>
      <c r="J44" s="58" t="str">
        <f>IFERROR(VLOOKUP($A44,TableHandbook[],J$2,FALSE),"")</f>
        <v/>
      </c>
      <c r="K44" s="69" t="str">
        <f>IFERROR(VLOOKUP($A44,TableHandbook[],K$2,FALSE),"")</f>
        <v/>
      </c>
      <c r="L44" s="59"/>
      <c r="M44" s="74">
        <v>7</v>
      </c>
      <c r="N44" s="23"/>
      <c r="O44" s="23"/>
      <c r="P44" s="23"/>
      <c r="Q44" s="23"/>
      <c r="R44" s="23"/>
      <c r="S44" s="23"/>
      <c r="T44" s="23"/>
      <c r="U44" s="23"/>
      <c r="V44" s="23"/>
      <c r="W44" s="23"/>
    </row>
    <row r="45" spans="1:23" ht="21" customHeight="1" x14ac:dyDescent="0.25">
      <c r="A45" s="254"/>
      <c r="B45" s="255"/>
      <c r="C45" s="256"/>
      <c r="D45" s="256"/>
      <c r="E45" s="257"/>
      <c r="F45" s="258"/>
      <c r="G45" s="258"/>
      <c r="H45" s="235"/>
      <c r="I45" s="235"/>
      <c r="J45" s="235"/>
      <c r="K45" s="235"/>
      <c r="L45" s="236"/>
      <c r="M45" s="74"/>
      <c r="N45" s="23"/>
      <c r="O45" s="23"/>
      <c r="P45" s="23"/>
      <c r="Q45" s="23"/>
      <c r="R45" s="23"/>
      <c r="S45" s="23"/>
      <c r="T45" s="23"/>
      <c r="U45" s="23"/>
      <c r="V45" s="23"/>
      <c r="W45" s="23"/>
    </row>
    <row r="46" spans="1:23" s="23" customFormat="1" ht="18" x14ac:dyDescent="0.25">
      <c r="A46" s="75" t="s">
        <v>32</v>
      </c>
      <c r="B46" s="75"/>
      <c r="C46" s="75"/>
      <c r="D46" s="75"/>
      <c r="E46" s="75"/>
      <c r="F46" s="75"/>
      <c r="G46" s="75"/>
      <c r="H46" s="75"/>
      <c r="I46" s="75"/>
      <c r="J46" s="75"/>
      <c r="K46" s="75"/>
      <c r="L46" s="75"/>
    </row>
    <row r="47" spans="1:23" s="45" customFormat="1" ht="17.25" x14ac:dyDescent="0.2">
      <c r="A47" s="39" t="s">
        <v>33</v>
      </c>
      <c r="B47" s="39"/>
      <c r="C47" s="39"/>
      <c r="D47" s="40"/>
      <c r="E47" s="40"/>
      <c r="F47" s="40"/>
      <c r="G47" s="40"/>
      <c r="H47" s="40"/>
      <c r="I47" s="40"/>
      <c r="J47" s="40"/>
      <c r="K47" s="40"/>
      <c r="L47" s="40"/>
      <c r="M47" s="43"/>
      <c r="N47" s="43"/>
      <c r="O47" s="43"/>
      <c r="P47" s="44"/>
      <c r="Q47" s="44"/>
      <c r="R47" s="44"/>
      <c r="S47" s="44"/>
      <c r="T47" s="44"/>
      <c r="U47" s="44"/>
      <c r="V47" s="44"/>
      <c r="W47" s="44"/>
    </row>
    <row r="48" spans="1:23" x14ac:dyDescent="0.25">
      <c r="A48" s="41" t="s">
        <v>34</v>
      </c>
      <c r="B48" s="41"/>
      <c r="C48" s="41"/>
      <c r="D48" s="41"/>
      <c r="E48" s="54"/>
      <c r="F48" s="42"/>
      <c r="G48" s="55"/>
      <c r="H48" s="55"/>
      <c r="I48" s="55"/>
      <c r="J48" s="55"/>
      <c r="K48" s="55"/>
      <c r="L48" s="55" t="s">
        <v>35</v>
      </c>
    </row>
  </sheetData>
  <sheetProtection formatCells="0"/>
  <mergeCells count="1">
    <mergeCell ref="A3:D3"/>
  </mergeCells>
  <conditionalFormatting sqref="A12:M34">
    <cfRule type="expression" dxfId="298" priority="1">
      <formula>LEFT($A12,3)="STA"</formula>
    </cfRule>
    <cfRule type="expression" dxfId="297" priority="2">
      <formula>LEFT($A12,3)="FTA"</formula>
    </cfRule>
  </conditionalFormatting>
  <conditionalFormatting sqref="D5:D9">
    <cfRule type="containsText" dxfId="296" priority="3" operator="containsText" text="Choose">
      <formula>NOT(ISERROR(SEARCH("Choose",D5)))</formula>
    </cfRule>
  </conditionalFormatting>
  <dataValidations count="2">
    <dataValidation type="list" allowBlank="1" showInputMessage="1" showErrorMessage="1" sqref="L29 L17 L14 L20 L26 L32"/>
    <dataValidation type="list" showInputMessage="1" showErrorMessage="1" sqref="D8">
      <formula1>INDIRECT($L$7)</formula1>
    </dataValidation>
  </dataValidations>
  <hyperlinks>
    <hyperlink ref="A47:L4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5" orientation="portrait" r:id="rId2"/>
  <rowBreaks count="1" manualBreakCount="1">
    <brk id="34" max="11"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Unitsets!$A$22:$A$26</xm:f>
          </x14:formula1>
          <xm:sqref>D9</xm:sqref>
        </x14:dataValidation>
        <x14:dataValidation type="list" showInputMessage="1" showErrorMessage="1">
          <x14:formula1>
            <xm:f>'Unitsets OM-Teach Sec'!$E$5:$E$11</xm:f>
          </x14:formula1>
          <xm:sqref>D7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P24"/>
  <sheetViews>
    <sheetView showGridLines="0" tabSelected="1" topLeftCell="A3" workbookViewId="0">
      <selection activeCell="A3" sqref="A3:D3"/>
    </sheetView>
  </sheetViews>
  <sheetFormatPr defaultColWidth="9" defaultRowHeight="15" x14ac:dyDescent="0.25"/>
  <cols>
    <col min="1" max="1" width="8.5" style="333" customWidth="1"/>
    <col min="2" max="2" width="3.25" style="333" customWidth="1"/>
    <col min="3" max="3" width="10.375" style="333" customWidth="1"/>
    <col min="4" max="4" width="48.25" style="323" customWidth="1"/>
    <col min="5" max="5" width="8.75" style="323" customWidth="1"/>
    <col min="6" max="6" width="18.125" style="323" customWidth="1"/>
    <col min="7" max="7" width="5.625" style="323" customWidth="1"/>
    <col min="8" max="11" width="3.875" style="323" customWidth="1"/>
    <col min="12" max="12" width="15.625" style="323" customWidth="1"/>
    <col min="13" max="13" width="2.5" style="323" hidden="1" customWidth="1"/>
    <col min="14" max="16384" width="9" style="323"/>
  </cols>
  <sheetData>
    <row r="1" spans="1:16" hidden="1" x14ac:dyDescent="0.25">
      <c r="A1" s="319" t="s">
        <v>0</v>
      </c>
      <c r="B1" s="320" t="s">
        <v>1</v>
      </c>
      <c r="C1" s="320" t="s">
        <v>2</v>
      </c>
      <c r="D1" s="321" t="s">
        <v>3</v>
      </c>
      <c r="E1" s="321"/>
      <c r="F1" s="321" t="s">
        <v>4</v>
      </c>
      <c r="G1" s="321" t="s">
        <v>5</v>
      </c>
      <c r="H1" s="322" t="s">
        <v>6</v>
      </c>
      <c r="I1" s="322"/>
      <c r="J1" s="321"/>
      <c r="K1" s="321"/>
      <c r="L1" s="321" t="s">
        <v>7</v>
      </c>
    </row>
    <row r="2" spans="1:16" hidden="1" x14ac:dyDescent="0.25">
      <c r="A2" s="324"/>
      <c r="B2" s="325">
        <v>2</v>
      </c>
      <c r="C2" s="325">
        <v>3</v>
      </c>
      <c r="D2" s="325">
        <v>4</v>
      </c>
      <c r="E2" s="325"/>
      <c r="F2" s="325">
        <v>6</v>
      </c>
      <c r="G2" s="325">
        <v>5</v>
      </c>
      <c r="H2" s="325">
        <v>7</v>
      </c>
      <c r="I2" s="325">
        <v>8</v>
      </c>
      <c r="J2" s="325">
        <v>9</v>
      </c>
      <c r="K2" s="325">
        <v>10</v>
      </c>
      <c r="L2" s="326"/>
    </row>
    <row r="3" spans="1:16" ht="39.950000000000003" customHeight="1" x14ac:dyDescent="0.25">
      <c r="A3" s="429" t="s">
        <v>8</v>
      </c>
      <c r="B3" s="429"/>
      <c r="C3" s="429"/>
      <c r="D3" s="429"/>
      <c r="E3" s="327"/>
      <c r="F3" s="327"/>
      <c r="G3" s="327"/>
      <c r="H3" s="327"/>
      <c r="I3" s="327"/>
      <c r="J3" s="327"/>
      <c r="K3" s="327"/>
      <c r="L3" s="327"/>
    </row>
    <row r="4" spans="1:16" ht="25.5" x14ac:dyDescent="0.25">
      <c r="A4" s="328"/>
      <c r="B4" s="329"/>
      <c r="C4" s="329"/>
      <c r="D4" s="330" t="s">
        <v>9</v>
      </c>
      <c r="E4" s="331"/>
      <c r="F4" s="329"/>
      <c r="G4" s="332"/>
      <c r="H4" s="332"/>
      <c r="I4" s="332"/>
      <c r="J4" s="332"/>
      <c r="K4" s="332"/>
      <c r="L4" s="332"/>
    </row>
    <row r="5" spans="1:16" ht="20.100000000000001" customHeight="1" x14ac:dyDescent="0.25">
      <c r="B5" s="334"/>
      <c r="C5" s="335" t="s">
        <v>10</v>
      </c>
      <c r="D5" s="437" t="s">
        <v>113</v>
      </c>
      <c r="E5" s="337"/>
      <c r="F5" s="334" t="s">
        <v>12</v>
      </c>
      <c r="G5" s="338" t="str">
        <f>IFERROR(CONCATENATE(VLOOKUP(D5,TableCourses[],2,FALSE)," ",VLOOKUP(D5,TableCourses[],3,FALSE)),"")</f>
        <v>OG-EDUC v.1</v>
      </c>
      <c r="H5" s="337"/>
      <c r="I5" s="337"/>
      <c r="J5" s="337"/>
      <c r="K5" s="337"/>
      <c r="L5" s="339"/>
    </row>
    <row r="6" spans="1:16" ht="20.100000000000001" customHeight="1" x14ac:dyDescent="0.25">
      <c r="B6" s="334"/>
      <c r="C6" s="335" t="s">
        <v>13</v>
      </c>
      <c r="D6" s="336" t="s">
        <v>188</v>
      </c>
      <c r="E6" s="337"/>
      <c r="F6" s="334" t="s">
        <v>15</v>
      </c>
      <c r="G6" s="337" t="str">
        <f>IFERROR(CONCATENATE(VLOOKUP(D6,TableMajorsGradDip[],2,FALSE)," ",VLOOKUP(D6,TableMajorsGradDip[],3,FALSE)),"")</f>
        <v>OUMP-EDUPR v.1</v>
      </c>
      <c r="H6" s="337"/>
      <c r="I6" s="337"/>
      <c r="J6" s="337"/>
      <c r="K6" s="337"/>
      <c r="L6" s="340" t="str">
        <f>CONCATENATE(VLOOKUP(D6,TableMajorsGradDip[],2,FALSE),VLOOKUP(D7,TableStudyPeriods[],2,FALSE))</f>
        <v>OUMP-EDUPRSP1</v>
      </c>
    </row>
    <row r="7" spans="1:16" ht="20.100000000000001" customHeight="1" x14ac:dyDescent="0.25">
      <c r="A7" s="341"/>
      <c r="B7" s="342"/>
      <c r="C7" s="335" t="s">
        <v>16</v>
      </c>
      <c r="D7" s="343" t="s">
        <v>140</v>
      </c>
      <c r="E7" s="344"/>
      <c r="F7" s="334" t="s">
        <v>18</v>
      </c>
      <c r="G7" s="337" t="str">
        <f>IFERROR(VLOOKUP($D$5,TableCourses[],4,FALSE),"")</f>
        <v>200 credit points required</v>
      </c>
      <c r="H7" s="345"/>
      <c r="I7" s="345"/>
      <c r="J7" s="345"/>
      <c r="K7" s="345"/>
      <c r="L7" s="345"/>
    </row>
    <row r="8" spans="1:16" s="353" customFormat="1" ht="14.1" customHeight="1" x14ac:dyDescent="0.25">
      <c r="A8" s="346"/>
      <c r="B8" s="346"/>
      <c r="C8" s="346"/>
      <c r="D8" s="347"/>
      <c r="E8" s="348"/>
      <c r="F8" s="346"/>
      <c r="G8" s="346"/>
      <c r="H8" s="349" t="s">
        <v>19</v>
      </c>
      <c r="I8" s="350"/>
      <c r="J8" s="350"/>
      <c r="K8" s="351"/>
      <c r="L8" s="348"/>
      <c r="M8" s="352"/>
      <c r="N8" s="352"/>
      <c r="O8" s="352"/>
    </row>
    <row r="9" spans="1:16" s="353" customFormat="1" ht="21" x14ac:dyDescent="0.25">
      <c r="A9" s="346" t="s">
        <v>20</v>
      </c>
      <c r="B9" s="346"/>
      <c r="C9" s="354" t="s">
        <v>21</v>
      </c>
      <c r="D9" s="347" t="s">
        <v>3</v>
      </c>
      <c r="E9" s="354" t="s">
        <v>22</v>
      </c>
      <c r="F9" s="346" t="s">
        <v>23</v>
      </c>
      <c r="G9" s="346" t="s">
        <v>24</v>
      </c>
      <c r="H9" s="355" t="s">
        <v>25</v>
      </c>
      <c r="I9" s="356" t="s">
        <v>26</v>
      </c>
      <c r="J9" s="356" t="s">
        <v>27</v>
      </c>
      <c r="K9" s="357" t="s">
        <v>28</v>
      </c>
      <c r="L9" s="346" t="s">
        <v>29</v>
      </c>
      <c r="M9" s="352"/>
      <c r="N9" s="352"/>
      <c r="O9" s="352"/>
    </row>
    <row r="10" spans="1:16" s="366" customFormat="1" ht="21" customHeight="1" x14ac:dyDescent="0.15">
      <c r="A10" s="430" t="str">
        <f>IFERROR(IF(HLOOKUP($L$6,RangeUnitsetsOGEDUC,M10,FALSE)=0,"",HLOOKUP($L$6,RangeUnitsetsOGEDUC,M10,FALSE)),"")</f>
        <v>EDPR5011</v>
      </c>
      <c r="B10" s="412">
        <f>IFERROR(IF(VLOOKUP($A10,TableHandbook[],2,FALSE)=0,"",VLOOKUP($A10,TableHandbook[],2,FALSE)),"")</f>
        <v>3</v>
      </c>
      <c r="C10" s="412" t="str">
        <f>IFERROR(IF(VLOOKUP($A10,TableHandbook[],3,FALSE)=0,"",VLOOKUP($A10,TableHandbook[],3,FALSE)),"")</f>
        <v>MTP502</v>
      </c>
      <c r="D10" s="431" t="str">
        <f>IFERROR(IF(VLOOKUP($A10,TableHandbook[],4,FALSE)=0,"",VLOOKUP($A10,TableHandbook[],4,FALSE)),"")</f>
        <v>Primary Professional Experience 1: Planning for Writing</v>
      </c>
      <c r="E10" s="412" t="str">
        <f>IF(OR(A10="",A10="--"),"",VLOOKUP($D$7,TableStudyPeriods[],2,FALSE))</f>
        <v>SP1</v>
      </c>
      <c r="F10" s="432" t="str">
        <f>IFERROR(IF(VLOOKUP($A10,TableHandbook[],6,FALSE)=0,"",VLOOKUP($A10,TableHandbook[],6,FALSE)),"")</f>
        <v>Nil</v>
      </c>
      <c r="G10" s="412">
        <f>IFERROR(IF(VLOOKUP($A10,TableHandbook[],5,FALSE)=0,"",VLOOKUP($A10,TableHandbook[],5,FALSE)),"")</f>
        <v>25</v>
      </c>
      <c r="H10" s="411" t="str">
        <f>IFERROR(VLOOKUP($A10,TableHandbook[],H$2,FALSE),"")</f>
        <v>Y</v>
      </c>
      <c r="I10" s="412" t="str">
        <f>IFERROR(VLOOKUP($A10,TableHandbook[],I$2,FALSE),"")</f>
        <v>Y</v>
      </c>
      <c r="J10" s="412" t="str">
        <f>IFERROR(VLOOKUP($A10,TableHandbook[],J$2,FALSE),"")</f>
        <v/>
      </c>
      <c r="K10" s="413" t="str">
        <f>IFERROR(VLOOKUP($A10,TableHandbook[],K$2,FALSE),"")</f>
        <v/>
      </c>
      <c r="L10" s="66"/>
      <c r="M10" s="364">
        <v>2</v>
      </c>
      <c r="N10" s="365"/>
      <c r="O10" s="365"/>
    </row>
    <row r="11" spans="1:16" s="366" customFormat="1" ht="21" customHeight="1" x14ac:dyDescent="0.15">
      <c r="A11" s="430" t="str">
        <f>IFERROR(IF(HLOOKUP($L$6,RangeUnitsetsOGEDUC,M11,FALSE)=0,"",HLOOKUP($L$6,RangeUnitsetsOGEDUC,M11,FALSE)),"")</f>
        <v>EDUC5012</v>
      </c>
      <c r="B11" s="412">
        <f>IFERROR(IF(VLOOKUP($A11,TableHandbook[],2,FALSE)=0,"",VLOOKUP($A11,TableHandbook[],2,FALSE)),"")</f>
        <v>2</v>
      </c>
      <c r="C11" s="412" t="str">
        <f>IFERROR(IF(VLOOKUP($A11,TableHandbook[],3,FALSE)=0,"",VLOOKUP($A11,TableHandbook[],3,FALSE)),"")</f>
        <v>MTPS500</v>
      </c>
      <c r="D11" s="431" t="str">
        <f>IFERROR(IF(VLOOKUP($A11,TableHandbook[],4,FALSE)=0,"",VLOOKUP($A11,TableHandbook[],4,FALSE)),"")</f>
        <v>Theories of Development and Learning</v>
      </c>
      <c r="E11" s="412" t="str">
        <f>IF(A11="","",E10)</f>
        <v>SP1</v>
      </c>
      <c r="F11" s="432" t="str">
        <f>IFERROR(IF(VLOOKUP($A11,TableHandbook[],6,FALSE)=0,"",VLOOKUP($A11,TableHandbook[],6,FALSE)),"")</f>
        <v>Nil</v>
      </c>
      <c r="G11" s="412">
        <f>IFERROR(IF(VLOOKUP($A11,TableHandbook[],5,FALSE)=0,"",VLOOKUP($A11,TableHandbook[],5,FALSE)),"")</f>
        <v>25</v>
      </c>
      <c r="H11" s="411" t="str">
        <f>IFERROR(VLOOKUP($A11,TableHandbook[],H$2,FALSE),"")</f>
        <v>Y</v>
      </c>
      <c r="I11" s="412" t="str">
        <f>IFERROR(VLOOKUP($A11,TableHandbook[],I$2,FALSE),"")</f>
        <v/>
      </c>
      <c r="J11" s="412" t="str">
        <f>IFERROR(VLOOKUP($A11,TableHandbook[],J$2,FALSE),"")</f>
        <v>Y</v>
      </c>
      <c r="K11" s="413" t="str">
        <f>IFERROR(VLOOKUP($A11,TableHandbook[],K$2,FALSE),"")</f>
        <v/>
      </c>
      <c r="L11" s="66"/>
      <c r="M11" s="364">
        <v>3</v>
      </c>
      <c r="N11" s="365"/>
      <c r="O11" s="365"/>
    </row>
    <row r="12" spans="1:16" s="366" customFormat="1" ht="6" customHeight="1" x14ac:dyDescent="0.15">
      <c r="A12" s="367"/>
      <c r="B12" s="368"/>
      <c r="C12" s="368"/>
      <c r="D12" s="369"/>
      <c r="E12" s="368"/>
      <c r="F12" s="370"/>
      <c r="G12" s="368"/>
      <c r="H12" s="371"/>
      <c r="I12" s="372"/>
      <c r="J12" s="372"/>
      <c r="K12" s="373"/>
      <c r="L12" s="291"/>
      <c r="M12" s="364"/>
      <c r="N12" s="365"/>
      <c r="O12" s="365"/>
      <c r="P12" s="365"/>
    </row>
    <row r="13" spans="1:16" s="366" customFormat="1" ht="21" customHeight="1" x14ac:dyDescent="0.15">
      <c r="A13" s="430" t="str">
        <f>IFERROR(IF(HLOOKUP($L$6,RangeUnitsetsOGEDUC,M13,FALSE)=0,"",HLOOKUP($L$6,RangeUnitsetsOGEDUC,M13,FALSE)),"")</f>
        <v>EDPR5012</v>
      </c>
      <c r="B13" s="412">
        <f>IFERROR(IF(VLOOKUP($A13,TableHandbook[],2,FALSE)=0,"",VLOOKUP($A13,TableHandbook[],2,FALSE)),"")</f>
        <v>1</v>
      </c>
      <c r="C13" s="412" t="str">
        <f>IFERROR(IF(VLOOKUP($A13,TableHandbook[],3,FALSE)=0,"",VLOOKUP($A13,TableHandbook[],3,FALSE)),"")</f>
        <v>MTP505</v>
      </c>
      <c r="D13" s="431" t="str">
        <f>IFERROR(IF(VLOOKUP($A13,TableHandbook[],4,FALSE)=0,"",VLOOKUP($A13,TableHandbook[],4,FALSE)),"")</f>
        <v>Teaching Science in the Primary Years</v>
      </c>
      <c r="E13" s="412" t="str">
        <f>IF(OR(A13="",A13="--"),"",VLOOKUP($D$7,TableStudyPeriods[],3,FALSE))</f>
        <v>SP2</v>
      </c>
      <c r="F13" s="432" t="str">
        <f>IFERROR(IF(VLOOKUP($A13,TableHandbook[],6,FALSE)=0,"",VLOOKUP($A13,TableHandbook[],6,FALSE)),"")</f>
        <v>Nil</v>
      </c>
      <c r="G13" s="412">
        <f>IFERROR(IF(VLOOKUP($A13,TableHandbook[],5,FALSE)=0,"",VLOOKUP($A13,TableHandbook[],5,FALSE)),"")</f>
        <v>25</v>
      </c>
      <c r="H13" s="411" t="str">
        <f>IFERROR(VLOOKUP($A13,TableHandbook[],H$2,FALSE),"")</f>
        <v>Y</v>
      </c>
      <c r="I13" s="412" t="str">
        <f>IFERROR(VLOOKUP($A13,TableHandbook[],I$2,FALSE),"")</f>
        <v>Y</v>
      </c>
      <c r="J13" s="412" t="str">
        <f>IFERROR(VLOOKUP($A13,TableHandbook[],J$2,FALSE),"")</f>
        <v/>
      </c>
      <c r="K13" s="413" t="str">
        <f>IFERROR(VLOOKUP($A13,TableHandbook[],K$2,FALSE),"")</f>
        <v/>
      </c>
      <c r="L13" s="67"/>
      <c r="M13" s="364">
        <v>4</v>
      </c>
      <c r="N13" s="365"/>
      <c r="O13" s="365"/>
    </row>
    <row r="14" spans="1:16" s="366" customFormat="1" ht="21" customHeight="1" x14ac:dyDescent="0.15">
      <c r="A14" s="430" t="str">
        <f>IFERROR(IF(HLOOKUP($L$6,RangeUnitsetsOGEDUC,M14,FALSE)=0,"",HLOOKUP($L$6,RangeUnitsetsOGEDUC,M14,FALSE)),"")</f>
        <v>EDPR5013</v>
      </c>
      <c r="B14" s="412">
        <f>IFERROR(IF(VLOOKUP($A14,TableHandbook[],2,FALSE)=0,"",VLOOKUP($A14,TableHandbook[],2,FALSE)),"")</f>
        <v>1</v>
      </c>
      <c r="C14" s="412" t="str">
        <f>IFERROR(IF(VLOOKUP($A14,TableHandbook[],3,FALSE)=0,"",VLOOKUP($A14,TableHandbook[],3,FALSE)),"")</f>
        <v>MTP506</v>
      </c>
      <c r="D14" s="431" t="str">
        <f>IFERROR(IF(VLOOKUP($A14,TableHandbook[],4,FALSE)=0,"",VLOOKUP($A14,TableHandbook[],4,FALSE)),"")</f>
        <v>Primary Professional Experience 2: Assessment and Reporting</v>
      </c>
      <c r="E14" s="412" t="str">
        <f>IF(A14="","",E13)</f>
        <v>SP2</v>
      </c>
      <c r="F14" s="432" t="str">
        <f>IFERROR(IF(VLOOKUP($A14,TableHandbook[],6,FALSE)=0,"",VLOOKUP($A14,TableHandbook[],6,FALSE)),"")</f>
        <v>MTP502</v>
      </c>
      <c r="G14" s="412">
        <f>IFERROR(IF(VLOOKUP($A14,TableHandbook[],5,FALSE)=0,"",VLOOKUP($A14,TableHandbook[],5,FALSE)),"")</f>
        <v>25</v>
      </c>
      <c r="H14" s="411" t="str">
        <f>IFERROR(VLOOKUP($A14,TableHandbook[],H$2,FALSE),"")</f>
        <v/>
      </c>
      <c r="I14" s="412" t="str">
        <f>IFERROR(VLOOKUP($A14,TableHandbook[],I$2,FALSE),"")</f>
        <v>Y</v>
      </c>
      <c r="J14" s="412" t="str">
        <f>IFERROR(VLOOKUP($A14,TableHandbook[],J$2,FALSE),"")</f>
        <v>Y</v>
      </c>
      <c r="K14" s="413" t="str">
        <f>IFERROR(VLOOKUP($A14,TableHandbook[],K$2,FALSE),"")</f>
        <v/>
      </c>
      <c r="L14" s="66"/>
      <c r="M14" s="364">
        <v>5</v>
      </c>
      <c r="N14" s="365"/>
      <c r="O14" s="365"/>
    </row>
    <row r="15" spans="1:16" s="366" customFormat="1" ht="6" customHeight="1" x14ac:dyDescent="0.15">
      <c r="A15" s="367"/>
      <c r="B15" s="368"/>
      <c r="C15" s="368"/>
      <c r="D15" s="369"/>
      <c r="E15" s="368"/>
      <c r="F15" s="370"/>
      <c r="G15" s="368"/>
      <c r="H15" s="371"/>
      <c r="I15" s="372"/>
      <c r="J15" s="372"/>
      <c r="K15" s="373"/>
      <c r="L15" s="291"/>
      <c r="M15" s="364"/>
      <c r="N15" s="365"/>
      <c r="O15" s="365"/>
      <c r="P15" s="365"/>
    </row>
    <row r="16" spans="1:16" s="366" customFormat="1" ht="21" customHeight="1" x14ac:dyDescent="0.15">
      <c r="A16" s="430" t="str">
        <f>IFERROR(IF(HLOOKUP($L$6,RangeUnitsetsOGEDUC,M16,FALSE)=0,"",HLOOKUP($L$6,RangeUnitsetsOGEDUC,M16,FALSE)),"")</f>
        <v>EDUC5032</v>
      </c>
      <c r="B16" s="433">
        <f>IFERROR(IF(VLOOKUP($A16,TableHandbook[],2,FALSE)=0,"",VLOOKUP($A16,TableHandbook[],2,FALSE)),"")</f>
        <v>1</v>
      </c>
      <c r="C16" s="433" t="str">
        <f>IFERROR(IF(VLOOKUP($A16,TableHandbook[],3,FALSE)=0,"",VLOOKUP($A16,TableHandbook[],3,FALSE)),"")</f>
        <v>MTC510</v>
      </c>
      <c r="D16" s="431" t="str">
        <f>IFERROR(IF(VLOOKUP($A16,TableHandbook[],4,FALSE)=0,"",VLOOKUP($A16,TableHandbook[],4,FALSE)),"")</f>
        <v>Introduction to English: Reading</v>
      </c>
      <c r="E16" s="412" t="str">
        <f>IF(OR(A16="",A16="--"),"",VLOOKUP($D$7,TableStudyPeriods[],4,FALSE))</f>
        <v>SP3</v>
      </c>
      <c r="F16" s="432" t="str">
        <f>IFERROR(IF(VLOOKUP($A16,TableHandbook[],6,FALSE)=0,"",VLOOKUP($A16,TableHandbook[],6,FALSE)),"")</f>
        <v>Nil</v>
      </c>
      <c r="G16" s="433">
        <f>IFERROR(IF(VLOOKUP($A16,TableHandbook[],5,FALSE)=0,"",VLOOKUP($A16,TableHandbook[],5,FALSE)),"")</f>
        <v>25</v>
      </c>
      <c r="H16" s="434" t="str">
        <f>IFERROR(VLOOKUP($A16,TableHandbook[],H$2,FALSE),"")</f>
        <v>Y</v>
      </c>
      <c r="I16" s="433" t="str">
        <f>IFERROR(VLOOKUP($A16,TableHandbook[],I$2,FALSE),"")</f>
        <v/>
      </c>
      <c r="J16" s="433" t="str">
        <f>IFERROR(VLOOKUP($A16,TableHandbook[],J$2,FALSE),"")</f>
        <v>Y</v>
      </c>
      <c r="K16" s="435" t="str">
        <f>IFERROR(VLOOKUP($A16,TableHandbook[],K$2,FALSE),"")</f>
        <v/>
      </c>
      <c r="L16" s="67"/>
      <c r="M16" s="364">
        <v>6</v>
      </c>
      <c r="N16" s="365"/>
      <c r="O16" s="365"/>
    </row>
    <row r="17" spans="1:16" s="382" customFormat="1" ht="21" customHeight="1" x14ac:dyDescent="0.15">
      <c r="A17" s="430" t="str">
        <f>IFERROR(IF(HLOOKUP($L$6,RangeUnitsetsOGEDUC,M17,FALSE)=0,"",HLOOKUP($L$6,RangeUnitsetsOGEDUC,M17,FALSE)),"")</f>
        <v>EDUC6063</v>
      </c>
      <c r="B17" s="433">
        <f>IFERROR(IF(VLOOKUP($A17,TableHandbook[],2,FALSE)=0,"",VLOOKUP($A17,TableHandbook[],2,FALSE)),"")</f>
        <v>1</v>
      </c>
      <c r="C17" s="433" t="str">
        <f>IFERROR(IF(VLOOKUP($A17,TableHandbook[],3,FALSE)=0,"",VLOOKUP($A17,TableHandbook[],3,FALSE)),"")</f>
        <v>MTC600</v>
      </c>
      <c r="D17" s="431" t="str">
        <f>IFERROR(IF(VLOOKUP($A17,TableHandbook[],4,FALSE)=0,"",VLOOKUP($A17,TableHandbook[],4,FALSE)),"")</f>
        <v>Professional Experience 3: Using Data to Inform Teaching and Learning</v>
      </c>
      <c r="E17" s="412" t="str">
        <f>IF(A17="","",E16)</f>
        <v>SP3</v>
      </c>
      <c r="F17" s="432" t="str">
        <f>IFERROR(IF(VLOOKUP($A17,TableHandbook[],6,FALSE)=0,"",VLOOKUP($A17,TableHandbook[],6,FALSE)),"")</f>
        <v>MTEC502 or MTP506 or MTS504</v>
      </c>
      <c r="G17" s="433">
        <f>IFERROR(IF(VLOOKUP($A17,TableHandbook[],5,FALSE)=0,"",VLOOKUP($A17,TableHandbook[],5,FALSE)),"")</f>
        <v>25</v>
      </c>
      <c r="H17" s="434" t="str">
        <f>IFERROR(VLOOKUP($A17,TableHandbook[],H$2,FALSE),"")</f>
        <v>Y</v>
      </c>
      <c r="I17" s="433" t="str">
        <f>IFERROR(VLOOKUP($A17,TableHandbook[],I$2,FALSE),"")</f>
        <v/>
      </c>
      <c r="J17" s="433" t="str">
        <f>IFERROR(VLOOKUP($A17,TableHandbook[],J$2,FALSE),"")</f>
        <v>Y</v>
      </c>
      <c r="K17" s="435" t="str">
        <f>IFERROR(VLOOKUP($A17,TableHandbook[],K$2,FALSE),"")</f>
        <v/>
      </c>
      <c r="L17" s="67"/>
      <c r="M17" s="364">
        <v>7</v>
      </c>
      <c r="N17" s="381"/>
      <c r="O17" s="381"/>
    </row>
    <row r="18" spans="1:16" s="366" customFormat="1" ht="6" customHeight="1" x14ac:dyDescent="0.15">
      <c r="A18" s="367"/>
      <c r="B18" s="368"/>
      <c r="C18" s="368"/>
      <c r="D18" s="369"/>
      <c r="E18" s="368"/>
      <c r="F18" s="370"/>
      <c r="G18" s="368"/>
      <c r="H18" s="371"/>
      <c r="I18" s="372"/>
      <c r="J18" s="372"/>
      <c r="K18" s="373"/>
      <c r="L18" s="291"/>
      <c r="M18" s="364"/>
      <c r="N18" s="365"/>
      <c r="O18" s="365"/>
      <c r="P18" s="365"/>
    </row>
    <row r="19" spans="1:16" s="382" customFormat="1" ht="21" customHeight="1" x14ac:dyDescent="0.15">
      <c r="A19" s="430" t="str">
        <f>IFERROR(IF(HLOOKUP($L$6,RangeUnitsetsOGEDUC,M19,FALSE)=0,"",HLOOKUP($L$6,RangeUnitsetsOGEDUC,M19,FALSE)),"")</f>
        <v>EDPR5010</v>
      </c>
      <c r="B19" s="433">
        <f>IFERROR(IF(VLOOKUP($A19,TableHandbook[],2,FALSE)=0,"",VLOOKUP($A19,TableHandbook[],2,FALSE)),"")</f>
        <v>1</v>
      </c>
      <c r="C19" s="433" t="str">
        <f>IFERROR(IF(VLOOKUP($A19,TableHandbook[],3,FALSE)=0,"",VLOOKUP($A19,TableHandbook[],3,FALSE)),"")</f>
        <v>MTP501</v>
      </c>
      <c r="D19" s="431" t="str">
        <f>IFERROR(IF(VLOOKUP($A19,TableHandbook[],4,FALSE)=0,"",VLOOKUP($A19,TableHandbook[],4,FALSE)),"")</f>
        <v>Teaching Number, Algebra and Probability in the Primary Years</v>
      </c>
      <c r="E19" s="412" t="str">
        <f>IF(OR(A19="",A19="--"),"",VLOOKUP($D$7,TableStudyPeriods[],5,FALSE))</f>
        <v>SP4</v>
      </c>
      <c r="F19" s="432" t="str">
        <f>IFERROR(IF(VLOOKUP($A19,TableHandbook[],6,FALSE)=0,"",VLOOKUP($A19,TableHandbook[],6,FALSE)),"")</f>
        <v>Nil</v>
      </c>
      <c r="G19" s="433">
        <f>IFERROR(IF(VLOOKUP($A19,TableHandbook[],5,FALSE)=0,"",VLOOKUP($A19,TableHandbook[],5,FALSE)),"")</f>
        <v>25</v>
      </c>
      <c r="H19" s="434" t="str">
        <f>IFERROR(VLOOKUP($A19,TableHandbook[],H$2,FALSE),"")</f>
        <v/>
      </c>
      <c r="I19" s="433" t="str">
        <f>IFERROR(VLOOKUP($A19,TableHandbook[],I$2,FALSE),"")</f>
        <v>Y</v>
      </c>
      <c r="J19" s="433" t="str">
        <f>IFERROR(VLOOKUP($A19,TableHandbook[],J$2,FALSE),"")</f>
        <v/>
      </c>
      <c r="K19" s="435" t="str">
        <f>IFERROR(VLOOKUP($A19,TableHandbook[],K$2,FALSE),"")</f>
        <v>Y</v>
      </c>
      <c r="L19" s="67"/>
      <c r="M19" s="364">
        <v>8</v>
      </c>
      <c r="N19" s="381"/>
      <c r="O19" s="381"/>
    </row>
    <row r="20" spans="1:16" s="382" customFormat="1" ht="21" customHeight="1" x14ac:dyDescent="0.15">
      <c r="A20" s="430" t="str">
        <f>IFERROR(IF(HLOOKUP($L$6,RangeUnitsetsOGEDUC,M20,FALSE)=0,"",HLOOKUP($L$6,RangeUnitsetsOGEDUC,M20,FALSE)),"")</f>
        <v>EDUC5017</v>
      </c>
      <c r="B20" s="433">
        <f>IFERROR(IF(VLOOKUP($A20,TableHandbook[],2,FALSE)=0,"",VLOOKUP($A20,TableHandbook[],2,FALSE)),"")</f>
        <v>1</v>
      </c>
      <c r="C20" s="433" t="str">
        <f>IFERROR(IF(VLOOKUP($A20,TableHandbook[],3,FALSE)=0,"",VLOOKUP($A20,TableHandbook[],3,FALSE)),"")</f>
        <v>MTPS504</v>
      </c>
      <c r="D20" s="436" t="str">
        <f>IFERROR(IF(VLOOKUP($A20,TableHandbook[],4,FALSE)=0,"",VLOOKUP($A20,TableHandbook[],4,FALSE)),"")</f>
        <v>Creative Technologies</v>
      </c>
      <c r="E20" s="433" t="str">
        <f>IF(A20="","",E19)</f>
        <v>SP4</v>
      </c>
      <c r="F20" s="432" t="str">
        <f>IFERROR(IF(VLOOKUP($A20,TableHandbook[],6,FALSE)=0,"",VLOOKUP($A20,TableHandbook[],6,FALSE)),"")</f>
        <v>Nil</v>
      </c>
      <c r="G20" s="433">
        <f>IFERROR(IF(VLOOKUP($A20,TableHandbook[],5,FALSE)=0,"",VLOOKUP($A20,TableHandbook[],5,FALSE)),"")</f>
        <v>25</v>
      </c>
      <c r="H20" s="434" t="str">
        <f>IFERROR(VLOOKUP($A20,TableHandbook[],H$2,FALSE),"")</f>
        <v/>
      </c>
      <c r="I20" s="433" t="str">
        <f>IFERROR(VLOOKUP($A20,TableHandbook[],I$2,FALSE),"")</f>
        <v>Y</v>
      </c>
      <c r="J20" s="433" t="str">
        <f>IFERROR(VLOOKUP($A20,TableHandbook[],J$2,FALSE),"")</f>
        <v>Y</v>
      </c>
      <c r="K20" s="435" t="str">
        <f>IFERROR(VLOOKUP($A20,TableHandbook[],K$2,FALSE),"")</f>
        <v>Y</v>
      </c>
      <c r="L20" s="67"/>
      <c r="M20" s="364">
        <v>9</v>
      </c>
      <c r="N20" s="381"/>
      <c r="O20" s="381"/>
    </row>
    <row r="21" spans="1:16" ht="16.5" customHeight="1" x14ac:dyDescent="0.25">
      <c r="A21" s="384"/>
      <c r="B21" s="384"/>
      <c r="C21" s="384"/>
      <c r="D21" s="385"/>
      <c r="E21" s="385"/>
      <c r="F21" s="386"/>
      <c r="G21" s="386"/>
      <c r="H21" s="386"/>
      <c r="I21" s="386"/>
      <c r="J21" s="386"/>
      <c r="K21" s="386"/>
      <c r="L21" s="386"/>
    </row>
    <row r="22" spans="1:16" ht="18" x14ac:dyDescent="0.25">
      <c r="A22" s="421" t="s">
        <v>32</v>
      </c>
      <c r="B22" s="421"/>
      <c r="C22" s="421"/>
      <c r="D22" s="421"/>
      <c r="E22" s="421"/>
      <c r="F22" s="421"/>
      <c r="G22" s="421"/>
      <c r="H22" s="421"/>
      <c r="I22" s="421"/>
      <c r="J22" s="421"/>
      <c r="K22" s="421"/>
      <c r="L22" s="421"/>
    </row>
    <row r="23" spans="1:16" s="423" customFormat="1" ht="17.25" x14ac:dyDescent="0.2">
      <c r="A23" s="39" t="s">
        <v>33</v>
      </c>
      <c r="B23" s="39"/>
      <c r="C23" s="39"/>
      <c r="D23" s="40"/>
      <c r="E23" s="40"/>
      <c r="F23" s="40"/>
      <c r="G23" s="40"/>
      <c r="H23" s="40"/>
      <c r="I23" s="40"/>
      <c r="J23" s="40"/>
      <c r="K23" s="40"/>
      <c r="L23" s="40"/>
      <c r="M23" s="422"/>
      <c r="N23" s="422"/>
      <c r="O23" s="422"/>
    </row>
    <row r="24" spans="1:16" x14ac:dyDescent="0.25">
      <c r="A24" s="424" t="s">
        <v>34</v>
      </c>
      <c r="B24" s="424"/>
      <c r="C24" s="424"/>
      <c r="D24" s="424"/>
      <c r="E24" s="425"/>
      <c r="F24" s="386"/>
      <c r="G24" s="426"/>
      <c r="H24" s="426"/>
      <c r="I24" s="426"/>
      <c r="J24" s="426"/>
      <c r="K24" s="426"/>
      <c r="L24" s="426" t="s">
        <v>35</v>
      </c>
    </row>
  </sheetData>
  <sheetProtection algorithmName="SHA-512" hashValue="47JiXzHby5X1doYmNc1oQjmYvEzCg3aDyICydmeQMoa7KJmrkzYsZnJozoi/NhfE84Nb0ynhH2VlHt7YDe9gHg==" saltValue="gV3ilyep8MW4PkLxOrPxDw==" spinCount="100000" sheet="1" objects="1" scenarios="1" formatCells="0"/>
  <mergeCells count="1">
    <mergeCell ref="A3:D3"/>
  </mergeCells>
  <conditionalFormatting sqref="A10:M20">
    <cfRule type="expression" dxfId="295" priority="1">
      <formula>LEFT($A10,3)="STA"</formula>
    </cfRule>
    <cfRule type="expression" dxfId="294" priority="2">
      <formula>LEFT($A10,3)="FTA"</formula>
    </cfRule>
  </conditionalFormatting>
  <conditionalFormatting sqref="D5:D7">
    <cfRule type="containsText" dxfId="293" priority="3" operator="containsText" text="Choose">
      <formula>NOT(ISERROR(SEARCH("Choose",D5)))</formula>
    </cfRule>
  </conditionalFormatting>
  <dataValidations count="1">
    <dataValidation type="list" allowBlank="1" showInputMessage="1" showErrorMessage="1" sqref="L15 L12 L18"/>
  </dataValidations>
  <hyperlinks>
    <hyperlink ref="A23:L23"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1ABFB25EE934439F574BC264F0B8E6" ma:contentTypeVersion="16" ma:contentTypeDescription="Create a new document." ma:contentTypeScope="" ma:versionID="7fb4207839652747304996d7147ee415">
  <xsd:schema xmlns:xsd="http://www.w3.org/2001/XMLSchema" xmlns:xs="http://www.w3.org/2001/XMLSchema" xmlns:p="http://schemas.microsoft.com/office/2006/metadata/properties" xmlns:ns3="5053a65b-a790-45aa-b23d-3e4902a85933" xmlns:ns4="6b707ee7-774c-4141-8c69-3f50efb0eaa0" targetNamespace="http://schemas.microsoft.com/office/2006/metadata/properties" ma:root="true" ma:fieldsID="b7867528ac31df2f954e8fe18c04bbf8" ns3:_="" ns4:_="">
    <xsd:import namespace="5053a65b-a790-45aa-b23d-3e4902a85933"/>
    <xsd:import namespace="6b707ee7-774c-4141-8c69-3f50efb0eaa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3a65b-a790-45aa-b23d-3e4902a859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707ee7-774c-4141-8c69-3f50efb0eaa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6b707ee7-774c-4141-8c69-3f50efb0eaa0">
      <UserInfo>
        <DisplayName/>
        <AccountId xsi:nil="true"/>
        <AccountType/>
      </UserInfo>
    </SharedWithUsers>
    <_activity xmlns="5053a65b-a790-45aa-b23d-3e4902a85933" xsi:nil="true"/>
  </documentManagement>
</p:properties>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B50CE30E-8FBA-444D-8FD4-04ACB60B08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3a65b-a790-45aa-b23d-3e4902a85933"/>
    <ds:schemaRef ds:uri="6b707ee7-774c-4141-8c69-3f50efb0ea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FBB4C-6ADF-4262-9F1C-6F0710538C55}">
  <ds:schemaRefs>
    <ds:schemaRef ds:uri="5053a65b-a790-45aa-b23d-3e4902a85933"/>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6b707ee7-774c-4141-8c69-3f50efb0eaa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25</vt:i4>
      </vt:variant>
    </vt:vector>
  </HeadingPairs>
  <TitlesOfParts>
    <vt:vector size="41" baseType="lpstr">
      <vt:lpstr>Planner OM-Teach ECE</vt:lpstr>
      <vt:lpstr>Planner OM-Teach Prim</vt:lpstr>
      <vt:lpstr>Planner OM-EDUC</vt:lpstr>
      <vt:lpstr>Planner OM-APLING</vt:lpstr>
      <vt:lpstr>Planner OC-TESOL</vt:lpstr>
      <vt:lpstr>Planner OC-EDHE</vt:lpstr>
      <vt:lpstr>Unitsets</vt:lpstr>
      <vt:lpstr>Planner OM-Teach Sec</vt:lpstr>
      <vt:lpstr>Planner OG-EDUC (Prim)</vt:lpstr>
      <vt:lpstr>Planner OG-EDUC (Prim Accel)</vt:lpstr>
      <vt:lpstr>Planner OG-EDUC (Sec)</vt:lpstr>
      <vt:lpstr>Planner OG-EDUC (Sec Accel)</vt:lpstr>
      <vt:lpstr>Unitsets OM-Teach Sec</vt:lpstr>
      <vt:lpstr>Handbook</vt:lpstr>
      <vt:lpstr>Structures</vt:lpstr>
      <vt:lpstr>Availabilities</vt:lpstr>
      <vt:lpstr>FTAArts</vt:lpstr>
      <vt:lpstr>FTAEnglish</vt:lpstr>
      <vt:lpstr>FTAHASS</vt:lpstr>
      <vt:lpstr>FTAHPE</vt:lpstr>
      <vt:lpstr>FTAMaths</vt:lpstr>
      <vt:lpstr>FTAScience</vt:lpstr>
      <vt:lpstr>'Planner OC-EDHE'!Print_Area</vt:lpstr>
      <vt:lpstr>'Planner OC-TESOL'!Print_Area</vt:lpstr>
      <vt:lpstr>'Planner OG-EDUC (Prim Accel)'!Print_Area</vt:lpstr>
      <vt:lpstr>'Planner OG-EDUC (Prim)'!Print_Area</vt:lpstr>
      <vt:lpstr>'Planner OG-EDUC (Sec Accel)'!Print_Area</vt:lpstr>
      <vt:lpstr>'Planner OG-EDUC (Sec)'!Print_Area</vt:lpstr>
      <vt:lpstr>'Planner OM-APLING'!Print_Area</vt:lpstr>
      <vt:lpstr>'Planner OM-EDUC'!Print_Area</vt:lpstr>
      <vt:lpstr>'Planner OM-Teach ECE'!Print_Area</vt:lpstr>
      <vt:lpstr>'Planner OM-Teach Prim'!Print_Area</vt:lpstr>
      <vt:lpstr>'Planner OM-Teach Sec'!Print_Area</vt:lpstr>
      <vt:lpstr>RangeTeachingAreas</vt:lpstr>
      <vt:lpstr>RangeUnitsetsECEPR</vt:lpstr>
      <vt:lpstr>RangeUnitsetsOCEDHE</vt:lpstr>
      <vt:lpstr>RangeUnitsetsOGEDUC</vt:lpstr>
      <vt:lpstr>RangeUnitsetsOGEDUCAcc</vt:lpstr>
      <vt:lpstr>RangeUnitsetsOMEDUC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2024-02-09T01:54:09Z</cp:lastPrinted>
  <dcterms:created xsi:type="dcterms:W3CDTF">2022-02-28T04:48:12Z</dcterms:created>
  <dcterms:modified xsi:type="dcterms:W3CDTF">2024-02-09T01:54:47Z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0x010100CD1ABFB25EE934439F574BC264F0B8E6</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