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tiBy3Gn6ihFH1c/zw7bfiwINa0ddC9xJuJ9GSPtp9RGEiucLhYpD7RBDISTGMmHgFjsG+0Ao15ou3csWW/6Ksw==" workbookSaltValue="h5GIYTPC76CTIdsscHxUhw==" workbookSpinCount="100000" lockStructure="1"/>
  <bookViews>
    <workbookView xWindow="0" yWindow="0" windowWidth="28800" windowHeight="13800" firstSheet="1" activeTab="1"/>
  </bookViews>
  <sheets>
    <sheet name="Master of ECE" sheetId="5" state="hidden" r:id="rId1"/>
    <sheet name="GD of ECE" sheetId="10" r:id="rId2"/>
    <sheet name="GC of ECE" sheetId="11" state="hidden"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Handbook!$A$2:$I$2</definedName>
    <definedName name="_xlnm.Print_Area" localSheetId="2">'GC of ECE'!$A$3:$L$31</definedName>
    <definedName name="_xlnm.Print_Area" localSheetId="1">'GD of ECE'!$A$3:$L$37</definedName>
    <definedName name="_xlnm.Print_Area" localSheetId="0">'Master of ECE'!$A$3:$L$46</definedName>
    <definedName name="RangeOptions">Unitsets!$J$23:$L$34</definedName>
    <definedName name="RangeUnitsets">Unitsets!$J$3:$AG$19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11" l="1"/>
  <c r="A27" i="11" s="1"/>
  <c r="C11" i="11"/>
  <c r="G6" i="11"/>
  <c r="L5" i="11"/>
  <c r="G5" i="11"/>
  <c r="L21" i="10"/>
  <c r="A33" i="10" s="1"/>
  <c r="C17" i="10"/>
  <c r="C14" i="10"/>
  <c r="C11" i="10"/>
  <c r="G6" i="10"/>
  <c r="L5" i="10"/>
  <c r="G5" i="10"/>
  <c r="A24" i="11" l="1"/>
  <c r="I24" i="11" s="1"/>
  <c r="A20" i="11"/>
  <c r="I20" i="11" s="1"/>
  <c r="A10" i="10"/>
  <c r="H10" i="10" s="1"/>
  <c r="A18" i="10"/>
  <c r="B18" i="10" s="1"/>
  <c r="K27" i="11"/>
  <c r="B27" i="11"/>
  <c r="J27" i="11"/>
  <c r="I27" i="11"/>
  <c r="H27" i="11"/>
  <c r="G27" i="11"/>
  <c r="F27" i="11"/>
  <c r="D27" i="11"/>
  <c r="C27" i="11"/>
  <c r="A17" i="11"/>
  <c r="A21" i="11"/>
  <c r="A25" i="11"/>
  <c r="A12" i="11"/>
  <c r="A9" i="11"/>
  <c r="A18" i="11"/>
  <c r="A22" i="11"/>
  <c r="A26" i="11"/>
  <c r="A13" i="11"/>
  <c r="A19" i="11"/>
  <c r="A23" i="11"/>
  <c r="A10" i="11"/>
  <c r="J33" i="10"/>
  <c r="I33" i="10"/>
  <c r="H33" i="10"/>
  <c r="G33" i="10"/>
  <c r="F33" i="10"/>
  <c r="D33" i="10"/>
  <c r="C33" i="10"/>
  <c r="K33" i="10"/>
  <c r="B33" i="10"/>
  <c r="A26" i="10"/>
  <c r="A30" i="10"/>
  <c r="A23" i="10"/>
  <c r="A27" i="10"/>
  <c r="A31" i="10"/>
  <c r="A12" i="10"/>
  <c r="A15" i="10"/>
  <c r="A9" i="10"/>
  <c r="A19" i="10"/>
  <c r="A24" i="10"/>
  <c r="A28" i="10"/>
  <c r="A32" i="10"/>
  <c r="A16" i="10"/>
  <c r="A13" i="10"/>
  <c r="A25" i="10"/>
  <c r="A29" i="10"/>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I10" i="10" l="1"/>
  <c r="G24" i="11"/>
  <c r="C24" i="11"/>
  <c r="D24" i="11"/>
  <c r="H20" i="11"/>
  <c r="K20" i="11"/>
  <c r="J24" i="11"/>
  <c r="F24" i="11"/>
  <c r="C20" i="11"/>
  <c r="H24" i="11"/>
  <c r="K24" i="11"/>
  <c r="F20" i="11"/>
  <c r="D20" i="11"/>
  <c r="J20" i="11"/>
  <c r="B24" i="11"/>
  <c r="G20" i="11"/>
  <c r="B20" i="11"/>
  <c r="F10" i="10"/>
  <c r="G10" i="10"/>
  <c r="J18" i="10"/>
  <c r="C18" i="10"/>
  <c r="H18" i="10"/>
  <c r="E18" i="10"/>
  <c r="D18" i="10"/>
  <c r="K18" i="10"/>
  <c r="I18" i="10"/>
  <c r="J10" i="10"/>
  <c r="K10" i="10"/>
  <c r="B10" i="10"/>
  <c r="C10" i="10"/>
  <c r="D10" i="10"/>
  <c r="F18" i="10"/>
  <c r="G18" i="10"/>
  <c r="D22" i="11"/>
  <c r="C22" i="11"/>
  <c r="K22" i="11"/>
  <c r="B22" i="11"/>
  <c r="J22" i="11"/>
  <c r="F22" i="11"/>
  <c r="I22" i="11"/>
  <c r="H22" i="11"/>
  <c r="G22" i="11"/>
  <c r="D18" i="11"/>
  <c r="C18" i="11"/>
  <c r="K18" i="11"/>
  <c r="B18" i="11"/>
  <c r="F18" i="11"/>
  <c r="J18" i="11"/>
  <c r="I18" i="11"/>
  <c r="H18" i="11"/>
  <c r="G18" i="11"/>
  <c r="K23" i="11"/>
  <c r="B23" i="11"/>
  <c r="J23" i="11"/>
  <c r="I23" i="11"/>
  <c r="C23" i="11"/>
  <c r="H23" i="11"/>
  <c r="G23" i="11"/>
  <c r="F23" i="11"/>
  <c r="D23" i="11"/>
  <c r="E12" i="11"/>
  <c r="E13" i="11" s="1"/>
  <c r="C12" i="11"/>
  <c r="G12" i="11"/>
  <c r="D12" i="11"/>
  <c r="K12" i="11"/>
  <c r="J12" i="11"/>
  <c r="B12" i="11"/>
  <c r="H12" i="11"/>
  <c r="I12" i="11"/>
  <c r="F12" i="11"/>
  <c r="G25" i="11"/>
  <c r="F25" i="11"/>
  <c r="D25" i="11"/>
  <c r="C25" i="11"/>
  <c r="K25" i="11"/>
  <c r="B25" i="11"/>
  <c r="J25" i="11"/>
  <c r="I25" i="11"/>
  <c r="H25" i="11"/>
  <c r="J13" i="11"/>
  <c r="B13" i="11"/>
  <c r="H13" i="11"/>
  <c r="I13" i="11"/>
  <c r="K13" i="11"/>
  <c r="C13" i="11"/>
  <c r="G13" i="11"/>
  <c r="F13" i="11"/>
  <c r="D13" i="11"/>
  <c r="G17" i="11"/>
  <c r="F17" i="11"/>
  <c r="D17" i="11"/>
  <c r="C17" i="11"/>
  <c r="H17" i="11"/>
  <c r="K17" i="11"/>
  <c r="B17" i="11"/>
  <c r="J17" i="11"/>
  <c r="I17" i="11"/>
  <c r="K19" i="11"/>
  <c r="B19" i="11"/>
  <c r="J19" i="11"/>
  <c r="I19" i="11"/>
  <c r="C19" i="11"/>
  <c r="H19" i="11"/>
  <c r="G19" i="11"/>
  <c r="F19" i="11"/>
  <c r="D19" i="11"/>
  <c r="D9" i="11"/>
  <c r="C9" i="11"/>
  <c r="B9" i="11"/>
  <c r="G9" i="11"/>
  <c r="K9" i="11"/>
  <c r="J9" i="11"/>
  <c r="I9" i="11"/>
  <c r="H9" i="11"/>
  <c r="E9" i="11"/>
  <c r="E10" i="11" s="1"/>
  <c r="F9" i="11"/>
  <c r="D26" i="11"/>
  <c r="C26" i="11"/>
  <c r="K26" i="11"/>
  <c r="B26" i="11"/>
  <c r="J26" i="11"/>
  <c r="I26" i="11"/>
  <c r="H26" i="11"/>
  <c r="F26" i="11"/>
  <c r="G26" i="11"/>
  <c r="G21" i="11"/>
  <c r="F21" i="11"/>
  <c r="D21" i="11"/>
  <c r="C21" i="11"/>
  <c r="K21" i="11"/>
  <c r="B21" i="11"/>
  <c r="J21" i="11"/>
  <c r="H21" i="11"/>
  <c r="I21" i="11"/>
  <c r="I10" i="11"/>
  <c r="H10" i="11"/>
  <c r="C10" i="11"/>
  <c r="G10" i="11"/>
  <c r="D10" i="11"/>
  <c r="B10" i="11"/>
  <c r="J10" i="11"/>
  <c r="F10" i="11"/>
  <c r="K10" i="11"/>
  <c r="F27" i="10"/>
  <c r="D27" i="10"/>
  <c r="C27" i="10"/>
  <c r="I27" i="10"/>
  <c r="K27" i="10"/>
  <c r="B27" i="10"/>
  <c r="J27" i="10"/>
  <c r="H27" i="10"/>
  <c r="G27" i="10"/>
  <c r="I13" i="10"/>
  <c r="H13" i="10"/>
  <c r="D13" i="10"/>
  <c r="G13" i="10"/>
  <c r="F13" i="10"/>
  <c r="B13" i="10"/>
  <c r="J13" i="10"/>
  <c r="K13" i="10"/>
  <c r="C13" i="10"/>
  <c r="D12" i="10"/>
  <c r="K12" i="10"/>
  <c r="C12" i="10"/>
  <c r="G12" i="10"/>
  <c r="J12" i="10"/>
  <c r="B12" i="10"/>
  <c r="H12" i="10"/>
  <c r="E12" i="10"/>
  <c r="E13" i="10" s="1"/>
  <c r="I12" i="10"/>
  <c r="F12" i="10"/>
  <c r="H30" i="10"/>
  <c r="G30" i="10"/>
  <c r="F30" i="10"/>
  <c r="D30" i="10"/>
  <c r="C30" i="10"/>
  <c r="K30" i="10"/>
  <c r="B30" i="10"/>
  <c r="J30" i="10"/>
  <c r="I30" i="10"/>
  <c r="H26" i="10"/>
  <c r="G26" i="10"/>
  <c r="F26" i="10"/>
  <c r="D26" i="10"/>
  <c r="C26" i="10"/>
  <c r="K26" i="10"/>
  <c r="B26" i="10"/>
  <c r="J26" i="10"/>
  <c r="I26" i="10"/>
  <c r="K19" i="10"/>
  <c r="C19" i="10"/>
  <c r="J19" i="10"/>
  <c r="B19" i="10"/>
  <c r="D19" i="10"/>
  <c r="I19" i="10"/>
  <c r="G19" i="10"/>
  <c r="F19" i="10"/>
  <c r="H19" i="10"/>
  <c r="E19" i="10"/>
  <c r="J29" i="10"/>
  <c r="I29" i="10"/>
  <c r="H29" i="10"/>
  <c r="G29" i="10"/>
  <c r="F29" i="10"/>
  <c r="D29" i="10"/>
  <c r="C29" i="10"/>
  <c r="K29" i="10"/>
  <c r="B29" i="10"/>
  <c r="C32" i="10"/>
  <c r="K32" i="10"/>
  <c r="B32" i="10"/>
  <c r="J32" i="10"/>
  <c r="G32" i="10"/>
  <c r="I32" i="10"/>
  <c r="H32" i="10"/>
  <c r="F32" i="10"/>
  <c r="D32" i="10"/>
  <c r="F23" i="10"/>
  <c r="D23" i="10"/>
  <c r="I23" i="10"/>
  <c r="C23" i="10"/>
  <c r="K23" i="10"/>
  <c r="B23" i="10"/>
  <c r="J23" i="10"/>
  <c r="H23" i="10"/>
  <c r="G23" i="10"/>
  <c r="K25" i="10"/>
  <c r="J25" i="10"/>
  <c r="I25" i="10"/>
  <c r="H25" i="10"/>
  <c r="D25" i="10"/>
  <c r="G25" i="10"/>
  <c r="F25" i="10"/>
  <c r="C25" i="10"/>
  <c r="B25" i="10"/>
  <c r="C28" i="10"/>
  <c r="K28" i="10"/>
  <c r="B28" i="10"/>
  <c r="J28" i="10"/>
  <c r="I28" i="10"/>
  <c r="H28" i="10"/>
  <c r="G28" i="10"/>
  <c r="F28" i="10"/>
  <c r="D28" i="10"/>
  <c r="J16" i="10"/>
  <c r="B16" i="10"/>
  <c r="I16" i="10"/>
  <c r="K16" i="10"/>
  <c r="H16" i="10"/>
  <c r="F16" i="10"/>
  <c r="C16" i="10"/>
  <c r="G16" i="10"/>
  <c r="D16" i="10"/>
  <c r="C24" i="10"/>
  <c r="K24" i="10"/>
  <c r="B24" i="10"/>
  <c r="J24" i="10"/>
  <c r="I24" i="10"/>
  <c r="H24" i="10"/>
  <c r="G24" i="10"/>
  <c r="F24" i="10"/>
  <c r="D24" i="10"/>
  <c r="K9" i="10"/>
  <c r="C9" i="10"/>
  <c r="B9" i="10"/>
  <c r="J9" i="10"/>
  <c r="F9" i="10"/>
  <c r="I9" i="10"/>
  <c r="H9" i="10"/>
  <c r="G9" i="10"/>
  <c r="D9" i="10"/>
  <c r="E9" i="10"/>
  <c r="E10" i="10" s="1"/>
  <c r="E15" i="10"/>
  <c r="E16" i="10" s="1"/>
  <c r="D15" i="10"/>
  <c r="F15" i="10"/>
  <c r="K15" i="10"/>
  <c r="C15" i="10"/>
  <c r="I15" i="10"/>
  <c r="J15" i="10"/>
  <c r="B15" i="10"/>
  <c r="H15" i="10"/>
  <c r="G15" i="10"/>
  <c r="F31" i="10"/>
  <c r="D31" i="10"/>
  <c r="C31" i="10"/>
  <c r="K31" i="10"/>
  <c r="B31" i="10"/>
  <c r="J31" i="10"/>
  <c r="I31" i="10"/>
  <c r="H31" i="10"/>
  <c r="G31" i="10"/>
  <c r="D56" i="8"/>
  <c r="D55" i="8"/>
  <c r="D43" i="8"/>
  <c r="D44" i="8"/>
  <c r="D45" i="8"/>
  <c r="D46" i="8"/>
  <c r="D47" i="8"/>
  <c r="D48" i="8"/>
  <c r="D49" i="8"/>
  <c r="D50" i="8"/>
  <c r="D51" i="8"/>
  <c r="D52" i="8"/>
  <c r="D53" i="8"/>
  <c r="D54" i="8"/>
  <c r="D57" i="8"/>
  <c r="D58" i="8"/>
  <c r="D59" i="8"/>
  <c r="D60" i="8"/>
  <c r="D61" i="8"/>
  <c r="D62" i="8"/>
  <c r="D63" i="8"/>
  <c r="D64" i="8"/>
  <c r="C44" i="8"/>
  <c r="C45" i="8"/>
  <c r="C46" i="8"/>
  <c r="C47" i="8"/>
  <c r="C48" i="8"/>
  <c r="C49" i="8"/>
  <c r="C50" i="8"/>
  <c r="C51" i="8"/>
  <c r="C52" i="8"/>
  <c r="C53" i="8"/>
  <c r="C57" i="8"/>
  <c r="C58" i="8"/>
  <c r="C59" i="8"/>
  <c r="C60" i="8"/>
  <c r="C61" i="8"/>
  <c r="C62" i="8"/>
  <c r="C63" i="8"/>
  <c r="C64" i="8"/>
  <c r="C43" i="8"/>
  <c r="D28" i="8" l="1"/>
  <c r="D21" i="8"/>
  <c r="D22" i="8"/>
  <c r="D23" i="8"/>
  <c r="D24" i="8"/>
  <c r="D25" i="8"/>
  <c r="D26" i="8"/>
  <c r="D27" i="8"/>
  <c r="D29" i="8"/>
  <c r="D30" i="8"/>
  <c r="D31" i="8"/>
  <c r="D32" i="8"/>
  <c r="D33" i="8"/>
  <c r="D34" i="8"/>
  <c r="D35" i="8"/>
  <c r="D36" i="8"/>
  <c r="D37" i="8"/>
  <c r="D38" i="8"/>
  <c r="D39" i="8"/>
  <c r="C25" i="8" l="1"/>
  <c r="C26" i="8"/>
  <c r="C27" i="8"/>
  <c r="C29" i="8"/>
  <c r="C30" i="8"/>
  <c r="C31" i="8"/>
  <c r="C32" i="8"/>
  <c r="C33" i="8"/>
  <c r="C34" i="8"/>
  <c r="C35" i="8"/>
  <c r="C36" i="8"/>
  <c r="C37" i="8"/>
  <c r="C38" i="8"/>
  <c r="C39" i="8"/>
  <c r="C22" i="8"/>
  <c r="C23" i="8"/>
  <c r="C21" i="8"/>
  <c r="D3" i="8" l="1"/>
  <c r="D4" i="8"/>
  <c r="D5" i="8"/>
  <c r="D6" i="8"/>
  <c r="D7" i="8"/>
  <c r="D8" i="8"/>
  <c r="D9" i="8"/>
  <c r="D10" i="8"/>
  <c r="D11" i="8"/>
  <c r="D12" i="8"/>
  <c r="D13" i="8"/>
  <c r="D14" i="8"/>
  <c r="D15" i="8"/>
  <c r="D16" i="8"/>
  <c r="D17" i="8"/>
  <c r="C4" i="8"/>
  <c r="C5" i="8"/>
  <c r="C7" i="8"/>
  <c r="C8" i="8"/>
  <c r="C9" i="8"/>
  <c r="C10" i="8"/>
  <c r="C11" i="8"/>
  <c r="C12" i="8"/>
  <c r="C13" i="8"/>
  <c r="C14" i="8"/>
  <c r="C15" i="8"/>
  <c r="C16" i="8"/>
  <c r="C17" i="8"/>
  <c r="C3" i="8"/>
  <c r="J4" i="3" l="1"/>
  <c r="I4" i="3"/>
  <c r="H4" i="3"/>
  <c r="G4" i="3"/>
  <c r="G1" i="3"/>
  <c r="H1" i="3" s="1"/>
  <c r="I1" i="3" s="1"/>
  <c r="J1" i="3" s="1"/>
  <c r="K1" i="3" s="1"/>
  <c r="L1" i="3" s="1"/>
  <c r="M1" i="3" s="1"/>
  <c r="N1" i="3" s="1"/>
  <c r="G5" i="5" l="1"/>
  <c r="L33" i="5"/>
  <c r="C29" i="5" l="1"/>
  <c r="C23" i="5"/>
  <c r="C17" i="5"/>
  <c r="C11" i="5"/>
  <c r="A35" i="5" l="1"/>
  <c r="H35" i="5" l="1"/>
  <c r="K35" i="5"/>
  <c r="J35" i="5"/>
  <c r="I35" i="5"/>
  <c r="A36" i="5"/>
  <c r="A41" i="5"/>
  <c r="A42" i="5"/>
  <c r="A39" i="5"/>
  <c r="A40" i="5"/>
  <c r="A38" i="5"/>
  <c r="A37" i="5"/>
  <c r="D35" i="5"/>
  <c r="B35" i="5"/>
  <c r="G35" i="5"/>
  <c r="C35" i="5"/>
  <c r="F35" i="5"/>
  <c r="K42" i="5" l="1"/>
  <c r="J42" i="5"/>
  <c r="I42" i="5"/>
  <c r="H42" i="5"/>
  <c r="H41" i="5"/>
  <c r="K41" i="5"/>
  <c r="J41" i="5"/>
  <c r="I41" i="5"/>
  <c r="H37" i="5"/>
  <c r="K37" i="5"/>
  <c r="J37" i="5"/>
  <c r="I37" i="5"/>
  <c r="K36" i="5"/>
  <c r="J36" i="5"/>
  <c r="I36" i="5"/>
  <c r="H36" i="5"/>
  <c r="K38" i="5"/>
  <c r="J38" i="5"/>
  <c r="I38" i="5"/>
  <c r="H38" i="5"/>
  <c r="K40" i="5"/>
  <c r="J40" i="5"/>
  <c r="I40" i="5"/>
  <c r="H40" i="5"/>
  <c r="H39" i="5"/>
  <c r="K39" i="5"/>
  <c r="J39" i="5"/>
  <c r="I39" i="5"/>
  <c r="B42" i="5"/>
  <c r="C42" i="5"/>
  <c r="D42" i="5"/>
  <c r="G39" i="5"/>
  <c r="D39" i="5"/>
  <c r="F39" i="5"/>
  <c r="C39" i="5"/>
  <c r="B39" i="5"/>
  <c r="C37" i="5"/>
  <c r="B37" i="5"/>
  <c r="D37" i="5"/>
  <c r="G37" i="5"/>
  <c r="F37" i="5"/>
  <c r="F42" i="5"/>
  <c r="G42" i="5"/>
  <c r="C40" i="5"/>
  <c r="G40" i="5"/>
  <c r="F40" i="5"/>
  <c r="D40" i="5"/>
  <c r="B40" i="5"/>
  <c r="G41" i="5"/>
  <c r="D41" i="5"/>
  <c r="F41" i="5"/>
  <c r="B41" i="5"/>
  <c r="C41" i="5"/>
  <c r="B38" i="5"/>
  <c r="C38" i="5"/>
  <c r="F38" i="5"/>
  <c r="G38" i="5"/>
  <c r="D38" i="5"/>
  <c r="D36" i="5"/>
  <c r="C36" i="5"/>
  <c r="B36" i="5"/>
  <c r="F36" i="5"/>
  <c r="G36" i="5"/>
  <c r="A64" i="8"/>
  <c r="B64" i="8"/>
  <c r="E64" i="8"/>
  <c r="A30" i="8" l="1"/>
  <c r="A31" i="8"/>
  <c r="A32" i="8"/>
  <c r="A33" i="8"/>
  <c r="A34" i="8"/>
  <c r="A35" i="8"/>
  <c r="A36" i="8"/>
  <c r="A37" i="8"/>
  <c r="A38" i="8"/>
  <c r="A39" i="8"/>
  <c r="B30" i="8"/>
  <c r="B31" i="8"/>
  <c r="B32" i="8"/>
  <c r="B33" i="8"/>
  <c r="B34" i="8"/>
  <c r="B35" i="8"/>
  <c r="B36" i="8"/>
  <c r="B37" i="8"/>
  <c r="B38" i="8"/>
  <c r="B39" i="8"/>
  <c r="E30" i="8"/>
  <c r="E31" i="8"/>
  <c r="E32" i="8"/>
  <c r="E33" i="8"/>
  <c r="E34" i="8"/>
  <c r="E35" i="8"/>
  <c r="E36" i="8"/>
  <c r="E37" i="8"/>
  <c r="E38" i="8"/>
  <c r="E39" i="8"/>
  <c r="A29" i="8" l="1"/>
  <c r="B29" i="8"/>
  <c r="E29" i="8"/>
  <c r="A26" i="8"/>
  <c r="A27" i="8"/>
  <c r="A28" i="8"/>
  <c r="B26" i="8"/>
  <c r="B27" i="8"/>
  <c r="B28" i="8"/>
  <c r="E26" i="8"/>
  <c r="E27" i="8"/>
  <c r="E28" i="8"/>
  <c r="A25" i="8" l="1"/>
  <c r="B25" i="8"/>
  <c r="E25" i="8"/>
  <c r="A8" i="8"/>
  <c r="A9" i="8"/>
  <c r="A10" i="8"/>
  <c r="A11" i="8"/>
  <c r="A12" i="8"/>
  <c r="A13" i="8"/>
  <c r="A14" i="8"/>
  <c r="A15" i="8"/>
  <c r="A16" i="8"/>
  <c r="A17" i="8"/>
  <c r="B8" i="8"/>
  <c r="B9" i="8"/>
  <c r="B10" i="8"/>
  <c r="B11" i="8"/>
  <c r="B12" i="8"/>
  <c r="B13" i="8"/>
  <c r="B14" i="8"/>
  <c r="B15" i="8"/>
  <c r="B16" i="8"/>
  <c r="B17" i="8"/>
  <c r="E8" i="8"/>
  <c r="E9" i="8"/>
  <c r="E10" i="8"/>
  <c r="E11" i="8"/>
  <c r="E12" i="8"/>
  <c r="E13" i="8"/>
  <c r="E14" i="8"/>
  <c r="E15" i="8"/>
  <c r="E16" i="8"/>
  <c r="E17" i="8"/>
  <c r="A7" i="8"/>
  <c r="B7" i="8"/>
  <c r="E7" i="8"/>
  <c r="C14" i="5" l="1"/>
  <c r="E24" i="8" l="1"/>
  <c r="B24" i="8"/>
  <c r="A24" i="8"/>
  <c r="E23" i="8"/>
  <c r="B23" i="8"/>
  <c r="A23" i="8"/>
  <c r="E22" i="8"/>
  <c r="B22" i="8"/>
  <c r="A22" i="8"/>
  <c r="E21" i="8"/>
  <c r="B21" i="8"/>
  <c r="A21" i="8"/>
  <c r="M4" i="3" l="1"/>
  <c r="M19" i="3"/>
  <c r="M18" i="3"/>
  <c r="M5" i="3"/>
  <c r="M6" i="3"/>
  <c r="M12" i="3"/>
  <c r="M17" i="3"/>
  <c r="M20" i="3"/>
  <c r="M7" i="3"/>
  <c r="M8" i="3"/>
  <c r="M9" i="3"/>
  <c r="M11" i="3"/>
  <c r="M13" i="3"/>
  <c r="M16" i="3"/>
  <c r="M21" i="3"/>
  <c r="M22" i="3"/>
  <c r="M23" i="3"/>
  <c r="M24" i="3"/>
  <c r="M25" i="3"/>
  <c r="M26" i="3"/>
  <c r="M10" i="3"/>
  <c r="M14" i="3"/>
  <c r="M15" i="3"/>
  <c r="B1" i="3"/>
  <c r="C1" i="3" s="1"/>
  <c r="D1" i="3" s="1"/>
  <c r="E1" i="3" s="1"/>
  <c r="F1" i="3" s="1"/>
  <c r="E3" i="8" l="1"/>
  <c r="E4" i="8"/>
  <c r="E5" i="8"/>
  <c r="E6" i="8"/>
  <c r="B3" i="8"/>
  <c r="B4" i="8"/>
  <c r="B5" i="8"/>
  <c r="B6" i="8"/>
  <c r="A3" i="8"/>
  <c r="A4" i="8"/>
  <c r="A5" i="8"/>
  <c r="A6" i="8"/>
  <c r="L4" i="3" l="1"/>
  <c r="L19" i="3"/>
  <c r="L18" i="3"/>
  <c r="L5" i="3"/>
  <c r="L6" i="3"/>
  <c r="L12" i="3"/>
  <c r="L17" i="3"/>
  <c r="L25" i="3"/>
  <c r="L22" i="3"/>
  <c r="L7" i="3"/>
  <c r="L24" i="3"/>
  <c r="L11" i="3"/>
  <c r="L21" i="3"/>
  <c r="L26" i="3"/>
  <c r="L10" i="3"/>
  <c r="L8" i="3"/>
  <c r="L16" i="3"/>
  <c r="L20" i="3"/>
  <c r="L15" i="3"/>
  <c r="L9" i="3"/>
  <c r="L23" i="3"/>
  <c r="L14" i="3"/>
  <c r="L13" i="3"/>
  <c r="A43" i="8" l="1"/>
  <c r="E43" i="8" l="1"/>
  <c r="E44" i="8"/>
  <c r="E45" i="8"/>
  <c r="E46" i="8"/>
  <c r="E47" i="8"/>
  <c r="E48" i="8"/>
  <c r="E49" i="8"/>
  <c r="E50" i="8"/>
  <c r="E51" i="8"/>
  <c r="E54" i="8"/>
  <c r="E55" i="8"/>
  <c r="E52" i="8"/>
  <c r="E53" i="8"/>
  <c r="E56" i="8"/>
  <c r="E57" i="8"/>
  <c r="E58" i="8"/>
  <c r="E59" i="8"/>
  <c r="E60" i="8"/>
  <c r="E61" i="8"/>
  <c r="E62" i="8"/>
  <c r="E63" i="8"/>
  <c r="B43" i="8"/>
  <c r="B44" i="8"/>
  <c r="B45" i="8"/>
  <c r="B46" i="8"/>
  <c r="B47" i="8"/>
  <c r="B48" i="8"/>
  <c r="B49" i="8"/>
  <c r="B50" i="8"/>
  <c r="B51" i="8"/>
  <c r="B54" i="8"/>
  <c r="B55" i="8"/>
  <c r="B52" i="8"/>
  <c r="B53" i="8"/>
  <c r="B56" i="8"/>
  <c r="B57" i="8"/>
  <c r="B58" i="8"/>
  <c r="B59" i="8"/>
  <c r="B60" i="8"/>
  <c r="B61" i="8"/>
  <c r="B62" i="8"/>
  <c r="B63" i="8"/>
  <c r="A44" i="8"/>
  <c r="A45" i="8"/>
  <c r="A46" i="8"/>
  <c r="A47" i="8"/>
  <c r="A48" i="8"/>
  <c r="A49" i="8"/>
  <c r="A50" i="8"/>
  <c r="A51" i="8"/>
  <c r="A54" i="8"/>
  <c r="A55" i="8"/>
  <c r="A52" i="8"/>
  <c r="A53" i="8"/>
  <c r="A56" i="8"/>
  <c r="A57" i="8"/>
  <c r="A58" i="8"/>
  <c r="A59" i="8"/>
  <c r="A60" i="8"/>
  <c r="A61" i="8"/>
  <c r="A62" i="8"/>
  <c r="A63" i="8"/>
  <c r="N4" i="3" l="1"/>
  <c r="N19" i="3"/>
  <c r="N18" i="3"/>
  <c r="N5" i="3"/>
  <c r="N6" i="3"/>
  <c r="N12" i="3"/>
  <c r="N24" i="3"/>
  <c r="N17" i="3"/>
  <c r="N26" i="3"/>
  <c r="N21" i="3"/>
  <c r="N9" i="3"/>
  <c r="N25" i="3"/>
  <c r="N11" i="3"/>
  <c r="N15" i="3"/>
  <c r="N20" i="3"/>
  <c r="N13" i="3"/>
  <c r="N22" i="3"/>
  <c r="N8" i="3"/>
  <c r="N7" i="3"/>
  <c r="N14" i="3"/>
  <c r="N16" i="3"/>
  <c r="N23" i="3"/>
  <c r="N10" i="3"/>
  <c r="L5" i="5" l="1"/>
  <c r="A13" i="5" s="1"/>
  <c r="G6" i="5"/>
  <c r="K13" i="5" l="1"/>
  <c r="J13" i="5"/>
  <c r="I13" i="5"/>
  <c r="H13" i="5"/>
  <c r="C13" i="5"/>
  <c r="A24" i="5" l="1"/>
  <c r="A30" i="5"/>
  <c r="A28" i="5"/>
  <c r="A22" i="5"/>
  <c r="A27" i="5"/>
  <c r="A25" i="5"/>
  <c r="A31" i="5"/>
  <c r="A21" i="5"/>
  <c r="A9" i="5"/>
  <c r="A19" i="5"/>
  <c r="A10" i="5"/>
  <c r="A18" i="5"/>
  <c r="A12" i="5"/>
  <c r="A16" i="5"/>
  <c r="A15" i="5"/>
  <c r="K31" i="5" l="1"/>
  <c r="J31" i="5"/>
  <c r="I31" i="5"/>
  <c r="H31" i="5"/>
  <c r="K25" i="5"/>
  <c r="J25" i="5"/>
  <c r="I25" i="5"/>
  <c r="H25" i="5"/>
  <c r="K16" i="5"/>
  <c r="J16" i="5"/>
  <c r="I16" i="5"/>
  <c r="H16" i="5"/>
  <c r="K27" i="5"/>
  <c r="H27" i="5"/>
  <c r="J27" i="5"/>
  <c r="I27" i="5"/>
  <c r="H15" i="5"/>
  <c r="K15" i="5"/>
  <c r="J15" i="5"/>
  <c r="I15" i="5"/>
  <c r="K22" i="5"/>
  <c r="J22" i="5"/>
  <c r="I22" i="5"/>
  <c r="H22" i="5"/>
  <c r="K10" i="5"/>
  <c r="J10" i="5"/>
  <c r="I10" i="5"/>
  <c r="H10" i="5"/>
  <c r="K28" i="5"/>
  <c r="J28" i="5"/>
  <c r="I28" i="5"/>
  <c r="H28" i="5"/>
  <c r="H21" i="5"/>
  <c r="K21" i="5"/>
  <c r="J21" i="5"/>
  <c r="I21" i="5"/>
  <c r="H18" i="5"/>
  <c r="K18" i="5"/>
  <c r="J18" i="5"/>
  <c r="I18" i="5"/>
  <c r="K19" i="5"/>
  <c r="J19" i="5"/>
  <c r="I19" i="5"/>
  <c r="H19" i="5"/>
  <c r="K30" i="5"/>
  <c r="J30" i="5"/>
  <c r="I30" i="5"/>
  <c r="H30" i="5"/>
  <c r="H12" i="5"/>
  <c r="K12" i="5"/>
  <c r="J12" i="5"/>
  <c r="I12" i="5"/>
  <c r="K9" i="5"/>
  <c r="J9" i="5"/>
  <c r="I9" i="5"/>
  <c r="H9" i="5"/>
  <c r="K24" i="5"/>
  <c r="J24" i="5"/>
  <c r="H24" i="5"/>
  <c r="I24" i="5"/>
  <c r="C31" i="5"/>
  <c r="C16" i="5"/>
  <c r="C25" i="5"/>
  <c r="C22" i="5"/>
  <c r="C28" i="5"/>
  <c r="C19" i="5"/>
  <c r="E9" i="5"/>
  <c r="E10" i="5" s="1"/>
  <c r="C21" i="5"/>
  <c r="E21" i="5"/>
  <c r="E22" i="5" s="1"/>
  <c r="C27" i="5"/>
  <c r="E27" i="5"/>
  <c r="E28" i="5" s="1"/>
  <c r="C15" i="5"/>
  <c r="E15" i="5"/>
  <c r="E16" i="5" s="1"/>
  <c r="C18" i="5"/>
  <c r="E18" i="5"/>
  <c r="E19" i="5" s="1"/>
  <c r="C30" i="5"/>
  <c r="E30" i="5"/>
  <c r="E31" i="5" s="1"/>
  <c r="C24" i="5"/>
  <c r="E24" i="5"/>
  <c r="E25" i="5" s="1"/>
  <c r="C12" i="5"/>
  <c r="E12" i="5"/>
  <c r="E13" i="5" s="1"/>
  <c r="C10" i="5"/>
  <c r="C9" i="5"/>
  <c r="G15" i="5"/>
  <c r="F15" i="5"/>
  <c r="B15" i="5"/>
  <c r="G13" i="5"/>
  <c r="F13" i="5"/>
  <c r="B13" i="5"/>
  <c r="B16" i="5"/>
  <c r="G16" i="5"/>
  <c r="F16" i="5"/>
  <c r="G12" i="5"/>
  <c r="F12" i="5"/>
  <c r="B12" i="5"/>
  <c r="G18" i="5"/>
  <c r="F18" i="5"/>
  <c r="B18" i="5"/>
  <c r="G10" i="5"/>
  <c r="F10" i="5"/>
  <c r="B10" i="5"/>
  <c r="G19" i="5"/>
  <c r="F19" i="5"/>
  <c r="B19" i="5"/>
  <c r="G9" i="5"/>
  <c r="F9" i="5"/>
  <c r="B9" i="5"/>
  <c r="G21" i="5"/>
  <c r="F21" i="5"/>
  <c r="B21" i="5"/>
  <c r="G31" i="5"/>
  <c r="F31" i="5"/>
  <c r="B31" i="5"/>
  <c r="G25" i="5"/>
  <c r="F25" i="5"/>
  <c r="B25" i="5"/>
  <c r="G27" i="5"/>
  <c r="F27" i="5"/>
  <c r="B27" i="5"/>
  <c r="G22" i="5"/>
  <c r="F22" i="5"/>
  <c r="B22" i="5"/>
  <c r="G28" i="5"/>
  <c r="F28" i="5"/>
  <c r="B28" i="5"/>
  <c r="G30" i="5"/>
  <c r="F30" i="5"/>
  <c r="B30" i="5"/>
  <c r="G24" i="5"/>
  <c r="F24" i="5"/>
  <c r="B24" i="5"/>
  <c r="D21" i="5"/>
  <c r="D31" i="5"/>
  <c r="D25" i="5"/>
  <c r="D27" i="5"/>
  <c r="D22" i="5"/>
  <c r="D28" i="5"/>
  <c r="D30" i="5"/>
  <c r="D24" i="5"/>
  <c r="D16" i="5"/>
  <c r="D18" i="5"/>
  <c r="D15" i="5"/>
  <c r="D19" i="5"/>
  <c r="D12" i="5"/>
  <c r="D13" i="5"/>
  <c r="D10" i="5"/>
  <c r="D9" i="5"/>
</calcChain>
</file>

<file path=xl/sharedStrings.xml><?xml version="1.0" encoding="utf-8"?>
<sst xmlns="http://schemas.openxmlformats.org/spreadsheetml/2006/main" count="922" uniqueCount="198">
  <si>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</si>
  <si>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</si>
  <si>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</si>
  <si>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</si>
  <si>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</si>
  <si>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</si>
  <si>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</si>
  <si>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</si>
  <si>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</si>
  <si>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Course:</t>
  </si>
  <si>
    <t>Course version:</t>
  </si>
  <si>
    <t>Commencing:</t>
  </si>
  <si>
    <t>Credits to Complete:</t>
  </si>
  <si>
    <t>Year 1</t>
  </si>
  <si>
    <t>OUA Code</t>
  </si>
  <si>
    <t>Study Period</t>
  </si>
  <si>
    <t>Pre-Requisite(s)</t>
  </si>
  <si>
    <t>CP</t>
  </si>
  <si>
    <t>SP1</t>
  </si>
  <si>
    <t>SP2</t>
  </si>
  <si>
    <t>SP3</t>
  </si>
  <si>
    <t>SP4</t>
  </si>
  <si>
    <t>Progress</t>
  </si>
  <si>
    <t>Year 2</t>
  </si>
  <si>
    <t>Option List</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</si>
  <si>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</si>
  <si>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</si>
  <si>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</si>
  <si>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</si>
  <si>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Environment and Climate Emergency</t>
  </si>
  <si>
    <t>OM-ENVCLMSP2</t>
  </si>
  <si>
    <t>RangeUnitSets</t>
  </si>
  <si>
    <t>OC-ENVCLMSP1</t>
  </si>
  <si>
    <t>OC-ENVCLMSP2</t>
  </si>
  <si>
    <t>OC-ENVCLMSP3</t>
  </si>
  <si>
    <t>OC-ENVCLMSP4</t>
  </si>
  <si>
    <t>OG-ENVCLMSP1</t>
  </si>
  <si>
    <t>OG-ENVCLMSP2</t>
  </si>
  <si>
    <t>OG-ENVCLMSP3</t>
  </si>
  <si>
    <t>OG-ENVCLMSP4</t>
  </si>
  <si>
    <t>OM-ENVCLMSP1</t>
  </si>
  <si>
    <t>OM-ENVCLMSP3</t>
  </si>
  <si>
    <t>OM-ENVCLMSP4</t>
  </si>
  <si>
    <t>Structure Line</t>
  </si>
  <si>
    <t>Y1SP1</t>
  </si>
  <si>
    <t>SUST5025</t>
  </si>
  <si>
    <t>Y1SP2</t>
  </si>
  <si>
    <t>SUST5013</t>
  </si>
  <si>
    <t>Y1SP3</t>
  </si>
  <si>
    <t>Y1SP4</t>
  </si>
  <si>
    <t>SUST7001</t>
  </si>
  <si>
    <t>Option</t>
  </si>
  <si>
    <t>SUST5010</t>
  </si>
  <si>
    <t>Version</t>
  </si>
  <si>
    <t>Credit Points</t>
  </si>
  <si>
    <t>Effective Date</t>
  </si>
  <si>
    <t>Graduate Certificate in Environment and Climate Emergency (OpenUnis)</t>
  </si>
  <si>
    <t>OC-ENVCLM</t>
  </si>
  <si>
    <t>v.1</t>
  </si>
  <si>
    <t>100 credit points required</t>
  </si>
  <si>
    <t>Graduate Diploma in Environment and Climate Emergency (OpenUnis)</t>
  </si>
  <si>
    <t>OG-ENVCLM</t>
  </si>
  <si>
    <t>200 credit points required</t>
  </si>
  <si>
    <t>SUST5016</t>
  </si>
  <si>
    <t>SUST5019</t>
  </si>
  <si>
    <t>Master of Environment and Climate Emergency (OpenUnis)</t>
  </si>
  <si>
    <t>OM-ENVCLM</t>
  </si>
  <si>
    <t>v.3</t>
  </si>
  <si>
    <t>400 credit points required</t>
  </si>
  <si>
    <t>URDE6007</t>
  </si>
  <si>
    <t>START</t>
  </si>
  <si>
    <t>Next</t>
  </si>
  <si>
    <t>Next2</t>
  </si>
  <si>
    <t>Next3</t>
  </si>
  <si>
    <t>Y2SP1</t>
  </si>
  <si>
    <t>SUST6005</t>
  </si>
  <si>
    <t>Y2SP2</t>
  </si>
  <si>
    <t>SUST5014</t>
  </si>
  <si>
    <t>Y2SP3</t>
  </si>
  <si>
    <t>Y2SP4</t>
  </si>
  <si>
    <t>SUST5021</t>
  </si>
  <si>
    <t>Study Period 1 (February - May)</t>
  </si>
  <si>
    <t>Study Period 2 (May - August)</t>
  </si>
  <si>
    <t>Study Period 3 (August - November)</t>
  </si>
  <si>
    <t>Study Period 4 (November - February)</t>
  </si>
  <si>
    <t>SUST6001</t>
  </si>
  <si>
    <t>-</t>
  </si>
  <si>
    <t>Elective</t>
  </si>
  <si>
    <t>NB/TP Provided</t>
  </si>
  <si>
    <t>50CP Unit</t>
  </si>
  <si>
    <t>RangeOptions</t>
  </si>
  <si>
    <t>MKTG6027</t>
  </si>
  <si>
    <t>PRJM6013</t>
  </si>
  <si>
    <t>PRJM6015</t>
  </si>
  <si>
    <t>SUST5011</t>
  </si>
  <si>
    <t>URDE5015</t>
  </si>
  <si>
    <t>URDE5016</t>
  </si>
  <si>
    <t>URDE5017</t>
  </si>
  <si>
    <t>URDE6004</t>
  </si>
  <si>
    <t>WORK5001</t>
  </si>
  <si>
    <t>Title</t>
  </si>
  <si>
    <t>NOTES</t>
  </si>
  <si>
    <t>Please note this is a double subject</t>
  </si>
  <si>
    <t>None</t>
  </si>
  <si>
    <t>Study a Postgraduate level Elective subject</t>
  </si>
  <si>
    <t>MMK630</t>
  </si>
  <si>
    <t>Sustainable and Societal Marketing</t>
  </si>
  <si>
    <t>Study an Option Subject from the list below</t>
  </si>
  <si>
    <t>PRM500</t>
  </si>
  <si>
    <t>Project Management Overview</t>
  </si>
  <si>
    <t>PRM510</t>
  </si>
  <si>
    <t>Project and People</t>
  </si>
  <si>
    <t>SCP522</t>
  </si>
  <si>
    <t>Pathways to a Climate Resilient Society</t>
  </si>
  <si>
    <t>SCP541</t>
  </si>
  <si>
    <t>Urban Design for Sustainability</t>
  </si>
  <si>
    <t>SCP543</t>
  </si>
  <si>
    <t>Future Cities</t>
  </si>
  <si>
    <t>SCP544</t>
  </si>
  <si>
    <t>Leadership in Sustainability</t>
  </si>
  <si>
    <t>SCP547</t>
  </si>
  <si>
    <t>Climate Policy</t>
  </si>
  <si>
    <t>SCP548</t>
  </si>
  <si>
    <t>People and Planet</t>
  </si>
  <si>
    <t>SCP549</t>
  </si>
  <si>
    <t>Sustainability, Climate Change and Economics</t>
  </si>
  <si>
    <t>SCP530</t>
  </si>
  <si>
    <t>Sustainable Waste Management</t>
  </si>
  <si>
    <t>SCP691</t>
  </si>
  <si>
    <t>Sustainability Dissertation 2</t>
  </si>
  <si>
    <t>SCP680</t>
  </si>
  <si>
    <t>Sustainability Dissertation 1</t>
  </si>
  <si>
    <t>SCP701</t>
  </si>
  <si>
    <t>Introduction to Environment &amp; Climate Emergency</t>
  </si>
  <si>
    <t>URP530</t>
  </si>
  <si>
    <t>Planning Theory and Context</t>
  </si>
  <si>
    <t>URP500</t>
  </si>
  <si>
    <t>Planning Law</t>
  </si>
  <si>
    <t>URP510</t>
  </si>
  <si>
    <t>Planning for Regions</t>
  </si>
  <si>
    <t>URP640</t>
  </si>
  <si>
    <t>Participatory Planning</t>
  </si>
  <si>
    <t>DBE600</t>
  </si>
  <si>
    <t>Design and Built Environment Research Methods</t>
  </si>
  <si>
    <t>WBP500</t>
  </si>
  <si>
    <t>Effective:</t>
  </si>
  <si>
    <t>CPs</t>
  </si>
  <si>
    <t>No.</t>
  </si>
  <si>
    <t>Component Type</t>
  </si>
  <si>
    <t>Year Level</t>
  </si>
  <si>
    <t>Study Package Code</t>
  </si>
  <si>
    <t>Core</t>
  </si>
  <si>
    <t>Semester 1</t>
  </si>
  <si>
    <t>SCP543 Future Cities</t>
  </si>
  <si>
    <t>SCP530 Sustainable Waste Management</t>
  </si>
  <si>
    <t>SCP701 Introduction to Environment &amp; Climate Emergency</t>
  </si>
  <si>
    <t>Choose your optional unit</t>
  </si>
  <si>
    <t>PRM500 Project Management Overview</t>
  </si>
  <si>
    <t>PRM510 Project and People</t>
  </si>
  <si>
    <t>SCP541 Urban Design for Sustainability</t>
  </si>
  <si>
    <t>SCP544 Leadership in Sustainability</t>
  </si>
  <si>
    <t>SCP549 Sustainability, Climate Change and Economics</t>
  </si>
  <si>
    <t>URP530 Planning Theory and Context</t>
  </si>
  <si>
    <t>URP500 Planning Law</t>
  </si>
  <si>
    <t>URP510 Planning for Regions</t>
  </si>
  <si>
    <t>URP640 Participatory Planning</t>
  </si>
  <si>
    <t>DBE600 Design and Built Environment Research Methods</t>
  </si>
  <si>
    <t>WBP500 Work Based Project</t>
  </si>
  <si>
    <t>Semester 2</t>
  </si>
  <si>
    <t>SCP522 Pathways to a Climate Resilient Society</t>
  </si>
  <si>
    <t>SCP547 Climate Policy</t>
  </si>
  <si>
    <t>SCP548 People and Planet</t>
  </si>
  <si>
    <t>NA</t>
  </si>
  <si>
    <t>SCP680 Sustainability Dissertation 1</t>
  </si>
  <si>
    <t>SCP691 Sustainability Dissertation 2</t>
  </si>
  <si>
    <t>Choose Options</t>
  </si>
  <si>
    <t>Choose an Elective</t>
  </si>
  <si>
    <t>Count of Availability Available to Students Flag</t>
  </si>
  <si>
    <t>Row Labels</t>
  </si>
  <si>
    <t>OpenUnis SP 1</t>
  </si>
  <si>
    <t>OpenUnis SP 2</t>
  </si>
  <si>
    <t>OpenUnis SP 3</t>
  </si>
  <si>
    <t>OpenUnis SP 4</t>
  </si>
  <si>
    <t>Akari Update</t>
  </si>
  <si>
    <t>Choose your commencing study period (drop-down list)</t>
  </si>
  <si>
    <t>Choose your Environment and Climate Emergency Course (drop-down list)</t>
  </si>
  <si>
    <t>2024 Enrolment Planner</t>
  </si>
  <si>
    <t>2024 Availabilities</t>
  </si>
  <si>
    <t>Work Based Project (with approval)</t>
  </si>
  <si>
    <t>See OUA Website</t>
  </si>
  <si>
    <t>Downloaded:</t>
  </si>
  <si>
    <t>Effective</t>
  </si>
  <si>
    <t>Discont.</t>
  </si>
  <si>
    <t>SPK</t>
  </si>
  <si>
    <t>SP1; SP2; SP3; SP4</t>
  </si>
  <si>
    <t>Deactivated 31/12/2023, removed from Options List in SM</t>
  </si>
  <si>
    <t>DBE600 + SCP522 + SCP530 + SCP543 + SCP547 + SCP548 + SCP701</t>
  </si>
  <si>
    <t>SCP690 or SCP680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</si>
</sst>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sz val="12"/>
      <name val="Calibri"/>
      <family val="2"/>
      <scheme val="minor"/>
    </font>
    <font>
      <b/>
      <i/>
      <sz val="12"/>
      <color rgb="FFC00000"/>
      <name val="Calibri"/>
      <family val="2"/>
      <scheme val="minor"/>
    </font>
    <font>
      <sz val="12"/>
      <color rgb="FFFF0000"/>
      <name val="Calibri"/>
      <family val="2"/>
      <scheme val="minor"/>
    </font>
    <font>
      <sz val="12"/>
      <name val="Calibri"/>
      <family val="2"/>
      <scheme val="minor"/>
    </font>
    <font>
      <sz val="9"/>
      <name val="Segoe UI"/>
      <family val="2"/>
    </font>
    <font>
      <b/>
      <i/>
      <sz val="12"/>
      <color theme="1" tint="0.499984740745262"/>
      <name val="Calibri"/>
      <family val="2"/>
      <scheme val="minor"/>
    </font>
    <font>
      <b/>
      <sz val="18"/>
      <color theme="1"/>
      <name val="Segoe UI"/>
      <family val="2"/>
    </font>
    <font>
      <b/>
      <sz val="11"/>
      <color theme="8"/>
      <name val="Segoe UI"/>
      <family val="2"/>
    </font>
    <font>
      <sz val="8"/>
      <color rgb="FF00B050"/>
      <name val="Arial"/>
      <family val="2"/>
    </font>
    <font>
      <b/>
      <sz val="10"/>
      <name val="Segoe UI"/>
      <family val="2"/>
    </font>
    <font>
      <b/>
      <sz val="10"/>
      <color theme="1"/>
      <name val="Segoe UI"/>
      <family val="2"/>
    </font>
    <font>
      <b/>
      <sz val="16"/>
      <color theme="1"/>
      <name val="Segoe UI"/>
      <family val="2"/>
    </font>
  </fonts>
  <fills count="14">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bottom/>
      <diagonal/>
    </border>
    <border>
      <left/>
      <right style="thin">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style="thin">
        <color theme="0" tint="-0.14990691854609822"/>
      </left>
      <right/>
      <top style="thin">
        <color theme="0" tint="-0.14993743705557422"/>
      </top>
      <bottom style="thin">
        <color theme="0" tint="-0.14996795556505021"/>
      </bottom>
      <diagonal/>
    </border>
    <border>
      <left/>
      <right style="thin">
        <color theme="0" tint="-0.14990691854609822"/>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s>
  <cellStyleXfs count="3">
    <xf numFmtId="0" fontId="0" fillId="0" borderId="0"/>
    <xf numFmtId="0" fontId="1" fillId="0" borderId="0"/>
    <xf numFmtId="0" fontId="28" fillId="0" borderId="0" applyNumberFormat="0" applyFill="0" applyBorder="0" applyAlignment="0" applyProtection="0"/>
  </cellStyleXfs>
  <cellXfs count="357">
    <xf numFmtId="0" fontId="0" fillId="0" borderId="0" xfId="0"/>
    <xf numFmtId="0" fontId="2" fillId="3" borderId="1" xfId="0" applyFont="1" applyFill="1" applyBorder="1"/>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5" borderId="0" xfId="0" applyFont="1" applyFill="1"/>
    <xf numFmtId="0" fontId="5" fillId="5" borderId="0" xfId="0" applyFont="1" applyFill="1" applyAlignment="1">
      <alignment horizontal="center"/>
    </xf>
    <xf numFmtId="0" fontId="7" fillId="0" borderId="0" xfId="0" applyFont="1" applyAlignment="1">
      <alignment horizontal="center"/>
    </xf>
    <xf numFmtId="0" fontId="16" fillId="0" borderId="0" xfId="0" applyFont="1"/>
    <xf numFmtId="0" fontId="5" fillId="5" borderId="0" xfId="0" applyFont="1" applyFill="1" applyAlignment="1">
      <alignment horizontal="left"/>
    </xf>
    <xf numFmtId="0" fontId="5" fillId="5" borderId="7" xfId="0" applyFont="1" applyFill="1" applyBorder="1" applyAlignment="1">
      <alignment horizontal="center"/>
    </xf>
    <xf numFmtId="0" fontId="5" fillId="5" borderId="6" xfId="0" applyFont="1" applyFill="1" applyBorder="1" applyAlignment="1">
      <alignment horizontal="left"/>
    </xf>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32" fillId="2" borderId="0" xfId="1" applyFont="1" applyFill="1" applyProtection="1">
      <protection locked="0"/>
    </xf>
    <xf numFmtId="0" fontId="32"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17" fillId="0" borderId="0" xfId="0" applyFont="1"/>
    <xf numFmtId="0" fontId="2" fillId="0" borderId="0" xfId="0" applyFont="1"/>
    <xf numFmtId="0" fontId="8" fillId="0" borderId="0" xfId="0" applyFont="1" applyAlignment="1">
      <alignment horizontal="center"/>
    </xf>
    <xf numFmtId="0" fontId="5" fillId="5" borderId="8" xfId="0" applyFont="1" applyFill="1" applyBorder="1" applyAlignment="1">
      <alignment horizontal="left"/>
    </xf>
    <xf numFmtId="0" fontId="4" fillId="0" borderId="6"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right" vertical="center"/>
    </xf>
    <xf numFmtId="0" fontId="4" fillId="0" borderId="23"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0" fillId="0" borderId="0" xfId="0" applyAlignment="1">
      <alignment vertical="center"/>
    </xf>
    <xf numFmtId="0" fontId="0" fillId="0" borderId="30" xfId="0" applyBorder="1" applyAlignment="1">
      <alignment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3" fillId="5" borderId="8" xfId="0" applyFont="1" applyFill="1" applyBorder="1" applyAlignment="1">
      <alignment horizontal="left"/>
    </xf>
    <xf numFmtId="0" fontId="44" fillId="0" borderId="0" xfId="0" applyFont="1"/>
    <xf numFmtId="0" fontId="2" fillId="3" borderId="34" xfId="0" applyFont="1" applyFill="1" applyBorder="1" applyAlignment="1">
      <alignment horizontal="right" vertical="center"/>
    </xf>
    <xf numFmtId="0" fontId="4" fillId="0" borderId="7"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5" fillId="0" borderId="0" xfId="0" applyFont="1"/>
    <xf numFmtId="0" fontId="5" fillId="5" borderId="3" xfId="0" applyFont="1" applyFill="1" applyBorder="1" applyAlignment="1">
      <alignment horizontal="left"/>
    </xf>
    <xf numFmtId="0" fontId="5" fillId="5" borderId="4" xfId="0" applyFont="1" applyFill="1" applyBorder="1" applyAlignment="1">
      <alignment horizontal="left"/>
    </xf>
    <xf numFmtId="0" fontId="5" fillId="5" borderId="5" xfId="0" applyFont="1" applyFill="1" applyBorder="1" applyAlignment="1">
      <alignment horizontal="left"/>
    </xf>
    <xf numFmtId="0" fontId="8" fillId="7" borderId="0" xfId="0" applyFont="1" applyFill="1"/>
    <xf numFmtId="0" fontId="10" fillId="6" borderId="0" xfId="0" applyFont="1" applyFill="1" applyAlignment="1">
      <alignment horizontal="center"/>
    </xf>
    <xf numFmtId="0" fontId="10" fillId="6" borderId="3" xfId="0" applyFont="1" applyFill="1" applyBorder="1" applyAlignment="1">
      <alignment horizontal="center"/>
    </xf>
    <xf numFmtId="0" fontId="10" fillId="6" borderId="4" xfId="0" applyFont="1" applyFill="1" applyBorder="1" applyAlignment="1">
      <alignment horizontal="center"/>
    </xf>
    <xf numFmtId="0" fontId="6" fillId="6" borderId="4" xfId="0" applyFont="1" applyFill="1" applyBorder="1" applyAlignment="1">
      <alignment horizont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6" fillId="6" borderId="0" xfId="0" applyFont="1" applyFill="1" applyAlignment="1">
      <alignment horizontal="center"/>
    </xf>
    <xf numFmtId="0" fontId="10" fillId="6" borderId="7" xfId="0" applyFont="1" applyFill="1" applyBorder="1" applyAlignment="1">
      <alignment horizontal="center"/>
    </xf>
    <xf numFmtId="0" fontId="8" fillId="6" borderId="0" xfId="0" applyFont="1" applyFill="1" applyAlignment="1">
      <alignment horizontal="center"/>
    </xf>
    <xf numFmtId="0" fontId="44" fillId="0" borderId="0" xfId="0" applyFont="1" applyAlignment="1">
      <alignment horizontal="right"/>
    </xf>
    <xf numFmtId="14" fontId="44" fillId="0" borderId="0" xfId="0" applyNumberFormat="1" applyFont="1"/>
    <xf numFmtId="0" fontId="0" fillId="0" borderId="0" xfId="0"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45" fillId="0" borderId="0" xfId="0" applyFont="1" applyAlignment="1">
      <alignmen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8" fillId="7" borderId="0" xfId="0" applyFont="1" applyFill="1" applyAlignment="1">
      <alignment wrapText="1"/>
    </xf>
    <xf numFmtId="0" fontId="48" fillId="0" borderId="0" xfId="0" applyFont="1" applyAlignment="1">
      <alignment horizontal="right"/>
    </xf>
    <xf numFmtId="0" fontId="45" fillId="0" borderId="0" xfId="0" applyFont="1" applyAlignment="1">
      <alignment horizontal="right" wrapText="1"/>
    </xf>
    <xf numFmtId="0" fontId="4" fillId="8" borderId="24" xfId="0" applyFont="1" applyFill="1" applyBorder="1" applyAlignment="1">
      <alignment horizontal="center" vertical="center"/>
    </xf>
    <xf numFmtId="0" fontId="4" fillId="8" borderId="26" xfId="0" applyFont="1" applyFill="1" applyBorder="1" applyAlignment="1">
      <alignment horizontal="center" vertical="center"/>
    </xf>
    <xf numFmtId="0" fontId="4" fillId="8" borderId="29" xfId="0" applyFont="1" applyFill="1" applyBorder="1" applyAlignment="1">
      <alignment horizontal="center" vertical="center"/>
    </xf>
    <xf numFmtId="0" fontId="3" fillId="8" borderId="0" xfId="0" applyFont="1" applyFill="1" applyAlignment="1">
      <alignment horizontal="center" vertical="center"/>
    </xf>
    <xf numFmtId="0" fontId="22" fillId="2" borderId="50" xfId="1" applyFont="1" applyFill="1" applyBorder="1" applyAlignment="1" applyProtection="1">
      <alignment horizontal="left" vertical="center" wrapText="1"/>
      <protection locked="0"/>
    </xf>
    <xf numFmtId="0" fontId="22" fillId="2" borderId="55" xfId="1" applyFont="1" applyFill="1" applyBorder="1" applyAlignment="1" applyProtection="1">
      <alignment horizontal="left" vertical="center" wrapText="1"/>
      <protection locked="0"/>
    </xf>
    <xf numFmtId="0" fontId="22" fillId="0" borderId="50" xfId="1" applyFont="1" applyBorder="1" applyAlignment="1" applyProtection="1">
      <alignment horizontal="left" vertical="center" wrapText="1"/>
      <protection locked="0"/>
    </xf>
    <xf numFmtId="0" fontId="22" fillId="0" borderId="55" xfId="1" applyFont="1" applyBorder="1" applyAlignment="1" applyProtection="1">
      <alignment horizontal="left" vertical="center" wrapText="1"/>
      <protection locked="0"/>
    </xf>
    <xf numFmtId="0" fontId="29" fillId="10" borderId="0" xfId="2" applyFont="1" applyFill="1" applyAlignment="1" applyProtection="1">
      <alignment vertical="center"/>
    </xf>
    <xf numFmtId="0" fontId="28" fillId="10" borderId="0" xfId="2" applyFill="1" applyAlignment="1" applyProtection="1">
      <alignment vertical="center"/>
    </xf>
    <xf numFmtId="0" fontId="51" fillId="0" borderId="0" xfId="0" applyFont="1" applyAlignment="1">
      <alignment horizontal="center" vertical="center"/>
    </xf>
    <xf numFmtId="0" fontId="11" fillId="0" borderId="39" xfId="0"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11" fillId="0" borderId="30" xfId="0" applyFont="1" applyBorder="1" applyAlignment="1">
      <alignment horizontal="center"/>
    </xf>
    <xf numFmtId="0" fontId="11" fillId="0" borderId="0" xfId="0" applyFont="1" applyAlignment="1">
      <alignment horizontal="center"/>
    </xf>
    <xf numFmtId="0" fontId="11" fillId="0" borderId="42" xfId="0" applyFont="1" applyBorder="1" applyAlignment="1">
      <alignment horizontal="center"/>
    </xf>
    <xf numFmtId="0" fontId="11" fillId="0" borderId="43" xfId="0" applyFont="1" applyBorder="1" applyAlignment="1">
      <alignment horizontal="center"/>
    </xf>
    <xf numFmtId="0" fontId="11" fillId="0" borderId="44" xfId="0" applyFont="1" applyBorder="1" applyAlignment="1">
      <alignment horizontal="center"/>
    </xf>
    <xf numFmtId="0" fontId="11" fillId="0" borderId="45" xfId="0" applyFont="1" applyBorder="1" applyAlignment="1">
      <alignment horizontal="center"/>
    </xf>
    <xf numFmtId="0" fontId="52" fillId="2" borderId="0" xfId="1" applyFont="1" applyFill="1" applyAlignment="1" applyProtection="1">
      <alignment vertical="center"/>
      <protection locked="0"/>
    </xf>
    <xf numFmtId="0" fontId="53" fillId="2" borderId="0" xfId="1" applyFont="1" applyFill="1" applyAlignment="1" applyProtection="1">
      <alignment vertical="center"/>
      <protection locked="0"/>
    </xf>
    <xf numFmtId="0" fontId="4" fillId="0" borderId="31" xfId="0" applyFont="1" applyBorder="1" applyAlignment="1">
      <alignment horizontal="center" vertical="center"/>
    </xf>
    <xf numFmtId="0" fontId="4" fillId="0" borderId="37" xfId="0" applyFont="1" applyBorder="1" applyAlignment="1">
      <alignment horizontal="center" vertical="center"/>
    </xf>
    <xf numFmtId="0" fontId="4" fillId="0" borderId="4" xfId="0" applyFont="1" applyBorder="1" applyAlignment="1">
      <alignment horizontal="center" vertical="center"/>
    </xf>
    <xf numFmtId="0" fontId="22" fillId="2" borderId="50" xfId="1" applyFont="1" applyFill="1" applyBorder="1" applyAlignment="1" applyProtection="1">
      <alignment vertical="center" wrapText="1"/>
      <protection locked="0"/>
    </xf>
    <xf numFmtId="0" fontId="22" fillId="2" borderId="55" xfId="1" applyFont="1" applyFill="1" applyBorder="1" applyAlignment="1" applyProtection="1">
      <alignment vertical="center" wrapText="1"/>
      <protection locked="0"/>
    </xf>
    <xf numFmtId="0" fontId="22" fillId="0" borderId="50" xfId="1" applyFont="1" applyBorder="1" applyAlignment="1" applyProtection="1">
      <alignment vertical="center" wrapText="1"/>
      <protection locked="0"/>
    </xf>
    <xf numFmtId="0" fontId="22" fillId="0" borderId="55" xfId="1" applyFont="1" applyBorder="1" applyAlignment="1" applyProtection="1">
      <alignment vertical="center" wrapText="1"/>
      <protection locked="0"/>
    </xf>
    <xf numFmtId="0" fontId="47" fillId="0" borderId="18" xfId="1" applyFont="1" applyBorder="1" applyAlignment="1" applyProtection="1">
      <alignment horizontal="left" vertical="center" wrapText="1"/>
      <protection locked="0"/>
    </xf>
    <xf numFmtId="0" fontId="38" fillId="9"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22" fillId="0" borderId="0" xfId="1" applyFont="1" applyAlignment="1">
      <alignment vertical="top" wrapText="1"/>
    </xf>
    <xf numFmtId="0" fontId="23" fillId="9" borderId="0" xfId="1" applyFont="1" applyFill="1" applyAlignment="1">
      <alignment horizontal="center" vertical="center"/>
    </xf>
    <xf numFmtId="0" fontId="23" fillId="9" borderId="0" xfId="1" applyFont="1" applyFill="1" applyAlignment="1">
      <alignment horizontal="left" vertical="center" indent="1"/>
    </xf>
    <xf numFmtId="0" fontId="23" fillId="9" borderId="0" xfId="1" applyFont="1" applyFill="1" applyAlignment="1">
      <alignment vertical="center" wrapText="1"/>
    </xf>
    <xf numFmtId="0" fontId="23" fillId="9" borderId="19" xfId="1" applyFont="1" applyFill="1" applyBorder="1" applyAlignment="1">
      <alignment horizontal="left" vertical="center"/>
    </xf>
    <xf numFmtId="0" fontId="23" fillId="9" borderId="0" xfId="1" applyFont="1" applyFill="1" applyAlignment="1">
      <alignment horizontal="left" vertical="center"/>
    </xf>
    <xf numFmtId="0" fontId="23" fillId="9" borderId="15" xfId="1" applyFont="1" applyFill="1" applyBorder="1" applyAlignment="1">
      <alignment horizontal="left" vertical="center"/>
    </xf>
    <xf numFmtId="0" fontId="23" fillId="9" borderId="0" xfId="1" applyFont="1" applyFill="1" applyAlignment="1">
      <alignment vertical="center"/>
    </xf>
    <xf numFmtId="0" fontId="24" fillId="2" borderId="0" xfId="1" applyFont="1" applyFill="1" applyAlignment="1">
      <alignment vertical="center"/>
    </xf>
    <xf numFmtId="0" fontId="23" fillId="9" borderId="0" xfId="1" applyFont="1" applyFill="1" applyAlignment="1">
      <alignment horizontal="center" vertical="center" wrapText="1"/>
    </xf>
    <xf numFmtId="0" fontId="23" fillId="9" borderId="19" xfId="1" applyFont="1" applyFill="1" applyBorder="1" applyAlignment="1">
      <alignment horizontal="center" vertical="center" wrapText="1"/>
    </xf>
    <xf numFmtId="0" fontId="23" fillId="9" borderId="15"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47" xfId="1" applyFont="1" applyFill="1" applyBorder="1" applyAlignment="1">
      <alignment horizontal="center" vertical="center" wrapText="1"/>
    </xf>
    <xf numFmtId="0" fontId="22" fillId="2" borderId="47" xfId="1" applyFont="1" applyFill="1" applyBorder="1" applyAlignment="1">
      <alignment vertical="center" wrapText="1"/>
    </xf>
    <xf numFmtId="0" fontId="25" fillId="2" borderId="47" xfId="1" applyFont="1" applyFill="1" applyBorder="1" applyAlignment="1">
      <alignment horizontal="center" vertical="center" wrapText="1"/>
    </xf>
    <xf numFmtId="0" fontId="22" fillId="2" borderId="48" xfId="1" applyFont="1" applyFill="1" applyBorder="1" applyAlignment="1">
      <alignment horizontal="center" vertical="center" wrapText="1"/>
    </xf>
    <xf numFmtId="0" fontId="22" fillId="2" borderId="49" xfId="1" applyFont="1" applyFill="1" applyBorder="1" applyAlignment="1">
      <alignment horizontal="center" vertical="center" wrapText="1"/>
    </xf>
    <xf numFmtId="0" fontId="26" fillId="0" borderId="0" xfId="1" applyFont="1" applyAlignment="1">
      <alignment horizontal="left" vertical="top" wrapText="1"/>
    </xf>
    <xf numFmtId="0" fontId="24" fillId="2" borderId="0" xfId="1" applyFont="1" applyFill="1" applyAlignment="1">
      <alignment wrapText="1"/>
    </xf>
    <xf numFmtId="0" fontId="22" fillId="2" borderId="51" xfId="1" applyFont="1" applyFill="1" applyBorder="1" applyAlignment="1">
      <alignment horizontal="center" vertical="center" wrapText="1"/>
    </xf>
    <xf numFmtId="0" fontId="22" fillId="2" borderId="52" xfId="1" applyFont="1" applyFill="1" applyBorder="1" applyAlignment="1">
      <alignment horizontal="center" vertical="center" wrapText="1"/>
    </xf>
    <xf numFmtId="0" fontId="22" fillId="2" borderId="52" xfId="1" applyFont="1" applyFill="1" applyBorder="1" applyAlignment="1">
      <alignment vertical="center" wrapText="1"/>
    </xf>
    <xf numFmtId="0" fontId="25" fillId="2"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0" fontId="22" fillId="0" borderId="47" xfId="1" applyFont="1" applyBorder="1" applyAlignment="1">
      <alignment horizontal="center" vertical="center" wrapText="1"/>
    </xf>
    <xf numFmtId="0" fontId="22" fillId="0" borderId="48" xfId="1" applyFont="1" applyBorder="1" applyAlignment="1">
      <alignment horizontal="center" vertical="center" wrapText="1"/>
    </xf>
    <xf numFmtId="0" fontId="22" fillId="0" borderId="49" xfId="1" applyFont="1" applyBorder="1" applyAlignment="1">
      <alignment horizontal="center" vertical="center" wrapText="1"/>
    </xf>
    <xf numFmtId="0" fontId="22" fillId="0" borderId="52" xfId="1" applyFont="1" applyBorder="1" applyAlignment="1">
      <alignment horizontal="center" vertical="center" wrapText="1"/>
    </xf>
    <xf numFmtId="0" fontId="22" fillId="0" borderId="53" xfId="1" applyFont="1" applyBorder="1" applyAlignment="1">
      <alignment horizontal="center" vertical="center" wrapText="1"/>
    </xf>
    <xf numFmtId="0" fontId="22" fillId="0" borderId="54" xfId="1" applyFont="1" applyBorder="1" applyAlignment="1">
      <alignment horizontal="center" vertical="center" wrapText="1"/>
    </xf>
    <xf numFmtId="0" fontId="24" fillId="2" borderId="0" xfId="1" applyFont="1" applyFill="1"/>
    <xf numFmtId="0" fontId="22" fillId="0" borderId="52" xfId="1" applyFont="1" applyBorder="1" applyAlignment="1">
      <alignment horizontal="left" vertical="center"/>
    </xf>
    <xf numFmtId="0" fontId="22" fillId="0" borderId="47" xfId="1" applyFont="1" applyBorder="1" applyAlignment="1">
      <alignment vertical="center" wrapText="1"/>
    </xf>
    <xf numFmtId="0" fontId="22" fillId="0" borderId="47" xfId="1" applyFont="1" applyBorder="1" applyAlignment="1">
      <alignment horizontal="left" vertical="center"/>
    </xf>
    <xf numFmtId="0" fontId="22"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22" fillId="0" borderId="51" xfId="1" applyFont="1" applyBorder="1" applyAlignment="1">
      <alignment horizontal="center" vertical="center" wrapText="1"/>
    </xf>
    <xf numFmtId="0" fontId="25" fillId="0" borderId="52" xfId="1" applyFont="1" applyBorder="1" applyAlignment="1">
      <alignment horizontal="center" vertical="center" wrapText="1"/>
    </xf>
    <xf numFmtId="0" fontId="33" fillId="2" borderId="0" xfId="1" applyFont="1" applyFill="1" applyAlignment="1">
      <alignment horizontal="left" vertical="center" wrapText="1"/>
    </xf>
    <xf numFmtId="0" fontId="34" fillId="2" borderId="0" xfId="1" applyFont="1" applyFill="1" applyAlignment="1">
      <alignment horizontal="left" vertical="center" wrapText="1"/>
    </xf>
    <xf numFmtId="0" fontId="35" fillId="2" borderId="0" xfId="1" applyFont="1" applyFill="1" applyAlignment="1">
      <alignment vertical="center"/>
    </xf>
    <xf numFmtId="0" fontId="36" fillId="2" borderId="0" xfId="1" applyFont="1" applyFill="1"/>
    <xf numFmtId="0" fontId="40" fillId="9" borderId="0" xfId="1" applyFont="1" applyFill="1" applyAlignment="1">
      <alignment vertical="center" readingOrder="1"/>
    </xf>
    <xf numFmtId="0" fontId="37" fillId="9" borderId="0" xfId="1" applyFont="1" applyFill="1" applyAlignment="1">
      <alignment horizontal="left" vertical="center" readingOrder="1"/>
    </xf>
    <xf numFmtId="0" fontId="21" fillId="9" borderId="0" xfId="1" applyFont="1" applyFill="1" applyAlignment="1">
      <alignment horizontal="left" vertical="center" readingOrder="1"/>
    </xf>
    <xf numFmtId="0" fontId="40" fillId="9" borderId="0" xfId="1" applyFont="1" applyFill="1" applyAlignment="1">
      <alignment horizontal="center" vertical="center" readingOrder="1"/>
    </xf>
    <xf numFmtId="0" fontId="23" fillId="9" borderId="19" xfId="1" applyFont="1" applyFill="1" applyBorder="1" applyAlignment="1">
      <alignment vertical="center" readingOrder="1"/>
    </xf>
    <xf numFmtId="0" fontId="23" fillId="9" borderId="0" xfId="1" applyFont="1" applyFill="1" applyAlignment="1">
      <alignment vertical="center" readingOrder="1"/>
    </xf>
    <xf numFmtId="0" fontId="40" fillId="9" borderId="15" xfId="1" applyFont="1" applyFill="1" applyBorder="1" applyAlignment="1">
      <alignment vertical="center" readingOrder="1"/>
    </xf>
    <xf numFmtId="0" fontId="50" fillId="9" borderId="0" xfId="1" applyFont="1" applyFill="1" applyAlignment="1">
      <alignment horizontal="right" vertical="center" readingOrder="1"/>
    </xf>
    <xf numFmtId="0" fontId="23" fillId="9" borderId="0" xfId="1" applyFont="1" applyFill="1" applyAlignment="1">
      <alignment horizontal="left" vertical="center" readingOrder="1"/>
    </xf>
    <xf numFmtId="0" fontId="23" fillId="9" borderId="19" xfId="1" applyFont="1" applyFill="1" applyBorder="1" applyAlignment="1">
      <alignment horizontal="center" vertical="center" wrapText="1" readingOrder="1"/>
    </xf>
    <xf numFmtId="0" fontId="23" fillId="9" borderId="0" xfId="1" applyFont="1" applyFill="1" applyAlignment="1">
      <alignment horizontal="center" vertical="center" wrapText="1" readingOrder="1"/>
    </xf>
    <xf numFmtId="0" fontId="23" fillId="9" borderId="15" xfId="1" applyFont="1" applyFill="1" applyBorder="1" applyAlignment="1">
      <alignment horizontal="center" vertical="center" wrapText="1" readingOrder="1"/>
    </xf>
    <xf numFmtId="0" fontId="23" fillId="9" borderId="0" xfId="1" applyFont="1" applyFill="1" applyAlignment="1">
      <alignment horizontal="center" vertical="top"/>
    </xf>
    <xf numFmtId="0" fontId="47" fillId="0" borderId="16" xfId="1" applyFont="1" applyBorder="1" applyAlignment="1">
      <alignment horizontal="center" vertical="center"/>
    </xf>
    <xf numFmtId="0" fontId="47" fillId="0" borderId="17" xfId="1" applyFont="1" applyBorder="1" applyAlignment="1">
      <alignment horizontal="center" vertical="center"/>
    </xf>
    <xf numFmtId="0" fontId="47" fillId="0" borderId="17" xfId="1" applyFont="1" applyBorder="1" applyAlignment="1">
      <alignment vertical="center"/>
    </xf>
    <xf numFmtId="0" fontId="47" fillId="0" borderId="17" xfId="1" applyFont="1" applyBorder="1" applyAlignment="1">
      <alignment horizontal="center" vertical="center" wrapText="1"/>
    </xf>
    <xf numFmtId="0" fontId="47" fillId="0" borderId="20" xfId="1" applyFont="1" applyBorder="1" applyAlignment="1">
      <alignment horizontal="center" vertical="center" wrapText="1"/>
    </xf>
    <xf numFmtId="0" fontId="47" fillId="0" borderId="21" xfId="1" applyFont="1" applyBorder="1" applyAlignment="1">
      <alignment horizontal="center" vertical="center" wrapText="1"/>
    </xf>
    <xf numFmtId="0" fontId="31" fillId="2" borderId="0" xfId="1" applyFont="1" applyFill="1"/>
    <xf numFmtId="0" fontId="33" fillId="2" borderId="0" xfId="1" applyFont="1" applyFill="1" applyAlignment="1">
      <alignment vertical="center"/>
    </xf>
    <xf numFmtId="0" fontId="12" fillId="2" borderId="0" xfId="1" applyFont="1" applyFill="1" applyAlignment="1">
      <alignment vertical="center"/>
    </xf>
    <xf numFmtId="0" fontId="35" fillId="2" borderId="0" xfId="1" applyFont="1" applyFill="1" applyAlignment="1">
      <alignment horizontal="right" vertical="center"/>
    </xf>
    <xf numFmtId="14" fontId="10" fillId="0" borderId="0" xfId="0" applyNumberFormat="1" applyFont="1" applyAlignment="1">
      <alignment horizontal="center"/>
    </xf>
    <xf numFmtId="0" fontId="19" fillId="12" borderId="13" xfId="1" applyFont="1" applyFill="1" applyBorder="1" applyAlignment="1">
      <alignment vertical="center"/>
    </xf>
    <xf numFmtId="0" fontId="19" fillId="12" borderId="14" xfId="1" applyFont="1" applyFill="1" applyBorder="1" applyAlignment="1">
      <alignment vertical="center"/>
    </xf>
    <xf numFmtId="0" fontId="49" fillId="12" borderId="14" xfId="1" applyFont="1" applyFill="1" applyBorder="1" applyAlignment="1">
      <alignment horizontal="center" vertical="center"/>
    </xf>
    <xf numFmtId="0" fontId="41" fillId="12" borderId="14" xfId="1" applyFont="1" applyFill="1" applyBorder="1" applyAlignment="1">
      <alignment vertical="center"/>
    </xf>
    <xf numFmtId="0" fontId="54" fillId="12" borderId="14" xfId="1" applyFont="1" applyFill="1" applyBorder="1" applyAlignment="1">
      <alignment horizontal="right" vertical="center"/>
    </xf>
    <xf numFmtId="0" fontId="18" fillId="0" borderId="0" xfId="1" applyFont="1" applyAlignment="1">
      <alignment horizontal="center"/>
    </xf>
    <xf numFmtId="0" fontId="9" fillId="0" borderId="0" xfId="1" applyFont="1" applyAlignment="1">
      <alignment horizontal="center" vertical="center"/>
    </xf>
    <xf numFmtId="0" fontId="18" fillId="0" borderId="0" xfId="1" applyFont="1"/>
    <xf numFmtId="0" fontId="47" fillId="0" borderId="0" xfId="1" applyFont="1" applyBorder="1" applyAlignment="1">
      <alignment horizontal="center" vertical="center"/>
    </xf>
    <xf numFmtId="0" fontId="47" fillId="0" borderId="0" xfId="1" applyFont="1" applyBorder="1" applyAlignment="1">
      <alignment vertical="center"/>
    </xf>
    <xf numFmtId="0" fontId="47" fillId="0" borderId="0" xfId="1" applyFont="1" applyBorder="1" applyAlignment="1">
      <alignment horizontal="center" vertical="center" wrapText="1"/>
    </xf>
    <xf numFmtId="0" fontId="47" fillId="0" borderId="0" xfId="1" applyFont="1" applyBorder="1" applyAlignment="1" applyProtection="1">
      <alignment horizontal="left" vertical="center" wrapText="1"/>
      <protection locked="0"/>
    </xf>
    <xf numFmtId="0" fontId="22" fillId="12" borderId="11" xfId="1" applyFont="1" applyFill="1" applyBorder="1" applyAlignment="1">
      <alignment horizontal="center" vertical="center" wrapText="1"/>
    </xf>
    <xf numFmtId="0" fontId="22" fillId="12" borderId="0" xfId="1" applyFont="1" applyFill="1" applyAlignment="1">
      <alignment horizontal="center" vertical="center" wrapText="1"/>
    </xf>
    <xf numFmtId="0" fontId="22" fillId="12" borderId="0" xfId="1" applyFont="1" applyFill="1" applyAlignment="1">
      <alignment vertical="center" wrapText="1"/>
    </xf>
    <xf numFmtId="0" fontId="25" fillId="12" borderId="0" xfId="1" applyFont="1" applyFill="1" applyAlignment="1">
      <alignment horizontal="left" vertical="center" wrapText="1"/>
    </xf>
    <xf numFmtId="0" fontId="42" fillId="12" borderId="19" xfId="1" applyFont="1" applyFill="1" applyBorder="1" applyAlignment="1">
      <alignment horizontal="center" vertical="center" wrapText="1"/>
    </xf>
    <xf numFmtId="0" fontId="42" fillId="12" borderId="0" xfId="1" applyFont="1" applyFill="1" applyAlignment="1">
      <alignment horizontal="center" vertical="center" wrapText="1"/>
    </xf>
    <xf numFmtId="0" fontId="42" fillId="12" borderId="15" xfId="1" applyFont="1" applyFill="1" applyBorder="1" applyAlignment="1">
      <alignment horizontal="center" vertical="center" wrapText="1"/>
    </xf>
    <xf numFmtId="0" fontId="22" fillId="12" borderId="15" xfId="1" applyFont="1" applyFill="1" applyBorder="1" applyAlignment="1">
      <alignment horizontal="left" vertical="center" wrapText="1"/>
    </xf>
    <xf numFmtId="0" fontId="22" fillId="12" borderId="15" xfId="1" applyFont="1" applyFill="1" applyBorder="1" applyAlignment="1">
      <alignment vertical="center" wrapText="1"/>
    </xf>
    <xf numFmtId="0" fontId="22" fillId="12" borderId="19" xfId="1" applyFont="1" applyFill="1" applyBorder="1" applyAlignment="1">
      <alignment horizontal="center" vertical="center" wrapText="1"/>
    </xf>
    <xf numFmtId="0" fontId="22" fillId="12" borderId="15" xfId="1" applyFont="1" applyFill="1" applyBorder="1" applyAlignment="1">
      <alignment horizontal="center" vertical="center" wrapText="1"/>
    </xf>
    <xf numFmtId="0" fontId="1" fillId="0" borderId="0" xfId="1" applyAlignment="1">
      <alignment horizontal="center" vertical="center"/>
    </xf>
    <xf numFmtId="0" fontId="26" fillId="0" borderId="0" xfId="1" applyFont="1" applyAlignment="1">
      <alignment horizontal="center" vertical="center" wrapText="1"/>
    </xf>
    <xf numFmtId="0" fontId="24" fillId="2" borderId="0" xfId="1" applyFont="1" applyFill="1" applyAlignment="1">
      <alignment horizontal="center" vertical="center"/>
    </xf>
    <xf numFmtId="0" fontId="36" fillId="2" borderId="0" xfId="1" applyFont="1" applyFill="1" applyAlignment="1">
      <alignment horizontal="center" vertical="center"/>
    </xf>
    <xf numFmtId="0" fontId="0" fillId="11" borderId="0" xfId="0" applyFill="1"/>
    <xf numFmtId="14" fontId="0" fillId="11" borderId="0" xfId="0" applyNumberFormat="1" applyFill="1"/>
    <xf numFmtId="0" fontId="46" fillId="0" borderId="0" xfId="0" applyFont="1" applyAlignment="1">
      <alignment horizontal="right"/>
    </xf>
    <xf numFmtId="0" fontId="10" fillId="13" borderId="0" xfId="0" applyFont="1" applyFill="1" applyAlignment="1">
      <alignment horizontal="center"/>
    </xf>
    <xf numFmtId="0" fontId="0" fillId="0" borderId="0" xfId="0" applyNumberFormat="1" applyAlignment="1">
      <alignment vertical="center"/>
    </xf>
    <xf numFmtId="14" fontId="46" fillId="0" borderId="0" xfId="0" applyNumberFormat="1" applyFont="1"/>
    <xf numFmtId="0" fontId="44" fillId="13" borderId="0" xfId="0" applyFont="1" applyFill="1"/>
    <xf numFmtId="0" fontId="7" fillId="0" borderId="0" xfId="0" applyFont="1" applyFill="1" applyAlignment="1">
      <alignment horizontal="left"/>
    </xf>
    <xf numFmtId="0" fontId="5" fillId="5" borderId="8" xfId="0" applyFont="1" applyFill="1" applyBorder="1" applyAlignment="1">
      <alignment horizontal="left" textRotation="90"/>
    </xf>
    <xf numFmtId="0" fontId="37" fillId="2" borderId="0" xfId="1" applyFont="1" applyFill="1" applyAlignment="1">
      <alignment horizontal="right" vertical="center"/>
    </xf>
    <xf numFmtId="0" fontId="38" fillId="9" borderId="12" xfId="1" applyFont="1" applyFill="1" applyBorder="1" applyAlignment="1">
      <alignment horizontal="left" vertical="center" wrapText="1"/>
    </xf>
    <xf numFmtId="0" fontId="27" fillId="2" borderId="0" xfId="1" applyFont="1" applyFill="1" applyAlignment="1">
      <alignment horizontal="center" vertical="center" wrapText="1"/>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vertical="center"/>
    </xf>
    <xf numFmtId="0" fontId="18" fillId="0" borderId="0" xfId="1" applyFont="1" applyProtection="1"/>
    <xf numFmtId="0" fontId="38" fillId="9" borderId="12" xfId="1" applyFont="1" applyFill="1" applyBorder="1" applyAlignment="1" applyProtection="1">
      <alignment horizontal="left" vertical="center" wrapText="1"/>
    </xf>
    <xf numFmtId="0" fontId="38" fillId="9" borderId="0" xfId="1" applyFont="1" applyFill="1" applyAlignment="1" applyProtection="1">
      <alignment vertical="center" wrapText="1"/>
    </xf>
    <xf numFmtId="0" fontId="19" fillId="12" borderId="13" xfId="1" applyFont="1" applyFill="1" applyBorder="1" applyAlignment="1" applyProtection="1">
      <alignment vertical="center"/>
    </xf>
    <xf numFmtId="0" fontId="19" fillId="12" borderId="14" xfId="1" applyFont="1" applyFill="1" applyBorder="1" applyAlignment="1" applyProtection="1">
      <alignment vertical="center"/>
    </xf>
    <xf numFmtId="0" fontId="54" fillId="12" borderId="14" xfId="1" applyFont="1" applyFill="1" applyBorder="1" applyAlignment="1" applyProtection="1">
      <alignment horizontal="right" vertical="center"/>
    </xf>
    <xf numFmtId="0" fontId="49" fillId="12" borderId="14" xfId="1" applyFont="1" applyFill="1" applyBorder="1" applyAlignment="1" applyProtection="1">
      <alignment horizontal="center" vertical="center"/>
    </xf>
    <xf numFmtId="0" fontId="41" fillId="12" borderId="14"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2" fillId="2" borderId="0" xfId="1" applyFont="1" applyFill="1" applyAlignment="1" applyProtection="1">
      <alignment vertical="center"/>
    </xf>
    <xf numFmtId="0" fontId="20" fillId="2" borderId="0" xfId="1" applyFont="1" applyFill="1" applyAlignment="1" applyProtection="1">
      <alignment vertical="center"/>
    </xf>
    <xf numFmtId="0" fontId="37" fillId="2" borderId="0" xfId="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9" borderId="0" xfId="1" applyFont="1" applyFill="1" applyAlignment="1" applyProtection="1">
      <alignment horizontal="center" vertical="center"/>
    </xf>
    <xf numFmtId="0" fontId="23" fillId="9" borderId="0" xfId="1" applyFont="1" applyFill="1" applyAlignment="1" applyProtection="1">
      <alignment horizontal="left" vertical="center" indent="1"/>
    </xf>
    <xf numFmtId="0" fontId="23" fillId="9" borderId="0" xfId="1" applyFont="1" applyFill="1" applyAlignment="1" applyProtection="1">
      <alignment vertical="center" wrapText="1"/>
    </xf>
    <xf numFmtId="0" fontId="23" fillId="9" borderId="19" xfId="1" applyFont="1" applyFill="1" applyBorder="1" applyAlignment="1" applyProtection="1">
      <alignment horizontal="left" vertical="center"/>
    </xf>
    <xf numFmtId="0" fontId="23" fillId="9" borderId="0" xfId="1" applyFont="1" applyFill="1" applyAlignment="1" applyProtection="1">
      <alignment horizontal="left" vertical="center"/>
    </xf>
    <xf numFmtId="0" fontId="23" fillId="9" borderId="15" xfId="1" applyFont="1" applyFill="1" applyBorder="1" applyAlignment="1" applyProtection="1">
      <alignment horizontal="left" vertical="center"/>
    </xf>
    <xf numFmtId="0" fontId="23" fillId="9" borderId="0" xfId="1" applyFont="1" applyFill="1" applyAlignment="1" applyProtection="1">
      <alignmen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9" borderId="0" xfId="1" applyFont="1" applyFill="1" applyAlignment="1" applyProtection="1">
      <alignment horizontal="center" vertical="center" wrapText="1"/>
    </xf>
    <xf numFmtId="0" fontId="23" fillId="9" borderId="19" xfId="1" applyFont="1" applyFill="1" applyBorder="1" applyAlignment="1" applyProtection="1">
      <alignment horizontal="center" vertical="center" wrapText="1"/>
    </xf>
    <xf numFmtId="0" fontId="23" fillId="9" borderId="15" xfId="1" applyFont="1" applyFill="1" applyBorder="1" applyAlignment="1" applyProtection="1">
      <alignment horizontal="center" vertical="center" wrapText="1"/>
    </xf>
    <xf numFmtId="0" fontId="22" fillId="2" borderId="46" xfId="1" applyFont="1" applyFill="1" applyBorder="1" applyAlignment="1" applyProtection="1">
      <alignment horizontal="center" vertical="center" wrapText="1"/>
    </xf>
    <xf numFmtId="0" fontId="22" fillId="2" borderId="47" xfId="1" applyFont="1" applyFill="1" applyBorder="1" applyAlignment="1" applyProtection="1">
      <alignment horizontal="center" vertical="center" wrapText="1"/>
    </xf>
    <xf numFmtId="0" fontId="22" fillId="2" borderId="47" xfId="1" applyFont="1" applyFill="1" applyBorder="1" applyAlignment="1" applyProtection="1">
      <alignment vertical="center" wrapText="1"/>
    </xf>
    <xf numFmtId="0" fontId="25" fillId="2" borderId="47" xfId="1" applyFont="1" applyFill="1" applyBorder="1" applyAlignment="1" applyProtection="1">
      <alignment horizontal="center" vertical="center" wrapText="1"/>
    </xf>
    <xf numFmtId="0" fontId="22" fillId="2" borderId="48" xfId="1" applyFont="1" applyFill="1" applyBorder="1" applyAlignment="1" applyProtection="1">
      <alignment horizontal="center" vertical="center" wrapText="1"/>
    </xf>
    <xf numFmtId="0" fontId="22" fillId="2" borderId="49"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51" xfId="1" applyFont="1" applyFill="1" applyBorder="1" applyAlignment="1" applyProtection="1">
      <alignment horizontal="center" vertical="center" wrapText="1"/>
    </xf>
    <xf numFmtId="0" fontId="22" fillId="2" borderId="52" xfId="1" applyFont="1" applyFill="1" applyBorder="1" applyAlignment="1" applyProtection="1">
      <alignment horizontal="center" vertical="center" wrapText="1"/>
    </xf>
    <xf numFmtId="0" fontId="22" fillId="2" borderId="52" xfId="1" applyFont="1" applyFill="1" applyBorder="1" applyAlignment="1" applyProtection="1">
      <alignment vertical="center" wrapText="1"/>
    </xf>
    <xf numFmtId="0" fontId="25" fillId="2" borderId="52" xfId="1" applyFont="1" applyFill="1" applyBorder="1" applyAlignment="1" applyProtection="1">
      <alignment horizontal="center" vertical="center" wrapText="1"/>
    </xf>
    <xf numFmtId="0" fontId="22" fillId="2" borderId="53" xfId="1" applyFont="1" applyFill="1" applyBorder="1" applyAlignment="1" applyProtection="1">
      <alignment horizontal="center" vertical="center" wrapText="1"/>
    </xf>
    <xf numFmtId="0" fontId="22" fillId="2" borderId="54" xfId="1" applyFont="1" applyFill="1" applyBorder="1" applyAlignment="1" applyProtection="1">
      <alignment horizontal="center" vertical="center" wrapText="1"/>
    </xf>
    <xf numFmtId="0" fontId="22" fillId="12" borderId="11"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wrapText="1"/>
    </xf>
    <xf numFmtId="0" fontId="25" fillId="12" borderId="0" xfId="1" applyFont="1" applyFill="1" applyAlignment="1" applyProtection="1">
      <alignment horizontal="left" vertical="center" wrapText="1"/>
    </xf>
    <xf numFmtId="0" fontId="42" fillId="12" borderId="19" xfId="1" applyFont="1" applyFill="1" applyBorder="1" applyAlignment="1" applyProtection="1">
      <alignment horizontal="center" vertical="center" wrapText="1"/>
    </xf>
    <xf numFmtId="0" fontId="42" fillId="12" borderId="0" xfId="1" applyFont="1" applyFill="1" applyAlignment="1" applyProtection="1">
      <alignment horizontal="center" vertical="center" wrapText="1"/>
    </xf>
    <xf numFmtId="0" fontId="42" fillId="12" borderId="15" xfId="1" applyFont="1" applyFill="1" applyBorder="1" applyAlignment="1" applyProtection="1">
      <alignment horizontal="center" vertical="center" wrapText="1"/>
    </xf>
    <xf numFmtId="0" fontId="22" fillId="0" borderId="47" xfId="1" applyFont="1" applyBorder="1" applyAlignment="1" applyProtection="1">
      <alignment horizontal="center" vertical="center" wrapText="1"/>
    </xf>
    <xf numFmtId="0" fontId="22" fillId="0" borderId="48" xfId="1" applyFont="1" applyBorder="1" applyAlignment="1" applyProtection="1">
      <alignment horizontal="center" vertical="center" wrapText="1"/>
    </xf>
    <xf numFmtId="0" fontId="22" fillId="0" borderId="49" xfId="1" applyFont="1" applyBorder="1" applyAlignment="1" applyProtection="1">
      <alignment horizontal="center" vertical="center" wrapText="1"/>
    </xf>
    <xf numFmtId="0" fontId="22" fillId="0" borderId="52" xfId="1" applyFont="1" applyBorder="1" applyAlignment="1" applyProtection="1">
      <alignment horizontal="center" vertical="center" wrapText="1"/>
    </xf>
    <xf numFmtId="0" fontId="22" fillId="0" borderId="53" xfId="1" applyFont="1" applyBorder="1" applyAlignment="1" applyProtection="1">
      <alignment horizontal="center" vertical="center" wrapText="1"/>
    </xf>
    <xf numFmtId="0" fontId="22" fillId="0" borderId="5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52" xfId="1" applyFont="1" applyBorder="1" applyAlignment="1" applyProtection="1">
      <alignment horizontal="left" vertical="center"/>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Alignment="1" applyProtection="1">
      <alignment horizontal="center" vertical="center"/>
    </xf>
    <xf numFmtId="0" fontId="36" fillId="2" borderId="0" xfId="1" applyFont="1" applyFill="1" applyProtection="1"/>
    <xf numFmtId="0" fontId="12" fillId="2" borderId="0" xfId="1" applyFont="1" applyFill="1" applyProtection="1"/>
    <xf numFmtId="0" fontId="40" fillId="9" borderId="0" xfId="1" applyFont="1" applyFill="1" applyAlignment="1" applyProtection="1">
      <alignment vertical="center" readingOrder="1"/>
    </xf>
    <xf numFmtId="0" fontId="37" fillId="9" borderId="0" xfId="1" applyFont="1" applyFill="1" applyAlignment="1" applyProtection="1">
      <alignment horizontal="left" vertical="center" readingOrder="1"/>
    </xf>
    <xf numFmtId="0" fontId="21" fillId="9" borderId="0" xfId="1" applyFont="1" applyFill="1" applyAlignment="1" applyProtection="1">
      <alignment horizontal="left" vertical="center" readingOrder="1"/>
    </xf>
    <xf numFmtId="0" fontId="40" fillId="9" borderId="0" xfId="1" applyFont="1" applyFill="1" applyAlignment="1" applyProtection="1">
      <alignment horizontal="center" vertical="center" readingOrder="1"/>
    </xf>
    <xf numFmtId="0" fontId="23" fillId="9" borderId="19" xfId="1" applyFont="1" applyFill="1" applyBorder="1" applyAlignment="1" applyProtection="1">
      <alignment vertical="center" readingOrder="1"/>
    </xf>
    <xf numFmtId="0" fontId="23" fillId="9" borderId="0" xfId="1" applyFont="1" applyFill="1" applyAlignment="1" applyProtection="1">
      <alignment vertical="center" readingOrder="1"/>
    </xf>
    <xf numFmtId="0" fontId="40" fillId="9" borderId="15" xfId="1" applyFont="1" applyFill="1" applyBorder="1" applyAlignment="1" applyProtection="1">
      <alignment vertical="center" readingOrder="1"/>
    </xf>
    <xf numFmtId="0" fontId="1" fillId="0" borderId="0" xfId="1" applyAlignment="1" applyProtection="1">
      <alignment horizontal="center" vertical="center"/>
    </xf>
    <xf numFmtId="0" fontId="23" fillId="9" borderId="0" xfId="1" applyFont="1" applyFill="1" applyAlignment="1" applyProtection="1">
      <alignment horizontal="left" vertical="center" readingOrder="1"/>
    </xf>
    <xf numFmtId="0" fontId="23" fillId="9" borderId="19" xfId="1" applyFont="1" applyFill="1" applyBorder="1" applyAlignment="1" applyProtection="1">
      <alignment horizontal="center" vertical="center" wrapText="1" readingOrder="1"/>
    </xf>
    <xf numFmtId="0" fontId="23" fillId="9" borderId="0" xfId="1" applyFont="1" applyFill="1" applyAlignment="1" applyProtection="1">
      <alignment horizontal="center" vertical="center" wrapText="1" readingOrder="1"/>
    </xf>
    <xf numFmtId="0" fontId="23" fillId="9" borderId="15" xfId="1" applyFont="1" applyFill="1" applyBorder="1" applyAlignment="1" applyProtection="1">
      <alignment horizontal="center" vertical="center" wrapText="1" readingOrder="1"/>
    </xf>
    <xf numFmtId="0" fontId="23" fillId="9" borderId="0" xfId="1" applyFont="1" applyFill="1" applyAlignment="1" applyProtection="1">
      <alignment horizontal="center" vertical="top"/>
    </xf>
    <xf numFmtId="0" fontId="1" fillId="0" borderId="0" xfId="1" applyAlignment="1" applyProtection="1">
      <alignment horizontal="center" vertical="top"/>
    </xf>
    <xf numFmtId="0" fontId="47" fillId="0" borderId="16" xfId="1" applyFont="1" applyBorder="1" applyAlignment="1" applyProtection="1">
      <alignment horizontal="center" vertical="center"/>
    </xf>
    <xf numFmtId="0" fontId="47" fillId="0" borderId="17" xfId="1" applyFont="1" applyBorder="1" applyAlignment="1" applyProtection="1">
      <alignment horizontal="center" vertical="center"/>
    </xf>
    <xf numFmtId="0" fontId="47" fillId="0" borderId="17" xfId="1" applyFont="1" applyBorder="1" applyAlignment="1" applyProtection="1">
      <alignment vertical="center"/>
    </xf>
    <xf numFmtId="0" fontId="47" fillId="0" borderId="17" xfId="1" applyFont="1" applyBorder="1" applyAlignment="1" applyProtection="1">
      <alignment horizontal="center" vertical="center" wrapText="1"/>
    </xf>
    <xf numFmtId="0" fontId="47" fillId="0" borderId="20" xfId="1" applyFont="1" applyBorder="1" applyAlignment="1" applyProtection="1">
      <alignment horizontal="center" vertical="center" wrapText="1"/>
    </xf>
    <xf numFmtId="0" fontId="47" fillId="0" borderId="21" xfId="1" applyFont="1" applyBorder="1" applyAlignment="1" applyProtection="1">
      <alignment horizontal="center" vertical="center" wrapText="1"/>
    </xf>
    <xf numFmtId="0" fontId="47" fillId="0" borderId="0" xfId="1" applyFont="1" applyBorder="1" applyAlignment="1" applyProtection="1">
      <alignment horizontal="center" vertical="center"/>
    </xf>
    <xf numFmtId="0" fontId="47" fillId="0" borderId="0" xfId="1" applyFont="1" applyBorder="1" applyAlignment="1" applyProtection="1">
      <alignment vertical="center"/>
    </xf>
    <xf numFmtId="0" fontId="47" fillId="0" borderId="0" xfId="1" applyFont="1" applyBorder="1" applyAlignment="1" applyProtection="1">
      <alignment horizontal="center" vertical="center" wrapText="1"/>
    </xf>
    <xf numFmtId="0" fontId="47" fillId="0" borderId="0" xfId="1" applyFont="1" applyBorder="1" applyAlignment="1" applyProtection="1">
      <alignment horizontal="left" vertical="center" wrapText="1"/>
    </xf>
    <xf numFmtId="0" fontId="26" fillId="0" borderId="0" xfId="1" applyFont="1" applyAlignment="1" applyProtection="1">
      <alignment horizontal="left" vertical="top" wrapText="1"/>
    </xf>
    <xf numFmtId="0" fontId="27"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xf numFmtId="0" fontId="22" fillId="2" borderId="50" xfId="1" applyFont="1" applyFill="1" applyBorder="1" applyAlignment="1" applyProtection="1">
      <alignment horizontal="center" vertical="center" wrapText="1"/>
      <protection locked="0"/>
    </xf>
    <xf numFmtId="0" fontId="22" fillId="2" borderId="55" xfId="1" applyFont="1" applyFill="1" applyBorder="1" applyAlignment="1" applyProtection="1">
      <alignment horizontal="center" vertical="center" wrapText="1"/>
      <protection locked="0"/>
    </xf>
    <xf numFmtId="0" fontId="22" fillId="12" borderId="15" xfId="1" applyFont="1" applyFill="1" applyBorder="1" applyAlignment="1" applyProtection="1">
      <alignment horizontal="center" vertical="center" wrapText="1"/>
      <protection locked="0"/>
    </xf>
    <xf numFmtId="0" fontId="22" fillId="0" borderId="50" xfId="1" applyFont="1" applyBorder="1" applyAlignment="1" applyProtection="1">
      <alignment horizontal="center" vertical="center" wrapText="1"/>
      <protection locked="0"/>
    </xf>
    <xf numFmtId="0" fontId="22" fillId="0" borderId="55" xfId="1" applyFont="1" applyBorder="1" applyAlignment="1" applyProtection="1">
      <alignment horizontal="center" vertical="center" wrapText="1"/>
      <protection locked="0"/>
    </xf>
    <xf numFmtId="0" fontId="35" fillId="2" borderId="0" xfId="1" applyFont="1" applyFill="1" applyAlignment="1" applyProtection="1">
      <alignment horizontal="center" vertical="center"/>
    </xf>
    <xf numFmtId="0" fontId="50" fillId="9" borderId="0" xfId="1" applyFont="1" applyFill="1" applyAlignment="1" applyProtection="1">
      <alignment horizontal="center" vertical="center"/>
    </xf>
    <xf numFmtId="0" fontId="47" fillId="0" borderId="18" xfId="1" applyFont="1" applyBorder="1" applyAlignment="1" applyProtection="1">
      <alignment horizontal="center" vertical="center" wrapText="1"/>
      <protection locked="0"/>
    </xf>
  </cellXfs>
  <cellStyles count="3">
    <cellStyle name="Hyperlink" xfId="2" builtinId="8"/>
    <cellStyle name="Normal" xfId="0" builtinId="0"/>
    <cellStyle name="Normal 2" xfId="1"/>
  </cellStyles>
  <dxfs count="101">
    <dxf>
      <font>
        <color auto="1"/>
      </font>
      <numFmt numFmtId="19" formatCode="d/mm/yyyy"/>
      <alignment horizontal="general" vertical="center" textRotation="0" wrapText="0" indent="0" justifyLastLine="0" shrinkToFit="0" readingOrder="0"/>
    </dxf>
    <dxf>
      <font>
        <color auto="1"/>
      </font>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2"/>
        <color rgb="FFFF0000"/>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font>
        <color auto="1"/>
      </font>
      <numFmt numFmtId="19" formatCode="d/mm/yyyy"/>
      <alignment horizontal="general" vertical="center" textRotation="0" wrapText="0" indent="0" justifyLastLine="0" shrinkToFit="0" readingOrder="0"/>
    </dxf>
    <dxf>
      <font>
        <color auto="1"/>
      </font>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2"/>
        <color rgb="FFFF0000"/>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font>
        <color auto="1"/>
      </font>
      <numFmt numFmtId="19" formatCode="d/mm/yyyy"/>
      <alignment vertical="center" textRotation="0" wrapText="0" indent="0" justifyLastLine="0" shrinkToFit="0" readingOrder="0"/>
    </dxf>
    <dxf>
      <font>
        <color auto="1"/>
      </font>
      <numFmt numFmtId="19" formatCode="d/mm/yyyy"/>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0" tint="-0.14996795556505021"/>
        </patternFill>
      </fill>
    </dxf>
    <dxf>
      <font>
        <b/>
        <i/>
        <color rgb="FFFF0000"/>
      </font>
    </dxf>
    <dxf>
      <fill>
        <patternFill>
          <bgColor theme="0" tint="-0.14996795556505021"/>
        </patternFill>
      </fill>
    </dxf>
    <dxf>
      <font>
        <b/>
        <i/>
        <color rgb="FFFF0000"/>
      </font>
    </dxf>
    <dxf>
      <fill>
        <patternFill>
          <bgColor theme="0" tint="-0.14996795556505021"/>
        </patternFill>
      </fill>
    </dxf>
    <dxf>
      <font>
        <b/>
        <i/>
        <color rgb="FFFF0000"/>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200026</xdr:colOff>
      <xdr:row>3</xdr:row>
      <xdr:rowOff>19049</xdr:rowOff>
    </xdr:from>
    <xdr:to>
      <xdr:col>21</xdr:col>
      <xdr:colOff>161925</xdr:colOff>
      <xdr:row>19</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934826" y="523874"/>
          <a:ext cx="5448299" cy="361950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Master of Environment and Climate Emergency (OpenUnis)</a:t>
          </a:r>
        </a:p>
        <a:p>
          <a:pPr rtl="0" fontAlgn="base"/>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Commencing Study Period.</a:t>
          </a:r>
          <a:endParaRPr lang="en-AU" sz="1000">
            <a:effectLst/>
          </a:endParaRP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p>
        <a:p>
          <a:pPr rtl="0" fontAlgn="base"/>
          <a:endParaRPr lang="en-AU">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a:effectLst/>
          </a:endParaRPr>
        </a:p>
      </xdr:txBody>
    </xdr:sp>
    <xdr:clientData/>
  </xdr:twoCellAnchor>
  <xdr:twoCellAnchor>
    <xdr:from>
      <xdr:col>17</xdr:col>
      <xdr:colOff>438151</xdr:colOff>
      <xdr:row>17</xdr:row>
      <xdr:rowOff>133350</xdr:rowOff>
    </xdr:from>
    <xdr:to>
      <xdr:col>21</xdr:col>
      <xdr:colOff>114301</xdr:colOff>
      <xdr:row>18</xdr:row>
      <xdr:rowOff>221105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916151" y="3676650"/>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01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xdr:col>
      <xdr:colOff>219076</xdr:colOff>
      <xdr:row>3</xdr:row>
      <xdr:rowOff>85724</xdr:rowOff>
    </xdr:from>
    <xdr:to>
      <xdr:col>21</xdr:col>
      <xdr:colOff>76200</xdr:colOff>
      <xdr:row>24</xdr:row>
      <xdr:rowOff>152400</xdr:rowOff>
    </xdr:to>
    <xdr:sp macro="" textlink="">
      <xdr:nvSpPr>
        <xdr:cNvPr id="3" name="TextBox 2">
          <a:extLst>
            <a:ext uri="{FF2B5EF4-FFF2-40B4-BE49-F238E27FC236}">
              <a16:creationId xmlns:a16="http://schemas.microsoft.com/office/drawing/2014/main" id="{00000000-0008-0000-0000-000002000000}"/>
            </a:ext>
          </a:extLst>
        </xdr:cNvPr>
        <xdr:cNvSpPr txBox="1"/>
      </xdr:nvSpPr>
      <xdr:spPr>
        <a:xfrm>
          <a:off x="11715751" y="590549"/>
          <a:ext cx="5343524" cy="457200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sz="1000">
            <a:effectLst/>
          </a:endParaRPr>
        </a:p>
        <a:p>
          <a:pPr algn="ctr"/>
          <a:r>
            <a:rPr lang="en-AU" sz="1100" b="1">
              <a:solidFill>
                <a:schemeClr val="dk1"/>
              </a:solidFill>
              <a:effectLst/>
              <a:latin typeface="+mn-lt"/>
              <a:ea typeface="+mn-ea"/>
              <a:cs typeface="+mn-cs"/>
            </a:rPr>
            <a:t>Graduate Diploma in Environment and Climate Emergency (OpenUnis)</a:t>
          </a:r>
        </a:p>
        <a:p>
          <a:pPr algn="ctr"/>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Commencing Study Period.</a:t>
          </a: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endParaRPr lang="en-AU" sz="1000">
            <a:effectLst/>
          </a:endParaRPr>
        </a:p>
        <a:p>
          <a:pPr rtl="0" fontAlgn="base"/>
          <a:endParaRPr lang="en-AU">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baseline="0">
              <a:solidFill>
                <a:schemeClr val="dk1"/>
              </a:solidFill>
              <a:effectLst/>
              <a:latin typeface="+mn-lt"/>
              <a:ea typeface="+mn-ea"/>
              <a:cs typeface="+mn-cs"/>
            </a:rPr>
            <a:t>Graduate </a:t>
          </a:r>
          <a:r>
            <a:rPr lang="en-AU" sz="1100" b="1" i="0">
              <a:solidFill>
                <a:schemeClr val="dk1"/>
              </a:solidFill>
              <a:effectLst/>
              <a:latin typeface="+mn-lt"/>
              <a:ea typeface="+mn-ea"/>
              <a:cs typeface="+mn-cs"/>
            </a:rPr>
            <a:t>Diploma students</a:t>
          </a:r>
        </a:p>
        <a:p>
          <a:pPr rtl="0" fontAlgn="base"/>
          <a:r>
            <a:rPr lang="en-AU" sz="1100" b="0" i="0">
              <a:solidFill>
                <a:schemeClr val="dk1"/>
              </a:solidFill>
              <a:effectLst/>
              <a:latin typeface="+mn-lt"/>
              <a:ea typeface="+mn-ea"/>
              <a:cs typeface="+mn-cs"/>
            </a:rPr>
            <a:t>If</a:t>
          </a:r>
          <a:r>
            <a:rPr lang="en-AU" sz="1100" b="0" i="0" baseline="0">
              <a:solidFill>
                <a:schemeClr val="dk1"/>
              </a:solidFill>
              <a:effectLst/>
              <a:latin typeface="+mn-lt"/>
              <a:ea typeface="+mn-ea"/>
              <a:cs typeface="+mn-cs"/>
            </a:rPr>
            <a:t> you intend to progress to the Master of Environment and Climate Emergency, please ensure you study </a:t>
          </a:r>
          <a:r>
            <a:rPr lang="en-AU" sz="1100" b="1" i="1" baseline="0">
              <a:solidFill>
                <a:schemeClr val="dk1"/>
              </a:solidFill>
              <a:effectLst/>
              <a:latin typeface="+mn-lt"/>
              <a:ea typeface="+mn-ea"/>
              <a:cs typeface="+mn-cs"/>
            </a:rPr>
            <a:t>(URDE6007) DBE600 Design and Built Environment Research Methods </a:t>
          </a:r>
          <a:r>
            <a:rPr lang="en-AU" sz="1100" b="0" i="0" baseline="0">
              <a:solidFill>
                <a:schemeClr val="dk1"/>
              </a:solidFill>
              <a:effectLst/>
              <a:latin typeface="+mn-lt"/>
              <a:ea typeface="+mn-ea"/>
              <a:cs typeface="+mn-cs"/>
            </a:rPr>
            <a:t>as one of your option subjects. Contact your Course Coordinator for advice.</a:t>
          </a:r>
          <a:endParaRPr lang="en-AU" sz="1100" b="0" i="0">
            <a:solidFill>
              <a:schemeClr val="dk1"/>
            </a:solidFill>
            <a:effectLst/>
            <a:latin typeface="+mn-lt"/>
            <a:ea typeface="+mn-ea"/>
            <a:cs typeface="+mn-cs"/>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a:effectLst/>
          </a:endParaRPr>
        </a:p>
      </xdr:txBody>
    </xdr:sp>
    <xdr:clientData/>
  </xdr:twoCellAnchor>
  <xdr:twoCellAnchor editAs="absolute">
    <xdr:from>
      <xdr:col>17</xdr:col>
      <xdr:colOff>342901</xdr:colOff>
      <xdr:row>22</xdr:row>
      <xdr:rowOff>95250</xdr:rowOff>
    </xdr:from>
    <xdr:to>
      <xdr:col>21</xdr:col>
      <xdr:colOff>19051</xdr:colOff>
      <xdr:row>24</xdr:row>
      <xdr:rowOff>68705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82776" y="4724400"/>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01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xdr:col>
      <xdr:colOff>171451</xdr:colOff>
      <xdr:row>3</xdr:row>
      <xdr:rowOff>47625</xdr:rowOff>
    </xdr:from>
    <xdr:to>
      <xdr:col>20</xdr:col>
      <xdr:colOff>590550</xdr:colOff>
      <xdr:row>20</xdr:row>
      <xdr:rowOff>66676</xdr:rowOff>
    </xdr:to>
    <xdr:sp macro="" textlink="">
      <xdr:nvSpPr>
        <xdr:cNvPr id="3" name="TextBox 2">
          <a:extLst>
            <a:ext uri="{FF2B5EF4-FFF2-40B4-BE49-F238E27FC236}">
              <a16:creationId xmlns:a16="http://schemas.microsoft.com/office/drawing/2014/main" id="{00000000-0008-0000-0000-000002000000}"/>
            </a:ext>
          </a:extLst>
        </xdr:cNvPr>
        <xdr:cNvSpPr txBox="1"/>
      </xdr:nvSpPr>
      <xdr:spPr>
        <a:xfrm>
          <a:off x="11763376" y="552450"/>
          <a:ext cx="5219699" cy="372427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sz="1000">
            <a:effectLst/>
          </a:endParaRPr>
        </a:p>
        <a:p>
          <a:pPr algn="ctr"/>
          <a:r>
            <a:rPr lang="en-AU" sz="1100" b="1">
              <a:solidFill>
                <a:schemeClr val="dk1"/>
              </a:solidFill>
              <a:effectLst/>
              <a:latin typeface="+mn-lt"/>
              <a:ea typeface="+mn-ea"/>
              <a:cs typeface="+mn-cs"/>
            </a:rPr>
            <a:t>Graduate Certificate in Environment and Climate Emergency (OpenUnis)</a:t>
          </a:r>
        </a:p>
        <a:p>
          <a:pPr algn="ctr"/>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Commencing Study Period.</a:t>
          </a: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endParaRPr lang="en-AU" sz="1000">
            <a:effectLst/>
          </a:endParaRPr>
        </a:p>
        <a:p>
          <a:pPr rtl="0" fontAlgn="base"/>
          <a:endParaRPr lang="en-AU">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a:effectLst/>
          </a:endParaRPr>
        </a:p>
      </xdr:txBody>
    </xdr:sp>
    <xdr:clientData/>
  </xdr:twoCellAnchor>
  <xdr:twoCellAnchor editAs="absolute">
    <xdr:from>
      <xdr:col>17</xdr:col>
      <xdr:colOff>152401</xdr:colOff>
      <xdr:row>18</xdr:row>
      <xdr:rowOff>0</xdr:rowOff>
    </xdr:from>
    <xdr:to>
      <xdr:col>20</xdr:col>
      <xdr:colOff>514351</xdr:colOff>
      <xdr:row>19</xdr:row>
      <xdr:rowOff>163955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487526" y="3829050"/>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9" totalsRowShown="0" headerRowDxfId="94">
  <autoFilter ref="A6:G9"/>
  <tableColumns count="7">
    <tableColumn id="3" name="Choose your Environment and Climate Emergency Course (drop-down list)" dataDxfId="93"/>
    <tableColumn id="1" name="UDC" dataDxfId="92"/>
    <tableColumn id="2" name="Version" dataDxfId="91"/>
    <tableColumn id="5" name="Credit Points" dataDxfId="90"/>
    <tableColumn id="4" name="Effective Date" dataDxfId="89"/>
    <tableColumn id="6" name="Akari Update" dataDxfId="88"/>
    <tableColumn id="7" name="Availabilities" dataDxfId="87"/>
  </tableColumns>
  <tableStyleInfo name="TableStyleLight8" showFirstColumn="0" showLastColumn="0" showRowStripes="1" showColumnStripes="0"/>
</table>
</file>

<file path=xl/tables/table10.xml><?xml version="1.0" encoding="utf-8"?>
<table xmlns="http://schemas.openxmlformats.org/spreadsheetml/2006/main" id="13" name="TableAvailabilities" displayName="TableAvailabilities" ref="A3:E22" totalsRowShown="0">
  <autoFilter ref="A3:E22"/>
  <tableColumns count="5">
    <tableColumn id="1" name="Row Labels"/>
    <tableColumn id="2" name="OpenUnis SP 1"/>
    <tableColumn id="3" name="OpenUnis SP 2"/>
    <tableColumn id="4" name="OpenUnis SP 3"/>
    <tableColumn id="5" name="OpenUnis SP 4"/>
  </tableColumns>
  <tableStyleInfo name="TableStyleLight7" showFirstColumn="0" showLastColumn="0" showRowStripes="1" showColumnStripes="0"/>
</table>
</file>

<file path=xl/tables/table2.xml><?xml version="1.0" encoding="utf-8"?>
<table xmlns="http://schemas.openxmlformats.org/spreadsheetml/2006/main" id="4" name="TableStudyPeriods" displayName="TableStudyPeriods" ref="A12:E16" totalsRowShown="0" dataDxfId="86">
  <autoFilter ref="A12:E16"/>
  <tableColumns count="5">
    <tableColumn id="1" name="Choose your commencing study period (drop-down list)" dataDxfId="85"/>
    <tableColumn id="2" name="START" dataDxfId="84"/>
    <tableColumn id="3" name="Next" dataDxfId="83"/>
    <tableColumn id="4" name="Next2" dataDxfId="82"/>
    <tableColumn id="5" name="Next3" dataDxfId="81"/>
  </tableColumns>
  <tableStyleInfo name="TableStyleLight8" showFirstColumn="0" showLastColumn="0" showRowStripes="1" showColumnStripes="0"/>
</table>
</file>

<file path=xl/tables/table3.xml><?xml version="1.0" encoding="utf-8"?>
<table xmlns="http://schemas.openxmlformats.org/spreadsheetml/2006/main" id="2" name="TableHandbook" displayName="TableHandbook" ref="A3:N26" totalsRowShown="0" headerRowDxfId="79" dataDxfId="77" headerRowBorderDxfId="78" tableBorderDxfId="76">
  <autoFilter ref="A3:N26"/>
  <sortState ref="A4:N26">
    <sortCondition ref="A3:A26"/>
  </sortState>
  <tableColumns count="14">
    <tableColumn id="1" name="UDC" dataDxfId="75"/>
    <tableColumn id="2" name="Ver" dataDxfId="74"/>
    <tableColumn id="3" name="OUA Cd" dataDxfId="73"/>
    <tableColumn id="4" name="Title" dataDxfId="72"/>
    <tableColumn id="5" name="Credits" dataDxfId="71"/>
    <tableColumn id="6" name="Pre-reqs" dataDxfId="70"/>
    <tableColumn id="12" name="SP1" dataDxfId="69">
      <calculatedColumnFormula>IFERROR(IF(VLOOKUP(TableHandbook[[#This Row],[UDC]],TableAvailabilities[],2,FALSE)&gt;0,"Y",""),"")</calculatedColumnFormula>
    </tableColumn>
    <tableColumn id="13" name="SP2" dataDxfId="68"/>
    <tableColumn id="14" name="SP3" dataDxfId="67">
      <calculatedColumnFormula>IFERROR(IF(VLOOKUP(TableHandbook[[#This Row],[UDC]],TableAvailabilities[],4,FALSE)&gt;0,"Y",""),"")</calculatedColumnFormula>
    </tableColumn>
    <tableColumn id="15" name="SP4" dataDxfId="66">
      <calculatedColumnFormula>IFERROR(IF(VLOOKUP(TableHandbook[[#This Row],[UDC]],TableAvailabilities[],5,FALSE)&gt;0,"Y",""),"")</calculatedColumnFormula>
    </tableColumn>
    <tableColumn id="7" name="NOTES" dataDxfId="65"/>
    <tableColumn id="10" name="OC-ENVCLM" dataDxfId="64">
      <calculatedColumnFormula>IFERROR(VLOOKUP(TableHandbook[[#This Row],[UDC]],TableOCENVCLM[],7,FALSE),"")</calculatedColumnFormula>
    </tableColumn>
    <tableColumn id="9" name="OG-ENVCLM" dataDxfId="63">
      <calculatedColumnFormula>IFERROR(VLOOKUP(TableHandbook[[#This Row],[UDC]],TableOGENVCLM[],7,FALSE),"")</calculatedColumnFormula>
    </tableColumn>
    <tableColumn id="8" name="OM-ENVCLM" dataDxfId="62">
      <calculatedColumnFormula>IFERROR(VLOOKUP(TableHandbook[[#This Row],[UDC]],TableOMENVCLM[],7,FALSE),"")</calculatedColumnFormula>
    </tableColumn>
  </tableColumns>
  <tableStyleInfo name="TableStyleLight8" showFirstColumn="0" showLastColumn="0" showRowStripes="1" showColumnStripes="0"/>
</table>
</file>

<file path=xl/tables/table4.xml><?xml version="1.0" encoding="utf-8"?>
<table xmlns="http://schemas.openxmlformats.org/spreadsheetml/2006/main" id="1" name="TableOMENVCLM" displayName="TableOMENVCLM" ref="A42:O65" totalsRowShown="0" headerRowDxfId="52" dataDxfId="51">
  <autoFilter ref="A42:O65"/>
  <sortState ref="A3:M27">
    <sortCondition ref="F2:F27"/>
  </sortState>
  <tableColumns count="15">
    <tableColumn id="1" name="UDC" dataDxfId="50">
      <calculatedColumnFormula>TableOMENVCLM[[#This Row],[Study Package Code]]</calculatedColumnFormula>
    </tableColumn>
    <tableColumn id="9" name="Version" dataDxfId="49">
      <calculatedColumnFormula>TableOMENVCLM[[#This Row],[Ver]]</calculatedColumnFormula>
    </tableColumn>
    <tableColumn id="10" name="OUA Code" dataDxfId="48">
      <calculatedColumnFormula>LEFT(TableOMENVCLM[[#This Row],[Structure Line]],(FIND(" ",TableOMENVCLM[[#This Row],[Structure Line]],1)-1))</calculatedColumnFormula>
    </tableColumn>
    <tableColumn id="13" name="Unit Title" dataDxfId="47">
      <calculatedColumnFormula>MID(TableOMENVCLM[[#This Row],[Structure Line]],FIND(" ",TableOMENVCLM[[#This Row],[Structure Line]])+1,256)</calculatedColumnFormula>
    </tableColumn>
    <tableColumn id="11" name="CPs" dataDxfId="46">
      <calculatedColumnFormula>TableOMENVCLM[[#This Row],[Credit Points]]</calculatedColumnFormula>
    </tableColumn>
    <tableColumn id="12" name="No." dataDxfId="45"/>
    <tableColumn id="2" name="Component Type" dataDxfId="44"/>
    <tableColumn id="3" name="Year Level" dataDxfId="43"/>
    <tableColumn id="4" name="Study Period" dataDxfId="42"/>
    <tableColumn id="5" name="Study Package Code" dataDxfId="41"/>
    <tableColumn id="6" name="Ver" dataDxfId="40"/>
    <tableColumn id="7" name="Structure Line" dataDxfId="39"/>
    <tableColumn id="8" name="Credit Points" dataDxfId="38"/>
    <tableColumn id="14" name="Effective" dataDxfId="37"/>
    <tableColumn id="15" name="Discont." dataDxfId="36"/>
  </tableColumns>
  <tableStyleInfo name="TableStyleLight1" showFirstColumn="0" showLastColumn="0" showRowStripes="1" showColumnStripes="0"/>
</table>
</file>

<file path=xl/tables/table5.xml><?xml version="1.0" encoding="utf-8"?>
<table xmlns="http://schemas.openxmlformats.org/spreadsheetml/2006/main" id="5" name="TableOCENVCLM" displayName="TableOCENVCLM" ref="A2:O17" totalsRowShown="0" headerRowDxfId="35" dataDxfId="34" tableBorderDxfId="33">
  <autoFilter ref="A2:O17"/>
  <sortState ref="A3:M10">
    <sortCondition ref="F2:F10"/>
  </sortState>
  <tableColumns count="15">
    <tableColumn id="1" name="UDC" dataDxfId="32">
      <calculatedColumnFormula>TableOCENVCLM[[#This Row],[Study Package Code]]</calculatedColumnFormula>
    </tableColumn>
    <tableColumn id="2" name="Version" dataDxfId="31">
      <calculatedColumnFormula>TableOCENVCLM[[#This Row],[Ver]]</calculatedColumnFormula>
    </tableColumn>
    <tableColumn id="3" name="OUA Code" dataDxfId="30">
      <calculatedColumnFormula>LEFT(TableOCENVCLM[[#This Row],[Structure Line]],(FIND(" ",TableOCENVCLM[[#This Row],[Structure Line]],1)-1))</calculatedColumnFormula>
    </tableColumn>
    <tableColumn id="4" name="Unit Title" dataDxfId="29">
      <calculatedColumnFormula>MID(TableOCENVCLM[[#This Row],[Structure Line]],FIND(" ",TableOCENVCLM[[#This Row],[Structure Line]])+1,256)</calculatedColumnFormula>
    </tableColumn>
    <tableColumn id="5" name="CPs" dataDxfId="28">
      <calculatedColumnFormula>TableOCENVCLM[[#This Row],[Credit Points]]</calculatedColumnFormula>
    </tableColumn>
    <tableColumn id="6" name="No." dataDxfId="27"/>
    <tableColumn id="7" name="Component Type" dataDxfId="26"/>
    <tableColumn id="8" name="Year Level" dataDxfId="25"/>
    <tableColumn id="9" name="Study Period" dataDxfId="24"/>
    <tableColumn id="10" name="Study Package Code" dataDxfId="23"/>
    <tableColumn id="11" name="Ver" dataDxfId="22"/>
    <tableColumn id="12" name="Structure Line" dataDxfId="21"/>
    <tableColumn id="13" name="Credit Points" dataDxfId="20"/>
    <tableColumn id="14" name="Effective" dataDxfId="19"/>
    <tableColumn id="15" name="Discont." dataDxfId="18"/>
  </tableColumns>
  <tableStyleInfo name="TableStyleLight1" showFirstColumn="0" showLastColumn="0" showRowStripes="1" showColumnStripes="0"/>
</table>
</file>

<file path=xl/tables/table6.xml><?xml version="1.0" encoding="utf-8"?>
<table xmlns="http://schemas.openxmlformats.org/spreadsheetml/2006/main" id="6" name="TableOGENVCLM" displayName="TableOGENVCLM" ref="A20:O39" totalsRowShown="0" headerRowDxfId="17" dataDxfId="16" tableBorderDxfId="15">
  <autoFilter ref="A20:O39"/>
  <sortState ref="A14:M21">
    <sortCondition ref="F2:F10"/>
  </sortState>
  <tableColumns count="15">
    <tableColumn id="1" name="UDC" dataDxfId="14">
      <calculatedColumnFormula>TableOGENVCLM[[#This Row],[Study Package Code]]</calculatedColumnFormula>
    </tableColumn>
    <tableColumn id="2" name="Version" dataDxfId="13">
      <calculatedColumnFormula>TableOGENVCLM[[#This Row],[Ver]]</calculatedColumnFormula>
    </tableColumn>
    <tableColumn id="3" name="OUA Code" dataDxfId="12">
      <calculatedColumnFormula>LEFT(TableOGENVCLM[[#This Row],[Structure Line]],(FIND(" ",TableOGENVCLM[[#This Row],[Structure Line]],1)-1))</calculatedColumnFormula>
    </tableColumn>
    <tableColumn id="4" name="Unit Title" dataDxfId="11">
      <calculatedColumnFormula>MID(TableOGENVCLM[[#This Row],[Structure Line]],FIND(" ",TableOGENVCLM[[#This Row],[Structure Line]])+1,256)</calculatedColumnFormula>
    </tableColumn>
    <tableColumn id="5" name="CPs" dataDxfId="10">
      <calculatedColumnFormula>TableOGENVCLM[[#This Row],[Credit Points]]</calculatedColumnFormula>
    </tableColumn>
    <tableColumn id="6" name="No." dataDxfId="9"/>
    <tableColumn id="7" name="Component Type" dataDxfId="8"/>
    <tableColumn id="8" name="Year Level" dataDxfId="7"/>
    <tableColumn id="9" name="Study Period" dataDxfId="6"/>
    <tableColumn id="10" name="Study Package Code" dataDxfId="5"/>
    <tableColumn id="11" name="Ver" dataDxfId="4"/>
    <tableColumn id="12" name="Structure Line" dataDxfId="3"/>
    <tableColumn id="13" name="Credit Points" dataDxfId="2"/>
    <tableColumn id="14" name="Effective" dataDxfId="1"/>
    <tableColumn id="15" name="Discont." dataDxfId="0"/>
  </tableColumns>
  <tableStyleInfo name="TableStyleLight1" showFirstColumn="0" showLastColumn="0" showRowStripes="1" showColumnStripes="0"/>
</table>
</file>

<file path=xl/tables/table7.xml><?xml version="1.0" encoding="utf-8"?>
<table xmlns="http://schemas.openxmlformats.org/spreadsheetml/2006/main" id="7" name="Table15" displayName="Table15" ref="Q2:R17" totalsRowShown="0">
  <autoFilter ref="Q2:R17"/>
  <tableColumns count="2">
    <tableColumn id="5" name="SPK"/>
    <tableColumn id="6" name="Ver"/>
  </tableColumns>
  <tableStyleInfo name="TableStyleLight4" showFirstColumn="0" showLastColumn="0" showRowStripes="1" showColumnStripes="0"/>
</table>
</file>

<file path=xl/tables/table8.xml><?xml version="1.0" encoding="utf-8"?>
<table xmlns="http://schemas.openxmlformats.org/spreadsheetml/2006/main" id="8" name="Table159" displayName="Table159" ref="Q20:R39" totalsRowShown="0">
  <autoFilter ref="Q20:R39"/>
  <tableColumns count="2">
    <tableColumn id="5" name="SPK"/>
    <tableColumn id="6" name="Ver"/>
  </tableColumns>
  <tableStyleInfo name="TableStyleLight4" showFirstColumn="0" showLastColumn="0" showRowStripes="1" showColumnStripes="0"/>
</table>
</file>

<file path=xl/tables/table9.xml><?xml version="1.0" encoding="utf-8"?>
<table xmlns="http://schemas.openxmlformats.org/spreadsheetml/2006/main" id="9" name="Table15910" displayName="Table15910" ref="Q42:R65" totalsRowShown="0">
  <autoFilter ref="Q42:R65"/>
  <tableColumns count="2">
    <tableColumn id="5" name="SPK"/>
    <tableColumn id="6"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46"/>
  <sheetViews>
    <sheetView showGridLines="0" topLeftCell="A3" zoomScaleNormal="100" workbookViewId="0">
      <selection activeCell="D6" sqref="D6"/>
    </sheetView>
  </sheetViews>
  <sheetFormatPr defaultRowHeight="15" x14ac:dyDescent="0.25"/>
  <cols>
    <col min="1" max="1" width="8.5" style="34" customWidth="1"/>
    <col min="2" max="2" width="3.25" style="34" customWidth="1"/>
    <col min="3" max="3" width="9.375" style="34" customWidth="1"/>
    <col min="4" max="4" width="47.625" style="33" bestFit="1" customWidth="1"/>
    <col min="5" max="5" width="5.625" style="33" customWidth="1"/>
    <col min="6" max="6" width="27.75" style="33" customWidth="1"/>
    <col min="7" max="7" width="5.625" style="33" customWidth="1"/>
    <col min="8" max="11" width="4.625" style="33" customWidth="1"/>
    <col min="12" max="12" width="15.625" style="33" customWidth="1"/>
    <col min="13" max="13" width="2.5" style="33" hidden="1" customWidth="1"/>
    <col min="14" max="16384" width="9" style="33"/>
  </cols>
  <sheetData>
    <row r="1" spans="1:23" hidden="1" x14ac:dyDescent="0.25">
      <c r="A1" s="29" t="s">
        <v>0</v>
      </c>
      <c r="B1" s="30" t="s">
        <v>1</v>
      </c>
      <c r="C1" s="30" t="s">
        <v>2</v>
      </c>
      <c r="D1" s="31" t="s">
        <v>3</v>
      </c>
      <c r="E1" s="31"/>
      <c r="F1" s="31" t="s">
        <v>4</v>
      </c>
      <c r="G1" s="31" t="s">
        <v>5</v>
      </c>
      <c r="H1" s="32" t="s">
        <v>6</v>
      </c>
      <c r="I1" s="31"/>
      <c r="J1" s="31"/>
      <c r="K1" s="31"/>
      <c r="L1" s="31" t="s">
        <v>7</v>
      </c>
    </row>
    <row r="2" spans="1:23" hidden="1" x14ac:dyDescent="0.25">
      <c r="A2" s="210"/>
      <c r="B2" s="211">
        <v>2</v>
      </c>
      <c r="C2" s="211">
        <v>3</v>
      </c>
      <c r="D2" s="211">
        <v>4</v>
      </c>
      <c r="E2" s="211"/>
      <c r="F2" s="211">
        <v>6</v>
      </c>
      <c r="G2" s="211">
        <v>5</v>
      </c>
      <c r="H2" s="211">
        <v>7</v>
      </c>
      <c r="I2" s="211">
        <v>8</v>
      </c>
      <c r="J2" s="211">
        <v>9</v>
      </c>
      <c r="K2" s="211">
        <v>10</v>
      </c>
      <c r="L2" s="212"/>
    </row>
    <row r="3" spans="1:23" ht="39.950000000000003" customHeight="1" x14ac:dyDescent="0.25">
      <c r="A3" s="242" t="s">
        <v>8</v>
      </c>
      <c r="B3" s="242"/>
      <c r="C3" s="242"/>
      <c r="D3" s="242"/>
      <c r="E3" s="130"/>
      <c r="F3" s="130"/>
      <c r="G3" s="130"/>
      <c r="H3" s="130"/>
      <c r="I3" s="130"/>
      <c r="J3" s="130"/>
      <c r="K3" s="130"/>
      <c r="L3" s="130"/>
    </row>
    <row r="4" spans="1:23" ht="26.25" x14ac:dyDescent="0.25">
      <c r="A4" s="205"/>
      <c r="B4" s="206"/>
      <c r="C4" s="206"/>
      <c r="D4" s="209"/>
      <c r="E4" s="207" t="s">
        <v>186</v>
      </c>
      <c r="F4" s="206"/>
      <c r="G4" s="208"/>
      <c r="H4" s="208"/>
      <c r="I4" s="208"/>
      <c r="J4" s="208"/>
      <c r="K4" s="208"/>
      <c r="L4" s="208"/>
    </row>
    <row r="5" spans="1:23" ht="20.100000000000001" customHeight="1" x14ac:dyDescent="0.25">
      <c r="B5" s="131"/>
      <c r="C5" s="132" t="s">
        <v>9</v>
      </c>
      <c r="D5" s="120" t="s">
        <v>65</v>
      </c>
      <c r="E5" s="133"/>
      <c r="F5" s="132" t="s">
        <v>10</v>
      </c>
      <c r="G5" s="133" t="str">
        <f>IFERROR(CONCATENATE(VLOOKUP(D5,TableCourses[],2,FALSE)," ",VLOOKUP(D5,TableCourses[],3,FALSE)),"")</f>
        <v>OM-ENVCLM v.3</v>
      </c>
      <c r="H5" s="133"/>
      <c r="I5" s="133"/>
      <c r="J5" s="133"/>
      <c r="K5" s="133"/>
      <c r="L5" s="241" t="e">
        <f>CONCATENATE(VLOOKUP(D5,TableCourses[],2,FALSE),VLOOKUP(D6,TableStudyPeriods[],2,FALSE))</f>
        <v>#N/A</v>
      </c>
    </row>
    <row r="6" spans="1:23" ht="20.100000000000001" customHeight="1" x14ac:dyDescent="0.25">
      <c r="A6" s="134"/>
      <c r="B6" s="135"/>
      <c r="C6" s="132" t="s">
        <v>11</v>
      </c>
      <c r="D6" s="121" t="s">
        <v>184</v>
      </c>
      <c r="E6" s="136"/>
      <c r="F6" s="132" t="s">
        <v>12</v>
      </c>
      <c r="G6" s="133" t="str">
        <f>IFERROR(VLOOKUP($D$5,TableCourses[],4,FALSE),"")</f>
        <v>400 credit points required</v>
      </c>
      <c r="H6" s="137"/>
      <c r="I6" s="137"/>
      <c r="J6" s="137"/>
      <c r="K6" s="137"/>
      <c r="L6" s="137"/>
      <c r="W6" s="35"/>
    </row>
    <row r="7" spans="1:23" s="37" customFormat="1" ht="14.1" customHeight="1" x14ac:dyDescent="0.25">
      <c r="A7" s="138"/>
      <c r="B7" s="138"/>
      <c r="C7" s="138"/>
      <c r="D7" s="139"/>
      <c r="E7" s="140"/>
      <c r="F7" s="138"/>
      <c r="G7" s="138"/>
      <c r="H7" s="141" t="s">
        <v>187</v>
      </c>
      <c r="I7" s="142"/>
      <c r="J7" s="142"/>
      <c r="K7" s="143"/>
      <c r="L7" s="144"/>
      <c r="M7" s="145"/>
      <c r="N7" s="145"/>
      <c r="O7" s="145"/>
      <c r="W7" s="36"/>
    </row>
    <row r="8" spans="1:23" s="37" customFormat="1" ht="21" x14ac:dyDescent="0.25">
      <c r="A8" s="138" t="s">
        <v>13</v>
      </c>
      <c r="B8" s="138"/>
      <c r="C8" s="138" t="s">
        <v>14</v>
      </c>
      <c r="D8" s="144" t="s">
        <v>3</v>
      </c>
      <c r="E8" s="146" t="s">
        <v>15</v>
      </c>
      <c r="F8" s="138" t="s">
        <v>16</v>
      </c>
      <c r="G8" s="138" t="s">
        <v>17</v>
      </c>
      <c r="H8" s="147" t="s">
        <v>18</v>
      </c>
      <c r="I8" s="146" t="s">
        <v>19</v>
      </c>
      <c r="J8" s="146" t="s">
        <v>20</v>
      </c>
      <c r="K8" s="148" t="s">
        <v>21</v>
      </c>
      <c r="L8" s="138" t="s">
        <v>22</v>
      </c>
      <c r="M8" s="145"/>
      <c r="N8" s="145"/>
      <c r="O8" s="145"/>
      <c r="W8" s="36"/>
    </row>
    <row r="9" spans="1:23" s="39" customFormat="1" ht="21" customHeight="1" x14ac:dyDescent="0.15">
      <c r="A9" s="149" t="str">
        <f>IFERROR(IF(HLOOKUP($L$5,Unitsets!$J$3:$AG$19,M9,FALSE)=0,"",HLOOKUP($L$5,Unitsets!$J$3:$AG$19,M9,FALSE)),"")</f>
        <v/>
      </c>
      <c r="B9" s="150" t="str">
        <f>IFERROR(IF(VLOOKUP(A9,TableHandbook[],2,FALSE)=0,"",VLOOKUP(A9,TableHandbook[],2,FALSE)),"")</f>
        <v/>
      </c>
      <c r="C9" s="150" t="str">
        <f>IFERROR(IF(VLOOKUP(A9,TableHandbook[],3,FALSE)=0,"",VLOOKUP(A9,TableHandbook[],3,FALSE)),"")</f>
        <v/>
      </c>
      <c r="D9" s="151" t="str">
        <f>IFERROR(VLOOKUP(A9,TableHandbook[],4,FALSE),"")</f>
        <v/>
      </c>
      <c r="E9" s="150" t="str">
        <f>IF(A9="","",VLOOKUP($D$6,TableStudyPeriods[],2,FALSE))</f>
        <v/>
      </c>
      <c r="F9" s="152" t="str">
        <f>IFERROR(IF(VLOOKUP(A9,TableHandbook[],6,FALSE)=0,"",VLOOKUP(A9,TableHandbook[],6,FALSE)),"")</f>
        <v/>
      </c>
      <c r="G9" s="150" t="str">
        <f>IFERROR(IF(VLOOKUP(A9,TableHandbook[],5,FALSE)=0,"",VLOOKUP(A9,TableHandbook[],5,FALSE)),"")</f>
        <v/>
      </c>
      <c r="H9" s="153" t="str">
        <f>IFERROR(VLOOKUP($A9,TableHandbook[],H$2,FALSE),"")</f>
        <v/>
      </c>
      <c r="I9" s="150" t="str">
        <f>IFERROR(VLOOKUP($A9,TableHandbook[],I$2,FALSE),"")</f>
        <v/>
      </c>
      <c r="J9" s="150" t="str">
        <f>IFERROR(VLOOKUP($A9,TableHandbook[],J$2,FALSE),"")</f>
        <v/>
      </c>
      <c r="K9" s="154" t="str">
        <f>IFERROR(VLOOKUP($A9,TableHandbook[],K$2,FALSE),"")</f>
        <v/>
      </c>
      <c r="L9" s="104"/>
      <c r="M9" s="229">
        <v>2</v>
      </c>
      <c r="N9" s="156"/>
      <c r="O9" s="156"/>
      <c r="W9" s="38"/>
    </row>
    <row r="10" spans="1:23" s="39" customFormat="1" ht="21" customHeight="1" x14ac:dyDescent="0.15">
      <c r="A10" s="157" t="str">
        <f>IFERROR(IF(HLOOKUP($L$5,Unitsets!$J$3:$AG$19,M10,FALSE)=0,"",HLOOKUP($L$5,Unitsets!$J$3:$AG$19,M10,FALSE)),"")</f>
        <v/>
      </c>
      <c r="B10" s="158" t="str">
        <f>IFERROR(IF(VLOOKUP(A10,TableHandbook[],2,FALSE)=0,"",VLOOKUP(A10,TableHandbook[],2,FALSE)),"")</f>
        <v/>
      </c>
      <c r="C10" s="158" t="str">
        <f>IFERROR(IF(VLOOKUP(A10,TableHandbook[],3,FALSE)=0,"",VLOOKUP(A10,TableHandbook[],3,FALSE)),"")</f>
        <v/>
      </c>
      <c r="D10" s="159" t="str">
        <f>IFERROR(VLOOKUP(A10,TableHandbook[],4,FALSE),"")</f>
        <v/>
      </c>
      <c r="E10" s="158" t="str">
        <f>IF(A10="","",E9)</f>
        <v/>
      </c>
      <c r="F10" s="160" t="str">
        <f>IFERROR(IF(VLOOKUP(A10,TableHandbook[],6,FALSE)=0,"",VLOOKUP(A10,TableHandbook[],6,FALSE)),"")</f>
        <v/>
      </c>
      <c r="G10" s="158" t="str">
        <f>IFERROR(IF(VLOOKUP(A10,TableHandbook[],5,FALSE)=0,"",VLOOKUP(A10,TableHandbook[],5,FALSE)),"")</f>
        <v/>
      </c>
      <c r="H10" s="161" t="str">
        <f>IFERROR(VLOOKUP($A10,TableHandbook[],H$2,FALSE),"")</f>
        <v/>
      </c>
      <c r="I10" s="158" t="str">
        <f>IFERROR(VLOOKUP($A10,TableHandbook[],I$2,FALSE),"")</f>
        <v/>
      </c>
      <c r="J10" s="158" t="str">
        <f>IFERROR(VLOOKUP($A10,TableHandbook[],J$2,FALSE),"")</f>
        <v/>
      </c>
      <c r="K10" s="162" t="str">
        <f>IFERROR(VLOOKUP($A10,TableHandbook[],K$2,FALSE),"")</f>
        <v/>
      </c>
      <c r="L10" s="105"/>
      <c r="M10" s="229">
        <v>3</v>
      </c>
      <c r="N10" s="156"/>
      <c r="O10" s="156"/>
      <c r="W10" s="38"/>
    </row>
    <row r="11" spans="1:23" s="39" customFormat="1" ht="4.5" customHeight="1" x14ac:dyDescent="0.15">
      <c r="A11" s="217"/>
      <c r="B11" s="218"/>
      <c r="C11" s="218" t="str">
        <f>IFERROR(IF(VLOOKUP(A11,TableHandbook[],3,FALSE)=0,"",VLOOKUP(A11,TableHandbook[],3,FALSE)),"")</f>
        <v/>
      </c>
      <c r="D11" s="219"/>
      <c r="E11" s="218"/>
      <c r="F11" s="220"/>
      <c r="G11" s="218"/>
      <c r="H11" s="221"/>
      <c r="I11" s="222"/>
      <c r="J11" s="222"/>
      <c r="K11" s="223"/>
      <c r="L11" s="224"/>
      <c r="M11" s="229"/>
      <c r="N11" s="156"/>
      <c r="O11" s="156"/>
      <c r="P11" s="156"/>
      <c r="W11" s="38"/>
    </row>
    <row r="12" spans="1:23" s="39" customFormat="1" ht="21" customHeight="1" x14ac:dyDescent="0.15">
      <c r="A12" s="149" t="str">
        <f>IFERROR(IF(HLOOKUP($L$5,Unitsets!$J$3:$AG$19,M12,FALSE)=0,"",HLOOKUP($L$5,Unitsets!$J$3:$AG$19,M12,FALSE)),"")</f>
        <v/>
      </c>
      <c r="B12" s="150" t="str">
        <f>IFERROR(IF(VLOOKUP(A12,TableHandbook[],2,FALSE)=0,"",VLOOKUP(A12,TableHandbook[],2,FALSE)),"")</f>
        <v/>
      </c>
      <c r="C12" s="150" t="str">
        <f>IFERROR(IF(VLOOKUP(A12,TableHandbook[],3,FALSE)=0,"",VLOOKUP(A12,TableHandbook[],3,FALSE)),"")</f>
        <v/>
      </c>
      <c r="D12" s="151" t="str">
        <f>IFERROR(VLOOKUP(A12,TableHandbook[],4,FALSE),"")</f>
        <v/>
      </c>
      <c r="E12" s="150" t="str">
        <f>IF(A12="","",VLOOKUP($D$6,TableStudyPeriods[],3,FALSE))</f>
        <v/>
      </c>
      <c r="F12" s="152" t="str">
        <f>IFERROR(IF(VLOOKUP(A12,TableHandbook[],6,FALSE)=0,"",VLOOKUP(A12,TableHandbook[],6,FALSE)),"")</f>
        <v/>
      </c>
      <c r="G12" s="150" t="str">
        <f>IFERROR(IF(VLOOKUP(A12,TableHandbook[],5,FALSE)=0,"",VLOOKUP(A12,TableHandbook[],5,FALSE)),"")</f>
        <v/>
      </c>
      <c r="H12" s="153" t="str">
        <f>IFERROR(VLOOKUP($A12,TableHandbook[],H$2,FALSE),"")</f>
        <v/>
      </c>
      <c r="I12" s="150" t="str">
        <f>IFERROR(VLOOKUP($A12,TableHandbook[],I$2,FALSE),"")</f>
        <v/>
      </c>
      <c r="J12" s="150" t="str">
        <f>IFERROR(VLOOKUP($A12,TableHandbook[],J$2,FALSE),"")</f>
        <v/>
      </c>
      <c r="K12" s="154" t="str">
        <f>IFERROR(VLOOKUP($A12,TableHandbook[],K$2,FALSE),"")</f>
        <v/>
      </c>
      <c r="L12" s="106"/>
      <c r="M12" s="229">
        <v>4</v>
      </c>
      <c r="N12" s="156"/>
      <c r="O12" s="156"/>
      <c r="W12" s="38"/>
    </row>
    <row r="13" spans="1:23" s="39" customFormat="1" ht="21" customHeight="1" x14ac:dyDescent="0.15">
      <c r="A13" s="157" t="str">
        <f>IFERROR(IF(HLOOKUP($L$5,Unitsets!$J$3:$AG$19,M13,FALSE)=0,"",HLOOKUP($L$5,Unitsets!$J$3:$AG$19,M13,FALSE)),"")</f>
        <v/>
      </c>
      <c r="B13" s="158" t="str">
        <f>IFERROR(IF(VLOOKUP(A13,TableHandbook[],2,FALSE)=0,"",VLOOKUP(A13,TableHandbook[],2,FALSE)),"")</f>
        <v/>
      </c>
      <c r="C13" s="158" t="str">
        <f>IFERROR(IF(VLOOKUP(A13,TableHandbook[],3,FALSE)=0,"",VLOOKUP(A13,TableHandbook[],3,FALSE)),"")</f>
        <v/>
      </c>
      <c r="D13" s="159" t="str">
        <f>IFERROR(VLOOKUP(A13,TableHandbook[],4,FALSE),"")</f>
        <v/>
      </c>
      <c r="E13" s="158" t="str">
        <f>IF(A13="","",E12)</f>
        <v/>
      </c>
      <c r="F13" s="160" t="str">
        <f>IFERROR(IF(VLOOKUP(A13,TableHandbook[],6,FALSE)=0,"",VLOOKUP(A13,TableHandbook[],6,FALSE)),"")</f>
        <v/>
      </c>
      <c r="G13" s="158" t="str">
        <f>IFERROR(IF(VLOOKUP(A13,TableHandbook[],5,FALSE)=0,"",VLOOKUP(A13,TableHandbook[],5,FALSE)),"")</f>
        <v/>
      </c>
      <c r="H13" s="161" t="str">
        <f>IFERROR(VLOOKUP($A13,TableHandbook[],H$2,FALSE),"")</f>
        <v/>
      </c>
      <c r="I13" s="158" t="str">
        <f>IFERROR(VLOOKUP($A13,TableHandbook[],I$2,FALSE),"")</f>
        <v/>
      </c>
      <c r="J13" s="158" t="str">
        <f>IFERROR(VLOOKUP($A13,TableHandbook[],J$2,FALSE),"")</f>
        <v/>
      </c>
      <c r="K13" s="162" t="str">
        <f>IFERROR(VLOOKUP($A13,TableHandbook[],K$2,FALSE),"")</f>
        <v/>
      </c>
      <c r="L13" s="105"/>
      <c r="M13" s="229">
        <v>5</v>
      </c>
      <c r="N13" s="156"/>
      <c r="O13" s="156"/>
      <c r="W13" s="38"/>
    </row>
    <row r="14" spans="1:23" s="39" customFormat="1" ht="4.5" customHeight="1" x14ac:dyDescent="0.15">
      <c r="A14" s="217"/>
      <c r="B14" s="218"/>
      <c r="C14" s="218" t="str">
        <f>IFERROR(IF(VLOOKUP(A14,TableHandbook[],3,FALSE)=0,"",VLOOKUP(A14,TableHandbook[],3,FALSE)),"")</f>
        <v/>
      </c>
      <c r="D14" s="219"/>
      <c r="E14" s="218"/>
      <c r="F14" s="220"/>
      <c r="G14" s="218"/>
      <c r="H14" s="221"/>
      <c r="I14" s="222"/>
      <c r="J14" s="222"/>
      <c r="K14" s="223"/>
      <c r="L14" s="224"/>
      <c r="M14" s="229"/>
      <c r="N14" s="156"/>
      <c r="O14" s="156"/>
      <c r="P14" s="156"/>
      <c r="W14" s="38"/>
    </row>
    <row r="15" spans="1:23" s="39" customFormat="1" ht="21" customHeight="1" x14ac:dyDescent="0.15">
      <c r="A15" s="149" t="str">
        <f>IFERROR(IF(HLOOKUP($L$5,Unitsets!$J$3:$AG$19,M15,FALSE)=0,"",HLOOKUP($L$5,Unitsets!$J$3:$AG$19,M15,FALSE)),"")</f>
        <v/>
      </c>
      <c r="B15" s="163" t="str">
        <f>IFERROR(IF(VLOOKUP(A15,TableHandbook[],2,FALSE)=0,"",VLOOKUP(A15,TableHandbook[],2,FALSE)),"")</f>
        <v/>
      </c>
      <c r="C15" s="163" t="str">
        <f>IFERROR(IF(VLOOKUP(A15,TableHandbook[],3,FALSE)=0,"",VLOOKUP(A15,TableHandbook[],3,FALSE)),"")</f>
        <v/>
      </c>
      <c r="D15" s="151" t="str">
        <f>IFERROR(VLOOKUP(A15,TableHandbook[],4,FALSE),"")</f>
        <v/>
      </c>
      <c r="E15" s="150" t="str">
        <f>IF(A15="","",VLOOKUP($D$6,TableStudyPeriods[],4,FALSE))</f>
        <v/>
      </c>
      <c r="F15" s="152" t="str">
        <f>IFERROR(IF(VLOOKUP(A15,TableHandbook[],6,FALSE)=0,"",VLOOKUP(A15,TableHandbook[],6,FALSE)),"")</f>
        <v/>
      </c>
      <c r="G15" s="163" t="str">
        <f>IFERROR(IF(VLOOKUP(A15,TableHandbook[],5,FALSE)=0,"",VLOOKUP(A15,TableHandbook[],5,FALSE)),"")</f>
        <v/>
      </c>
      <c r="H15" s="164" t="str">
        <f>IFERROR(VLOOKUP($A15,TableHandbook[],H$2,FALSE),"")</f>
        <v/>
      </c>
      <c r="I15" s="163" t="str">
        <f>IFERROR(VLOOKUP($A15,TableHandbook[],I$2,FALSE),"")</f>
        <v/>
      </c>
      <c r="J15" s="163" t="str">
        <f>IFERROR(VLOOKUP($A15,TableHandbook[],J$2,FALSE),"")</f>
        <v/>
      </c>
      <c r="K15" s="165" t="str">
        <f>IFERROR(VLOOKUP($A15,TableHandbook[],K$2,FALSE),"")</f>
        <v/>
      </c>
      <c r="L15" s="106"/>
      <c r="M15" s="229">
        <v>6</v>
      </c>
      <c r="N15" s="156"/>
      <c r="O15" s="156"/>
      <c r="W15" s="38"/>
    </row>
    <row r="16" spans="1:23" s="41" customFormat="1" ht="21" customHeight="1" x14ac:dyDescent="0.15">
      <c r="A16" s="157" t="str">
        <f>IFERROR(IF(HLOOKUP($L$5,Unitsets!$J$3:$AG$19,M16,FALSE)=0,"",HLOOKUP($L$5,Unitsets!$J$3:$AG$19,M16,FALSE)),"")</f>
        <v/>
      </c>
      <c r="B16" s="166" t="str">
        <f>IFERROR(IF(VLOOKUP(A16,TableHandbook[],2,FALSE)=0,"",VLOOKUP(A16,TableHandbook[],2,FALSE)),"")</f>
        <v/>
      </c>
      <c r="C16" s="166" t="str">
        <f>IFERROR(IF(VLOOKUP(A16,TableHandbook[],3,FALSE)=0,"",VLOOKUP(A16,TableHandbook[],3,FALSE)),"")</f>
        <v/>
      </c>
      <c r="D16" s="159" t="str">
        <f>IFERROR(VLOOKUP(A16,TableHandbook[],4,FALSE),"")</f>
        <v/>
      </c>
      <c r="E16" s="158" t="str">
        <f>IF(A16="","",E15)</f>
        <v/>
      </c>
      <c r="F16" s="160" t="str">
        <f>IFERROR(IF(VLOOKUP(A16,TableHandbook[],6,FALSE)=0,"",VLOOKUP(A16,TableHandbook[],6,FALSE)),"")</f>
        <v/>
      </c>
      <c r="G16" s="166" t="str">
        <f>IFERROR(IF(VLOOKUP(A16,TableHandbook[],5,FALSE)=0,"",VLOOKUP(A16,TableHandbook[],5,FALSE)),"")</f>
        <v/>
      </c>
      <c r="H16" s="167" t="str">
        <f>IFERROR(VLOOKUP($A16,TableHandbook[],H$2,FALSE),"")</f>
        <v/>
      </c>
      <c r="I16" s="166" t="str">
        <f>IFERROR(VLOOKUP($A16,TableHandbook[],I$2,FALSE),"")</f>
        <v/>
      </c>
      <c r="J16" s="166" t="str">
        <f>IFERROR(VLOOKUP($A16,TableHandbook[],J$2,FALSE),"")</f>
        <v/>
      </c>
      <c r="K16" s="168" t="str">
        <f>IFERROR(VLOOKUP($A16,TableHandbook[],K$2,FALSE),"")</f>
        <v/>
      </c>
      <c r="L16" s="107"/>
      <c r="M16" s="229">
        <v>7</v>
      </c>
      <c r="N16" s="169"/>
      <c r="O16" s="169"/>
      <c r="W16" s="40"/>
    </row>
    <row r="17" spans="1:23" s="39" customFormat="1" ht="4.5" customHeight="1" x14ac:dyDescent="0.15">
      <c r="A17" s="217"/>
      <c r="B17" s="218"/>
      <c r="C17" s="218" t="str">
        <f>IFERROR(IF(VLOOKUP(A17,TableHandbook[],3,FALSE)=0,"",VLOOKUP(A17,TableHandbook[],3,FALSE)),"")</f>
        <v/>
      </c>
      <c r="D17" s="219"/>
      <c r="E17" s="218"/>
      <c r="F17" s="220"/>
      <c r="G17" s="218"/>
      <c r="H17" s="221"/>
      <c r="I17" s="222"/>
      <c r="J17" s="222"/>
      <c r="K17" s="223"/>
      <c r="L17" s="224"/>
      <c r="M17" s="229"/>
      <c r="N17" s="156"/>
      <c r="O17" s="156"/>
      <c r="P17" s="156"/>
      <c r="W17" s="38"/>
    </row>
    <row r="18" spans="1:23" s="41" customFormat="1" ht="21" customHeight="1" x14ac:dyDescent="0.15">
      <c r="A18" s="149" t="str">
        <f>IFERROR(IF(HLOOKUP($L$5,Unitsets!$J$3:$AG$19,M18,FALSE)=0,"",HLOOKUP($L$5,Unitsets!$J$3:$AG$19,M18,FALSE)),"")</f>
        <v/>
      </c>
      <c r="B18" s="163" t="str">
        <f>IFERROR(IF(VLOOKUP(A18,TableHandbook[],2,FALSE)=0,"",VLOOKUP(A18,TableHandbook[],2,FALSE)),"")</f>
        <v/>
      </c>
      <c r="C18" s="163" t="str">
        <f>IFERROR(IF(VLOOKUP(A18,TableHandbook[],3,FALSE)=0,"",VLOOKUP(A18,TableHandbook[],3,FALSE)),"")</f>
        <v/>
      </c>
      <c r="D18" s="151" t="str">
        <f>IFERROR(VLOOKUP(A18,TableHandbook[],4,FALSE),"")</f>
        <v/>
      </c>
      <c r="E18" s="150" t="str">
        <f>IF(A18="","",VLOOKUP($D$6,TableStudyPeriods[],5,FALSE))</f>
        <v/>
      </c>
      <c r="F18" s="152" t="str">
        <f>IFERROR(IF(VLOOKUP(A18,TableHandbook[],6,FALSE)=0,"",VLOOKUP(A18,TableHandbook[],6,FALSE)),"")</f>
        <v/>
      </c>
      <c r="G18" s="163" t="str">
        <f>IFERROR(IF(VLOOKUP(A18,TableHandbook[],5,FALSE)=0,"",VLOOKUP(A18,TableHandbook[],5,FALSE)),"")</f>
        <v/>
      </c>
      <c r="H18" s="164" t="str">
        <f>IFERROR(VLOOKUP($A18,TableHandbook[],H$2,FALSE),"")</f>
        <v/>
      </c>
      <c r="I18" s="163" t="str">
        <f>IFERROR(VLOOKUP($A18,TableHandbook[],I$2,FALSE),"")</f>
        <v/>
      </c>
      <c r="J18" s="163" t="str">
        <f>IFERROR(VLOOKUP($A18,TableHandbook[],J$2,FALSE),"")</f>
        <v/>
      </c>
      <c r="K18" s="165" t="str">
        <f>IFERROR(VLOOKUP($A18,TableHandbook[],K$2,FALSE),"")</f>
        <v/>
      </c>
      <c r="L18" s="106"/>
      <c r="M18" s="229">
        <v>8</v>
      </c>
      <c r="N18" s="169"/>
      <c r="O18" s="169"/>
      <c r="W18" s="40"/>
    </row>
    <row r="19" spans="1:23" s="41" customFormat="1" ht="21" customHeight="1" x14ac:dyDescent="0.15">
      <c r="A19" s="157" t="str">
        <f>IFERROR(IF(HLOOKUP($L$5,Unitsets!$J$3:$AG$19,M19,FALSE)=0,"",HLOOKUP($L$5,Unitsets!$J$3:$AG$19,M19,FALSE)),"")</f>
        <v/>
      </c>
      <c r="B19" s="166" t="str">
        <f>IFERROR(IF(VLOOKUP(A19,TableHandbook[],2,FALSE)=0,"",VLOOKUP(A19,TableHandbook[],2,FALSE)),"")</f>
        <v/>
      </c>
      <c r="C19" s="166" t="str">
        <f>IFERROR(IF(VLOOKUP(A19,TableHandbook[],3,FALSE)=0,"",VLOOKUP(A19,TableHandbook[],3,FALSE)),"")</f>
        <v/>
      </c>
      <c r="D19" s="170" t="str">
        <f>IFERROR(VLOOKUP(A19,TableHandbook[],4,FALSE),"")</f>
        <v/>
      </c>
      <c r="E19" s="166" t="str">
        <f>IF(A19="","",E18)</f>
        <v/>
      </c>
      <c r="F19" s="160" t="str">
        <f>IFERROR(IF(VLOOKUP(A19,TableHandbook[],6,FALSE)=0,"",VLOOKUP(A19,TableHandbook[],6,FALSE)),"")</f>
        <v/>
      </c>
      <c r="G19" s="166" t="str">
        <f>IFERROR(IF(VLOOKUP(A19,TableHandbook[],5,FALSE)=0,"",VLOOKUP(A19,TableHandbook[],5,FALSE)),"")</f>
        <v/>
      </c>
      <c r="H19" s="164" t="str">
        <f>IFERROR(VLOOKUP($A19,TableHandbook[],H$2,FALSE),"")</f>
        <v/>
      </c>
      <c r="I19" s="163" t="str">
        <f>IFERROR(VLOOKUP($A19,TableHandbook[],I$2,FALSE),"")</f>
        <v/>
      </c>
      <c r="J19" s="163" t="str">
        <f>IFERROR(VLOOKUP($A19,TableHandbook[],J$2,FALSE),"")</f>
        <v/>
      </c>
      <c r="K19" s="165" t="str">
        <f>IFERROR(VLOOKUP($A19,TableHandbook[],K$2,FALSE),"")</f>
        <v/>
      </c>
      <c r="L19" s="106"/>
      <c r="M19" s="229">
        <v>9</v>
      </c>
      <c r="N19" s="169"/>
      <c r="O19" s="169"/>
      <c r="W19" s="40"/>
    </row>
    <row r="20" spans="1:23" s="37" customFormat="1" ht="21" x14ac:dyDescent="0.25">
      <c r="A20" s="138" t="s">
        <v>23</v>
      </c>
      <c r="B20" s="138"/>
      <c r="C20" s="138" t="s">
        <v>14</v>
      </c>
      <c r="D20" s="144" t="s">
        <v>3</v>
      </c>
      <c r="E20" s="146" t="s">
        <v>15</v>
      </c>
      <c r="F20" s="138" t="s">
        <v>16</v>
      </c>
      <c r="G20" s="138" t="s">
        <v>17</v>
      </c>
      <c r="H20" s="147" t="s">
        <v>18</v>
      </c>
      <c r="I20" s="146" t="s">
        <v>19</v>
      </c>
      <c r="J20" s="146" t="s">
        <v>20</v>
      </c>
      <c r="K20" s="148" t="s">
        <v>21</v>
      </c>
      <c r="L20" s="138" t="s">
        <v>22</v>
      </c>
      <c r="M20" s="230"/>
      <c r="N20" s="145"/>
      <c r="O20" s="145"/>
      <c r="W20" s="36"/>
    </row>
    <row r="21" spans="1:23" s="39" customFormat="1" ht="21" customHeight="1" x14ac:dyDescent="0.15">
      <c r="A21" s="149" t="str">
        <f>IFERROR(IF(HLOOKUP($L$5,Unitsets!$J$3:$AG$19,M21,FALSE)=0,"",HLOOKUP($L$5,Unitsets!$J$3:$AG$19,M21,FALSE)),"")</f>
        <v/>
      </c>
      <c r="B21" s="163" t="str">
        <f>IFERROR(IF(VLOOKUP(A21,TableHandbook[],2,FALSE)=0,"",VLOOKUP(A21,TableHandbook[],2,FALSE)),"")</f>
        <v/>
      </c>
      <c r="C21" s="163" t="str">
        <f>IFERROR(IF(VLOOKUP(A21,TableHandbook[],3,FALSE)=0,"",VLOOKUP(A21,TableHandbook[],3,FALSE)),"")</f>
        <v/>
      </c>
      <c r="D21" s="171" t="str">
        <f>IFERROR(VLOOKUP(A21,TableHandbook[],4,FALSE),"")</f>
        <v/>
      </c>
      <c r="E21" s="163" t="str">
        <f>IF(A21="","",VLOOKUP($D$6,TableStudyPeriods[],2,FALSE))</f>
        <v/>
      </c>
      <c r="F21" s="152" t="str">
        <f>IFERROR(IF(VLOOKUP(A21,TableHandbook[],6,FALSE)=0,"",VLOOKUP(A21,TableHandbook[],6,FALSE)),"")</f>
        <v/>
      </c>
      <c r="G21" s="150" t="str">
        <f>IFERROR(IF(VLOOKUP(A21,TableHandbook[],5,FALSE)=0,"",VLOOKUP(A21,TableHandbook[],5,FALSE)),"")</f>
        <v/>
      </c>
      <c r="H21" s="153" t="str">
        <f>IFERROR(VLOOKUP($A21,TableHandbook[],H$2,FALSE),"")</f>
        <v/>
      </c>
      <c r="I21" s="150" t="str">
        <f>IFERROR(VLOOKUP($A21,TableHandbook[],I$2,FALSE),"")</f>
        <v/>
      </c>
      <c r="J21" s="150" t="str">
        <f>IFERROR(VLOOKUP($A21,TableHandbook[],J$2,FALSE),"")</f>
        <v/>
      </c>
      <c r="K21" s="154" t="str">
        <f>IFERROR(VLOOKUP($A21,TableHandbook[],K$2,FALSE),"")</f>
        <v/>
      </c>
      <c r="L21" s="125"/>
      <c r="M21" s="229">
        <v>10</v>
      </c>
      <c r="N21" s="156"/>
      <c r="O21" s="156"/>
      <c r="W21" s="38"/>
    </row>
    <row r="22" spans="1:23" s="39" customFormat="1" ht="21" customHeight="1" x14ac:dyDescent="0.15">
      <c r="A22" s="157" t="str">
        <f>IFERROR(IF(HLOOKUP($L$5,Unitsets!$J$3:$AG$19,M22,FALSE)=0,"",HLOOKUP($L$5,Unitsets!$J$3:$AG$19,M22,FALSE)),"")</f>
        <v/>
      </c>
      <c r="B22" s="166" t="str">
        <f>IFERROR(IF(VLOOKUP(A22,TableHandbook[],2,FALSE)=0,"",VLOOKUP(A22,TableHandbook[],2,FALSE)),"")</f>
        <v/>
      </c>
      <c r="C22" s="166" t="str">
        <f>IFERROR(IF(VLOOKUP(A22,TableHandbook[],3,FALSE)=0,"",VLOOKUP(A22,TableHandbook[],3,FALSE)),"")</f>
        <v/>
      </c>
      <c r="D22" s="170" t="str">
        <f>IFERROR(VLOOKUP(A22,TableHandbook[],4,FALSE),"")</f>
        <v/>
      </c>
      <c r="E22" s="166" t="str">
        <f>IF(A22="","",E21)</f>
        <v/>
      </c>
      <c r="F22" s="160" t="str">
        <f>IFERROR(IF(VLOOKUP(A22,TableHandbook[],6,FALSE)=0,"",VLOOKUP(A22,TableHandbook[],6,FALSE)),"")</f>
        <v/>
      </c>
      <c r="G22" s="158" t="str">
        <f>IFERROR(IF(VLOOKUP(A22,TableHandbook[],5,FALSE)=0,"",VLOOKUP(A22,TableHandbook[],5,FALSE)),"")</f>
        <v/>
      </c>
      <c r="H22" s="161" t="str">
        <f>IFERROR(VLOOKUP($A22,TableHandbook[],H$2,FALSE),"")</f>
        <v/>
      </c>
      <c r="I22" s="158" t="str">
        <f>IFERROR(VLOOKUP($A22,TableHandbook[],I$2,FALSE),"")</f>
        <v/>
      </c>
      <c r="J22" s="158" t="str">
        <f>IFERROR(VLOOKUP($A22,TableHandbook[],J$2,FALSE),"")</f>
        <v/>
      </c>
      <c r="K22" s="162" t="str">
        <f>IFERROR(VLOOKUP($A22,TableHandbook[],K$2,FALSE),"")</f>
        <v/>
      </c>
      <c r="L22" s="126"/>
      <c r="M22" s="229">
        <v>11</v>
      </c>
      <c r="N22" s="156"/>
      <c r="O22" s="156"/>
      <c r="W22" s="38"/>
    </row>
    <row r="23" spans="1:23" s="39" customFormat="1" ht="4.5" customHeight="1" x14ac:dyDescent="0.15">
      <c r="A23" s="217"/>
      <c r="B23" s="218"/>
      <c r="C23" s="218" t="str">
        <f>IFERROR(IF(VLOOKUP(A23,TableHandbook[],3,FALSE)=0,"",VLOOKUP(A23,TableHandbook[],3,FALSE)),"")</f>
        <v/>
      </c>
      <c r="D23" s="219"/>
      <c r="E23" s="218"/>
      <c r="F23" s="220"/>
      <c r="G23" s="218"/>
      <c r="H23" s="221"/>
      <c r="I23" s="222"/>
      <c r="J23" s="222"/>
      <c r="K23" s="223"/>
      <c r="L23" s="225"/>
      <c r="M23" s="229"/>
      <c r="N23" s="156"/>
      <c r="O23" s="156"/>
      <c r="P23" s="156"/>
      <c r="W23" s="38"/>
    </row>
    <row r="24" spans="1:23" s="39" customFormat="1" ht="21" customHeight="1" x14ac:dyDescent="0.15">
      <c r="A24" s="149" t="str">
        <f>IFERROR(IF(HLOOKUP($L$5,Unitsets!$J$3:$AG$19,M24,FALSE)=0,"",HLOOKUP($L$5,Unitsets!$J$3:$AG$19,M24,FALSE)),"")</f>
        <v/>
      </c>
      <c r="B24" s="163" t="str">
        <f>IFERROR(IF(VLOOKUP(A24,TableHandbook[],2,FALSE)=0,"",VLOOKUP(A24,TableHandbook[],2,FALSE)),"")</f>
        <v/>
      </c>
      <c r="C24" s="163" t="str">
        <f>IFERROR(IF(VLOOKUP(A24,TableHandbook[],3,FALSE)=0,"",VLOOKUP(A24,TableHandbook[],3,FALSE)),"")</f>
        <v/>
      </c>
      <c r="D24" s="172" t="str">
        <f>IFERROR(VLOOKUP(A24,TableHandbook[],4,FALSE),"")</f>
        <v/>
      </c>
      <c r="E24" s="163" t="str">
        <f>IF(A24="","",VLOOKUP($D$6,TableStudyPeriods[],3,FALSE))</f>
        <v/>
      </c>
      <c r="F24" s="152" t="str">
        <f>IFERROR(IF(VLOOKUP(A24,TableHandbook[],6,FALSE)=0,"",VLOOKUP(A24,TableHandbook[],6,FALSE)),"")</f>
        <v/>
      </c>
      <c r="G24" s="150" t="str">
        <f>IFERROR(IF(VLOOKUP(A24,TableHandbook[],5,FALSE)=0,"",VLOOKUP(A24,TableHandbook[],5,FALSE)),"")</f>
        <v/>
      </c>
      <c r="H24" s="153" t="str">
        <f>IFERROR(VLOOKUP($A24,TableHandbook[],H$2,FALSE),"")</f>
        <v/>
      </c>
      <c r="I24" s="150" t="str">
        <f>IFERROR(VLOOKUP($A24,TableHandbook[],I$2,FALSE),"")</f>
        <v/>
      </c>
      <c r="J24" s="150" t="str">
        <f>IFERROR(VLOOKUP($A24,TableHandbook[],J$2,FALSE),"")</f>
        <v/>
      </c>
      <c r="K24" s="154" t="str">
        <f>IFERROR(VLOOKUP($A24,TableHandbook[],K$2,FALSE),"")</f>
        <v/>
      </c>
      <c r="L24" s="125"/>
      <c r="M24" s="229">
        <v>12</v>
      </c>
      <c r="N24" s="156"/>
      <c r="O24" s="156"/>
      <c r="W24" s="38"/>
    </row>
    <row r="25" spans="1:23" s="39" customFormat="1" ht="21" customHeight="1" x14ac:dyDescent="0.15">
      <c r="A25" s="157" t="str">
        <f>IFERROR(IF(HLOOKUP($L$5,Unitsets!$J$3:$AG$19,M25,FALSE)=0,"",HLOOKUP($L$5,Unitsets!$J$3:$AG$19,M25,FALSE)),"")</f>
        <v/>
      </c>
      <c r="B25" s="166" t="str">
        <f>IFERROR(IF(VLOOKUP(A25,TableHandbook[],2,FALSE)=0,"",VLOOKUP(A25,TableHandbook[],2,FALSE)),"")</f>
        <v/>
      </c>
      <c r="C25" s="166" t="str">
        <f>IFERROR(IF(VLOOKUP(A25,TableHandbook[],3,FALSE)=0,"",VLOOKUP(A25,TableHandbook[],3,FALSE)),"")</f>
        <v/>
      </c>
      <c r="D25" s="170" t="str">
        <f>IFERROR(VLOOKUP(A25,TableHandbook[],4,FALSE),"")</f>
        <v/>
      </c>
      <c r="E25" s="166" t="str">
        <f>IF(A25="","",E24)</f>
        <v/>
      </c>
      <c r="F25" s="160" t="str">
        <f>IFERROR(IF(VLOOKUP(A25,TableHandbook[],6,FALSE)=0,"",VLOOKUP(A25,TableHandbook[],6,FALSE)),"")</f>
        <v/>
      </c>
      <c r="G25" s="158" t="str">
        <f>IFERROR(IF(VLOOKUP(A25,TableHandbook[],5,FALSE)=0,"",VLOOKUP(A25,TableHandbook[],5,FALSE)),"")</f>
        <v/>
      </c>
      <c r="H25" s="161" t="str">
        <f>IFERROR(VLOOKUP($A25,TableHandbook[],H$2,FALSE),"")</f>
        <v/>
      </c>
      <c r="I25" s="158" t="str">
        <f>IFERROR(VLOOKUP($A25,TableHandbook[],I$2,FALSE),"")</f>
        <v/>
      </c>
      <c r="J25" s="158" t="str">
        <f>IFERROR(VLOOKUP($A25,TableHandbook[],J$2,FALSE),"")</f>
        <v/>
      </c>
      <c r="K25" s="162" t="str">
        <f>IFERROR(VLOOKUP($A25,TableHandbook[],K$2,FALSE),"")</f>
        <v/>
      </c>
      <c r="L25" s="126"/>
      <c r="M25" s="229">
        <v>13</v>
      </c>
      <c r="N25" s="156"/>
      <c r="O25" s="156"/>
      <c r="W25" s="38"/>
    </row>
    <row r="26" spans="1:23" s="39" customFormat="1" ht="5.0999999999999996" customHeight="1" x14ac:dyDescent="0.15">
      <c r="A26" s="217"/>
      <c r="B26" s="218"/>
      <c r="C26" s="218"/>
      <c r="D26" s="219"/>
      <c r="E26" s="218"/>
      <c r="F26" s="220"/>
      <c r="G26" s="218"/>
      <c r="H26" s="226"/>
      <c r="I26" s="218"/>
      <c r="J26" s="218"/>
      <c r="K26" s="227"/>
      <c r="L26" s="225"/>
      <c r="M26" s="229"/>
      <c r="N26" s="156"/>
      <c r="O26" s="156"/>
      <c r="P26" s="156"/>
      <c r="W26" s="38"/>
    </row>
    <row r="27" spans="1:23" s="39" customFormat="1" ht="21" customHeight="1" x14ac:dyDescent="0.15">
      <c r="A27" s="173" t="str">
        <f>IFERROR(IF(HLOOKUP($L$5,Unitsets!$J$3:$AG$19,M27,FALSE)=0,"",HLOOKUP($L$5,Unitsets!$J$3:$AG$19,M27,FALSE)),"")</f>
        <v/>
      </c>
      <c r="B27" s="163" t="str">
        <f>IFERROR(IF(VLOOKUP(A27,TableHandbook[],2,FALSE)=0,"",VLOOKUP(A27,TableHandbook[],2,FALSE)),"")</f>
        <v/>
      </c>
      <c r="C27" s="163" t="str">
        <f>IFERROR(IF(VLOOKUP(A27,TableHandbook[],3,FALSE)=0,"",VLOOKUP(A27,TableHandbook[],3,FALSE)),"")</f>
        <v/>
      </c>
      <c r="D27" s="172" t="str">
        <f>IFERROR(VLOOKUP(A27,TableHandbook[],4,FALSE),"")</f>
        <v/>
      </c>
      <c r="E27" s="163" t="str">
        <f>IF(A27="","",VLOOKUP($D$6,TableStudyPeriods[],4,FALSE))</f>
        <v/>
      </c>
      <c r="F27" s="174" t="str">
        <f>IFERROR(IF(VLOOKUP(A27,TableHandbook[],6,FALSE)=0,"",VLOOKUP(A27,TableHandbook[],6,FALSE)),"")</f>
        <v/>
      </c>
      <c r="G27" s="163" t="str">
        <f>IFERROR(IF(VLOOKUP(A27,TableHandbook[],5,FALSE)=0,"",VLOOKUP(A27,TableHandbook[],5,FALSE)),"")</f>
        <v/>
      </c>
      <c r="H27" s="164" t="str">
        <f>IFERROR(VLOOKUP($A27,TableHandbook[],H$2,FALSE),"")</f>
        <v/>
      </c>
      <c r="I27" s="163" t="str">
        <f>IFERROR(VLOOKUP($A27,TableHandbook[],I$2,FALSE),"")</f>
        <v/>
      </c>
      <c r="J27" s="163" t="str">
        <f>IFERROR(VLOOKUP($A27,TableHandbook[],J$2,FALSE),"")</f>
        <v/>
      </c>
      <c r="K27" s="165" t="str">
        <f>IFERROR(VLOOKUP($A27,TableHandbook[],K$2,FALSE),"")</f>
        <v/>
      </c>
      <c r="L27" s="127"/>
      <c r="M27" s="229">
        <v>14</v>
      </c>
      <c r="N27" s="156"/>
      <c r="O27" s="156"/>
      <c r="W27" s="38"/>
    </row>
    <row r="28" spans="1:23" s="39" customFormat="1" ht="21" customHeight="1" x14ac:dyDescent="0.15">
      <c r="A28" s="175" t="str">
        <f>IFERROR(IF(HLOOKUP($L$5,Unitsets!$J$3:$AG$19,M28,FALSE)=0,"",HLOOKUP($L$5,Unitsets!$J$3:$AG$19,M28,FALSE)),"")</f>
        <v/>
      </c>
      <c r="B28" s="166" t="str">
        <f>IFERROR(IF(VLOOKUP(A28,TableHandbook[],2,FALSE)=0,"",VLOOKUP(A28,TableHandbook[],2,FALSE)),"")</f>
        <v/>
      </c>
      <c r="C28" s="166" t="str">
        <f>IFERROR(IF(VLOOKUP(A28,TableHandbook[],3,FALSE)=0,"",VLOOKUP(A28,TableHandbook[],3,FALSE)),"")</f>
        <v/>
      </c>
      <c r="D28" s="170" t="str">
        <f>IFERROR(VLOOKUP(A28,TableHandbook[],4,FALSE),"")</f>
        <v/>
      </c>
      <c r="E28" s="166" t="str">
        <f>IF(A28="","",E27)</f>
        <v/>
      </c>
      <c r="F28" s="176" t="str">
        <f>IFERROR(IF(VLOOKUP(A28,TableHandbook[],6,FALSE)=0,"",VLOOKUP(A28,TableHandbook[],6,FALSE)),"")</f>
        <v/>
      </c>
      <c r="G28" s="166" t="str">
        <f>IFERROR(IF(VLOOKUP(A28,TableHandbook[],5,FALSE)=0,"",VLOOKUP(A28,TableHandbook[],5,FALSE)),"")</f>
        <v/>
      </c>
      <c r="H28" s="167" t="str">
        <f>IFERROR(VLOOKUP($A28,TableHandbook[],H$2,FALSE),"")</f>
        <v/>
      </c>
      <c r="I28" s="166" t="str">
        <f>IFERROR(VLOOKUP($A28,TableHandbook[],I$2,FALSE),"")</f>
        <v/>
      </c>
      <c r="J28" s="166" t="str">
        <f>IFERROR(VLOOKUP($A28,TableHandbook[],J$2,FALSE),"")</f>
        <v/>
      </c>
      <c r="K28" s="168" t="str">
        <f>IFERROR(VLOOKUP($A28,TableHandbook[],K$2,FALSE),"")</f>
        <v/>
      </c>
      <c r="L28" s="128"/>
      <c r="M28" s="229">
        <v>15</v>
      </c>
      <c r="N28" s="156"/>
      <c r="O28" s="156"/>
      <c r="W28" s="38"/>
    </row>
    <row r="29" spans="1:23" s="39" customFormat="1" ht="4.5" customHeight="1" x14ac:dyDescent="0.15">
      <c r="A29" s="217"/>
      <c r="B29" s="218"/>
      <c r="C29" s="218" t="str">
        <f>IFERROR(IF(VLOOKUP(A29,TableHandbook[],3,FALSE)=0,"",VLOOKUP(A29,TableHandbook[],3,FALSE)),"")</f>
        <v/>
      </c>
      <c r="D29" s="219"/>
      <c r="E29" s="218"/>
      <c r="F29" s="220"/>
      <c r="G29" s="218"/>
      <c r="H29" s="221"/>
      <c r="I29" s="222"/>
      <c r="J29" s="222"/>
      <c r="K29" s="223"/>
      <c r="L29" s="225"/>
      <c r="M29" s="229"/>
      <c r="N29" s="156"/>
      <c r="O29" s="156"/>
      <c r="P29" s="156"/>
      <c r="W29" s="38"/>
    </row>
    <row r="30" spans="1:23" s="41" customFormat="1" ht="21" customHeight="1" x14ac:dyDescent="0.15">
      <c r="A30" s="173" t="str">
        <f>IFERROR(IF(HLOOKUP($L$5,Unitsets!$J$3:$AG$19,M30,FALSE)=0,"",HLOOKUP($L$5,Unitsets!$J$3:$AG$19,M30,FALSE)),"")</f>
        <v/>
      </c>
      <c r="B30" s="163" t="str">
        <f>IFERROR(IF(VLOOKUP(A30,TableHandbook[],2,FALSE)=0,"",VLOOKUP(A30,TableHandbook[],2,FALSE)),"")</f>
        <v/>
      </c>
      <c r="C30" s="163" t="str">
        <f>IFERROR(IF(VLOOKUP(A30,TableHandbook[],3,FALSE)=0,"",VLOOKUP(A30,TableHandbook[],3,FALSE)),"")</f>
        <v/>
      </c>
      <c r="D30" s="172" t="str">
        <f>IFERROR(VLOOKUP(A30,TableHandbook[],4,FALSE),"")</f>
        <v/>
      </c>
      <c r="E30" s="163" t="str">
        <f>IF(A30="","",VLOOKUP($D$6,TableStudyPeriods[],5,FALSE))</f>
        <v/>
      </c>
      <c r="F30" s="174" t="str">
        <f>IFERROR(IF(VLOOKUP(A30,TableHandbook[],6,FALSE)=0,"",VLOOKUP(A30,TableHandbook[],6,FALSE)),"")</f>
        <v/>
      </c>
      <c r="G30" s="163" t="str">
        <f>IFERROR(IF(VLOOKUP(A30,TableHandbook[],5,FALSE)=0,"",VLOOKUP(A30,TableHandbook[],5,FALSE)),"")</f>
        <v/>
      </c>
      <c r="H30" s="164" t="str">
        <f>IFERROR(VLOOKUP($A30,TableHandbook[],H$2,FALSE),"")</f>
        <v/>
      </c>
      <c r="I30" s="163" t="str">
        <f>IFERROR(VLOOKUP($A30,TableHandbook[],I$2,FALSE),"")</f>
        <v/>
      </c>
      <c r="J30" s="163" t="str">
        <f>IFERROR(VLOOKUP($A30,TableHandbook[],J$2,FALSE),"")</f>
        <v/>
      </c>
      <c r="K30" s="165" t="str">
        <f>IFERROR(VLOOKUP($A30,TableHandbook[],K$2,FALSE),"")</f>
        <v/>
      </c>
      <c r="L30" s="127"/>
      <c r="M30" s="229">
        <v>16</v>
      </c>
      <c r="N30" s="169"/>
      <c r="O30" s="169"/>
      <c r="W30" s="40"/>
    </row>
    <row r="31" spans="1:23" s="41" customFormat="1" ht="21" customHeight="1" x14ac:dyDescent="0.15">
      <c r="A31" s="175" t="str">
        <f>IFERROR(IF(HLOOKUP($L$5,Unitsets!$J$3:$AG$19,M31,FALSE)=0,"",HLOOKUP($L$5,Unitsets!$J$3:$AG$19,M31,FALSE)),"")</f>
        <v/>
      </c>
      <c r="B31" s="166" t="str">
        <f>IFERROR(IF(VLOOKUP(A31,TableHandbook[],2,FALSE)=0,"",VLOOKUP(A31,TableHandbook[],2,FALSE)),"")</f>
        <v/>
      </c>
      <c r="C31" s="166" t="str">
        <f>IFERROR(IF(VLOOKUP(A31,TableHandbook[],3,FALSE)=0,"",VLOOKUP(A31,TableHandbook[],3,FALSE)),"")</f>
        <v/>
      </c>
      <c r="D31" s="170" t="str">
        <f>IFERROR(VLOOKUP(A31,TableHandbook[],4,FALSE),"")</f>
        <v/>
      </c>
      <c r="E31" s="166" t="str">
        <f>IF(A31="","",E30)</f>
        <v/>
      </c>
      <c r="F31" s="176" t="str">
        <f>IFERROR(IF(VLOOKUP(A31,TableHandbook[],6,FALSE)=0,"",VLOOKUP(A31,TableHandbook[],6,FALSE)),"")</f>
        <v/>
      </c>
      <c r="G31" s="166" t="str">
        <f>IFERROR(IF(VLOOKUP(A31,TableHandbook[],5,FALSE)=0,"",VLOOKUP(A31,TableHandbook[],5,FALSE)),"")</f>
        <v/>
      </c>
      <c r="H31" s="167" t="str">
        <f>IFERROR(VLOOKUP($A31,TableHandbook[],H$2,FALSE),"")</f>
        <v/>
      </c>
      <c r="I31" s="166" t="str">
        <f>IFERROR(VLOOKUP($A31,TableHandbook[],I$2,FALSE),"")</f>
        <v/>
      </c>
      <c r="J31" s="166" t="str">
        <f>IFERROR(VLOOKUP($A31,TableHandbook[],J$2,FALSE),"")</f>
        <v/>
      </c>
      <c r="K31" s="168" t="str">
        <f>IFERROR(VLOOKUP($A31,TableHandbook[],K$2,FALSE),"")</f>
        <v/>
      </c>
      <c r="L31" s="128"/>
      <c r="M31" s="229">
        <v>17</v>
      </c>
      <c r="N31" s="169"/>
      <c r="O31" s="169"/>
      <c r="W31" s="40"/>
    </row>
    <row r="32" spans="1:23" s="45" customFormat="1" ht="13.9" customHeight="1" x14ac:dyDescent="0.2">
      <c r="A32" s="177"/>
      <c r="B32" s="177"/>
      <c r="C32" s="177"/>
      <c r="D32" s="178"/>
      <c r="E32" s="178"/>
      <c r="F32" s="179"/>
      <c r="G32" s="179"/>
      <c r="H32" s="179"/>
      <c r="I32" s="179"/>
      <c r="J32" s="179"/>
      <c r="K32" s="179"/>
      <c r="L32" s="179"/>
      <c r="M32" s="231"/>
      <c r="N32" s="180"/>
      <c r="O32" s="180"/>
      <c r="W32" s="44"/>
    </row>
    <row r="33" spans="1:23" ht="15" customHeight="1" x14ac:dyDescent="0.25">
      <c r="A33" s="181" t="s">
        <v>24</v>
      </c>
      <c r="B33" s="182"/>
      <c r="C33" s="182"/>
      <c r="D33" s="183"/>
      <c r="E33" s="184"/>
      <c r="F33" s="184"/>
      <c r="G33" s="184"/>
      <c r="H33" s="185" t="s">
        <v>187</v>
      </c>
      <c r="I33" s="186"/>
      <c r="J33" s="181"/>
      <c r="K33" s="187"/>
      <c r="L33" s="188" t="str">
        <f>VLOOKUP(D5,TableCourses[],2,FALSE)</f>
        <v>OM-ENVCLM</v>
      </c>
      <c r="M33" s="228"/>
      <c r="W33" s="35"/>
    </row>
    <row r="34" spans="1:23" s="47" customFormat="1" x14ac:dyDescent="0.25">
      <c r="A34" s="138"/>
      <c r="B34" s="138"/>
      <c r="C34" s="138" t="s">
        <v>14</v>
      </c>
      <c r="D34" s="189" t="s">
        <v>3</v>
      </c>
      <c r="E34" s="138"/>
      <c r="F34" s="138" t="s">
        <v>16</v>
      </c>
      <c r="G34" s="138" t="s">
        <v>17</v>
      </c>
      <c r="H34" s="190" t="s">
        <v>18</v>
      </c>
      <c r="I34" s="191" t="s">
        <v>19</v>
      </c>
      <c r="J34" s="191" t="s">
        <v>20</v>
      </c>
      <c r="K34" s="192" t="s">
        <v>21</v>
      </c>
      <c r="L34" s="193" t="s">
        <v>22</v>
      </c>
      <c r="M34" s="228"/>
      <c r="W34" s="46"/>
    </row>
    <row r="35" spans="1:23" x14ac:dyDescent="0.25">
      <c r="A35" s="194" t="str">
        <f t="shared" ref="A35:A42" si="0">IFERROR(IF(HLOOKUP($L$33,RangeOptions,$M35,FALSE)=0,"",HLOOKUP($L$33,RangeOptions,$M35,FALSE)),"")</f>
        <v>PRJM6013</v>
      </c>
      <c r="B35" s="195">
        <f>IFERROR(IF(VLOOKUP(A35,TableHandbook[],2,FALSE)=0,"",VLOOKUP(A35,TableHandbook[],2,FALSE)),"")</f>
        <v>2</v>
      </c>
      <c r="C35" s="195" t="str">
        <f>IFERROR(IF(VLOOKUP(A35,TableHandbook[],3,FALSE)=0,"",VLOOKUP(A35,TableHandbook[],3,FALSE)),"")</f>
        <v>PRM500</v>
      </c>
      <c r="D35" s="196" t="str">
        <f>IFERROR(VLOOKUP(A35,TableHandbook[],4,FALSE),"")</f>
        <v>Project Management Overview</v>
      </c>
      <c r="E35" s="197"/>
      <c r="F35" s="197" t="str">
        <f>IFERROR(IF(VLOOKUP(A35,TableHandbook[],6,FALSE)=0,"",VLOOKUP(A35,TableHandbook[],6,FALSE)),"")</f>
        <v>None</v>
      </c>
      <c r="G35" s="197">
        <f>IFERROR(IF(VLOOKUP(A35,TableHandbook[],5,FALSE)=0,"",VLOOKUP(A35,TableHandbook[],5,FALSE)),"")</f>
        <v>25</v>
      </c>
      <c r="H35" s="198" t="str">
        <f>IFERROR(VLOOKUP($A35,TableHandbook[],H$2,FALSE),"")</f>
        <v>Y</v>
      </c>
      <c r="I35" s="197" t="str">
        <f>IFERROR(VLOOKUP($A35,TableHandbook[],I$2,FALSE),"")</f>
        <v/>
      </c>
      <c r="J35" s="197" t="str">
        <f>IFERROR(VLOOKUP($A35,TableHandbook[],J$2,FALSE),"")</f>
        <v>Y</v>
      </c>
      <c r="K35" s="199" t="str">
        <f>IFERROR(VLOOKUP($A35,TableHandbook[],K$2,FALSE),"")</f>
        <v/>
      </c>
      <c r="L35" s="129"/>
      <c r="M35" s="229">
        <v>2</v>
      </c>
      <c r="W35" s="35"/>
    </row>
    <row r="36" spans="1:23" x14ac:dyDescent="0.25">
      <c r="A36" s="194" t="str">
        <f t="shared" si="0"/>
        <v>PRJM6015</v>
      </c>
      <c r="B36" s="195">
        <f>IFERROR(IF(VLOOKUP(A36,TableHandbook[],2,FALSE)=0,"",VLOOKUP(A36,TableHandbook[],2,FALSE)),"")</f>
        <v>1</v>
      </c>
      <c r="C36" s="195" t="str">
        <f>IFERROR(IF(VLOOKUP(A36,TableHandbook[],3,FALSE)=0,"",VLOOKUP(A36,TableHandbook[],3,FALSE)),"")</f>
        <v>PRM510</v>
      </c>
      <c r="D36" s="196" t="str">
        <f>IFERROR(VLOOKUP(A36,TableHandbook[],4,FALSE),"")</f>
        <v>Project and People</v>
      </c>
      <c r="E36" s="197"/>
      <c r="F36" s="197" t="str">
        <f>IFERROR(IF(VLOOKUP(A36,TableHandbook[],6,FALSE)=0,"",VLOOKUP(A36,TableHandbook[],6,FALSE)),"")</f>
        <v>None</v>
      </c>
      <c r="G36" s="197">
        <f>IFERROR(IF(VLOOKUP(A36,TableHandbook[],5,FALSE)=0,"",VLOOKUP(A36,TableHandbook[],5,FALSE)),"")</f>
        <v>25</v>
      </c>
      <c r="H36" s="198" t="str">
        <f>IFERROR(VLOOKUP($A36,TableHandbook[],H$2,FALSE),"")</f>
        <v/>
      </c>
      <c r="I36" s="197" t="str">
        <f>IFERROR(VLOOKUP($A36,TableHandbook[],I$2,FALSE),"")</f>
        <v>Y</v>
      </c>
      <c r="J36" s="197" t="str">
        <f>IFERROR(VLOOKUP($A36,TableHandbook[],J$2,FALSE),"")</f>
        <v/>
      </c>
      <c r="K36" s="199" t="str">
        <f>IFERROR(VLOOKUP($A36,TableHandbook[],K$2,FALSE),"")</f>
        <v>Y</v>
      </c>
      <c r="L36" s="129"/>
      <c r="M36" s="229">
        <v>3</v>
      </c>
      <c r="W36" s="35"/>
    </row>
    <row r="37" spans="1:23" x14ac:dyDescent="0.25">
      <c r="A37" s="194" t="str">
        <f t="shared" si="0"/>
        <v>SUST5011</v>
      </c>
      <c r="B37" s="195">
        <f>IFERROR(IF(VLOOKUP(A37,TableHandbook[],2,FALSE)=0,"",VLOOKUP(A37,TableHandbook[],2,FALSE)),"")</f>
        <v>1</v>
      </c>
      <c r="C37" s="195" t="str">
        <f>IFERROR(IF(VLOOKUP(A37,TableHandbook[],3,FALSE)=0,"",VLOOKUP(A37,TableHandbook[],3,FALSE)),"")</f>
        <v>SCP541</v>
      </c>
      <c r="D37" s="196" t="str">
        <f>IFERROR(VLOOKUP(A37,TableHandbook[],4,FALSE),"")</f>
        <v>Urban Design for Sustainability</v>
      </c>
      <c r="E37" s="197"/>
      <c r="F37" s="197" t="str">
        <f>IFERROR(IF(VLOOKUP(A37,TableHandbook[],6,FALSE)=0,"",VLOOKUP(A37,TableHandbook[],6,FALSE)),"")</f>
        <v>None</v>
      </c>
      <c r="G37" s="197">
        <f>IFERROR(IF(VLOOKUP(A37,TableHandbook[],5,FALSE)=0,"",VLOOKUP(A37,TableHandbook[],5,FALSE)),"")</f>
        <v>25</v>
      </c>
      <c r="H37" s="198" t="str">
        <f>IFERROR(VLOOKUP($A37,TableHandbook[],H$2,FALSE),"")</f>
        <v/>
      </c>
      <c r="I37" s="197" t="str">
        <f>IFERROR(VLOOKUP($A37,TableHandbook[],I$2,FALSE),"")</f>
        <v>Y</v>
      </c>
      <c r="J37" s="197" t="str">
        <f>IFERROR(VLOOKUP($A37,TableHandbook[],J$2,FALSE),"")</f>
        <v/>
      </c>
      <c r="K37" s="199" t="str">
        <f>IFERROR(VLOOKUP($A37,TableHandbook[],K$2,FALSE),"")</f>
        <v/>
      </c>
      <c r="L37" s="129"/>
      <c r="M37" s="229">
        <v>4</v>
      </c>
      <c r="W37" s="35"/>
    </row>
    <row r="38" spans="1:23" x14ac:dyDescent="0.25">
      <c r="A38" s="194" t="str">
        <f t="shared" si="0"/>
        <v>URDE5015</v>
      </c>
      <c r="B38" s="195">
        <f>IFERROR(IF(VLOOKUP(A38,TableHandbook[],2,FALSE)=0,"",VLOOKUP(A38,TableHandbook[],2,FALSE)),"")</f>
        <v>3</v>
      </c>
      <c r="C38" s="195" t="str">
        <f>IFERROR(IF(VLOOKUP(A38,TableHandbook[],3,FALSE)=0,"",VLOOKUP(A38,TableHandbook[],3,FALSE)),"")</f>
        <v>URP530</v>
      </c>
      <c r="D38" s="196" t="str">
        <f>IFERROR(VLOOKUP(A38,TableHandbook[],4,FALSE),"")</f>
        <v>Planning Theory and Context</v>
      </c>
      <c r="E38" s="197"/>
      <c r="F38" s="197" t="str">
        <f>IFERROR(IF(VLOOKUP(A38,TableHandbook[],6,FALSE)=0,"",VLOOKUP(A38,TableHandbook[],6,FALSE)),"")</f>
        <v>None</v>
      </c>
      <c r="G38" s="197">
        <f>IFERROR(IF(VLOOKUP(A38,TableHandbook[],5,FALSE)=0,"",VLOOKUP(A38,TableHandbook[],5,FALSE)),"")</f>
        <v>25</v>
      </c>
      <c r="H38" s="198" t="str">
        <f>IFERROR(VLOOKUP($A38,TableHandbook[],H$2,FALSE),"")</f>
        <v/>
      </c>
      <c r="I38" s="197" t="str">
        <f>IFERROR(VLOOKUP($A38,TableHandbook[],I$2,FALSE),"")</f>
        <v>Y</v>
      </c>
      <c r="J38" s="197" t="str">
        <f>IFERROR(VLOOKUP($A38,TableHandbook[],J$2,FALSE),"")</f>
        <v/>
      </c>
      <c r="K38" s="199" t="str">
        <f>IFERROR(VLOOKUP($A38,TableHandbook[],K$2,FALSE),"")</f>
        <v>Y</v>
      </c>
      <c r="L38" s="129"/>
      <c r="M38" s="229">
        <v>5</v>
      </c>
      <c r="W38" s="35"/>
    </row>
    <row r="39" spans="1:23" x14ac:dyDescent="0.25">
      <c r="A39" s="194" t="str">
        <f t="shared" si="0"/>
        <v>URDE5016</v>
      </c>
      <c r="B39" s="195">
        <f>IFERROR(IF(VLOOKUP(A39,TableHandbook[],2,FALSE)=0,"",VLOOKUP(A39,TableHandbook[],2,FALSE)),"")</f>
        <v>1</v>
      </c>
      <c r="C39" s="195" t="str">
        <f>IFERROR(IF(VLOOKUP(A39,TableHandbook[],3,FALSE)=0,"",VLOOKUP(A39,TableHandbook[],3,FALSE)),"")</f>
        <v>URP500</v>
      </c>
      <c r="D39" s="196" t="str">
        <f>IFERROR(VLOOKUP(A39,TableHandbook[],4,FALSE),"")</f>
        <v>Planning Law</v>
      </c>
      <c r="E39" s="197"/>
      <c r="F39" s="197" t="str">
        <f>IFERROR(IF(VLOOKUP(A39,TableHandbook[],6,FALSE)=0,"",VLOOKUP(A39,TableHandbook[],6,FALSE)),"")</f>
        <v>None</v>
      </c>
      <c r="G39" s="197">
        <f>IFERROR(IF(VLOOKUP(A39,TableHandbook[],5,FALSE)=0,"",VLOOKUP(A39,TableHandbook[],5,FALSE)),"")</f>
        <v>25</v>
      </c>
      <c r="H39" s="198" t="str">
        <f>IFERROR(VLOOKUP($A39,TableHandbook[],H$2,FALSE),"")</f>
        <v>Y</v>
      </c>
      <c r="I39" s="197" t="str">
        <f>IFERROR(VLOOKUP($A39,TableHandbook[],I$2,FALSE),"")</f>
        <v/>
      </c>
      <c r="J39" s="197" t="str">
        <f>IFERROR(VLOOKUP($A39,TableHandbook[],J$2,FALSE),"")</f>
        <v>Y</v>
      </c>
      <c r="K39" s="199" t="str">
        <f>IFERROR(VLOOKUP($A39,TableHandbook[],K$2,FALSE),"")</f>
        <v/>
      </c>
      <c r="L39" s="129"/>
      <c r="M39" s="229">
        <v>6</v>
      </c>
      <c r="W39" s="35"/>
    </row>
    <row r="40" spans="1:23" x14ac:dyDescent="0.25">
      <c r="A40" s="194" t="str">
        <f t="shared" si="0"/>
        <v>URDE5017</v>
      </c>
      <c r="B40" s="195">
        <f>IFERROR(IF(VLOOKUP(A40,TableHandbook[],2,FALSE)=0,"",VLOOKUP(A40,TableHandbook[],2,FALSE)),"")</f>
        <v>2</v>
      </c>
      <c r="C40" s="195" t="str">
        <f>IFERROR(IF(VLOOKUP(A40,TableHandbook[],3,FALSE)=0,"",VLOOKUP(A40,TableHandbook[],3,FALSE)),"")</f>
        <v>URP510</v>
      </c>
      <c r="D40" s="196" t="str">
        <f>IFERROR(VLOOKUP(A40,TableHandbook[],4,FALSE),"")</f>
        <v>Planning for Regions</v>
      </c>
      <c r="E40" s="197"/>
      <c r="F40" s="197" t="str">
        <f>IFERROR(IF(VLOOKUP(A40,TableHandbook[],6,FALSE)=0,"",VLOOKUP(A40,TableHandbook[],6,FALSE)),"")</f>
        <v>None</v>
      </c>
      <c r="G40" s="197">
        <f>IFERROR(IF(VLOOKUP(A40,TableHandbook[],5,FALSE)=0,"",VLOOKUP(A40,TableHandbook[],5,FALSE)),"")</f>
        <v>25</v>
      </c>
      <c r="H40" s="198" t="str">
        <f>IFERROR(VLOOKUP($A40,TableHandbook[],H$2,FALSE),"")</f>
        <v/>
      </c>
      <c r="I40" s="197" t="str">
        <f>IFERROR(VLOOKUP($A40,TableHandbook[],I$2,FALSE),"")</f>
        <v>Y</v>
      </c>
      <c r="J40" s="197" t="str">
        <f>IFERROR(VLOOKUP($A40,TableHandbook[],J$2,FALSE),"")</f>
        <v/>
      </c>
      <c r="K40" s="199" t="str">
        <f>IFERROR(VLOOKUP($A40,TableHandbook[],K$2,FALSE),"")</f>
        <v>Y</v>
      </c>
      <c r="L40" s="129"/>
      <c r="M40" s="229">
        <v>7</v>
      </c>
      <c r="W40" s="35"/>
    </row>
    <row r="41" spans="1:23" x14ac:dyDescent="0.25">
      <c r="A41" s="194" t="str">
        <f t="shared" si="0"/>
        <v>URDE6004</v>
      </c>
      <c r="B41" s="195">
        <f>IFERROR(IF(VLOOKUP(A41,TableHandbook[],2,FALSE)=0,"",VLOOKUP(A41,TableHandbook[],2,FALSE)),"")</f>
        <v>1</v>
      </c>
      <c r="C41" s="195" t="str">
        <f>IFERROR(IF(VLOOKUP(A41,TableHandbook[],3,FALSE)=0,"",VLOOKUP(A41,TableHandbook[],3,FALSE)),"")</f>
        <v>URP640</v>
      </c>
      <c r="D41" s="196" t="str">
        <f>IFERROR(VLOOKUP(A41,TableHandbook[],4,FALSE),"")</f>
        <v>Participatory Planning</v>
      </c>
      <c r="E41" s="197"/>
      <c r="F41" s="197" t="str">
        <f>IFERROR(IF(VLOOKUP(A41,TableHandbook[],6,FALSE)=0,"",VLOOKUP(A41,TableHandbook[],6,FALSE)),"")</f>
        <v>None</v>
      </c>
      <c r="G41" s="197">
        <f>IFERROR(IF(VLOOKUP(A41,TableHandbook[],5,FALSE)=0,"",VLOOKUP(A41,TableHandbook[],5,FALSE)),"")</f>
        <v>25</v>
      </c>
      <c r="H41" s="198" t="str">
        <f>IFERROR(VLOOKUP($A41,TableHandbook[],H$2,FALSE),"")</f>
        <v/>
      </c>
      <c r="I41" s="197" t="str">
        <f>IFERROR(VLOOKUP($A41,TableHandbook[],I$2,FALSE),"")</f>
        <v>Y</v>
      </c>
      <c r="J41" s="197" t="str">
        <f>IFERROR(VLOOKUP($A41,TableHandbook[],J$2,FALSE),"")</f>
        <v/>
      </c>
      <c r="K41" s="199" t="str">
        <f>IFERROR(VLOOKUP($A41,TableHandbook[],K$2,FALSE),"")</f>
        <v>Y</v>
      </c>
      <c r="L41" s="129"/>
      <c r="M41" s="229">
        <v>8</v>
      </c>
      <c r="W41" s="35"/>
    </row>
    <row r="42" spans="1:23" x14ac:dyDescent="0.25">
      <c r="A42" s="194" t="str">
        <f t="shared" si="0"/>
        <v>WORK5001</v>
      </c>
      <c r="B42" s="195">
        <f>IFERROR(IF(VLOOKUP(A42,TableHandbook[],2,FALSE)=0,"",VLOOKUP(A42,TableHandbook[],2,FALSE)),"")</f>
        <v>1</v>
      </c>
      <c r="C42" s="195" t="str">
        <f>IFERROR(IF(VLOOKUP(A42,TableHandbook[],3,FALSE)=0,"",VLOOKUP(A42,TableHandbook[],3,FALSE)),"")</f>
        <v>WBP500</v>
      </c>
      <c r="D42" s="196" t="str">
        <f>IFERROR(VLOOKUP(A42,TableHandbook[],4,FALSE),"")</f>
        <v>Work Based Project (with approval)</v>
      </c>
      <c r="E42" s="197"/>
      <c r="F42" s="197" t="str">
        <f>IFERROR(IF(VLOOKUP(A42,TableHandbook[],6,FALSE)=0,"",VLOOKUP(A42,TableHandbook[],6,FALSE)),"")</f>
        <v>See OUA Website</v>
      </c>
      <c r="G42" s="197">
        <f>IFERROR(IF(VLOOKUP(A42,TableHandbook[],5,FALSE)=0,"",VLOOKUP(A42,TableHandbook[],5,FALSE)),"")</f>
        <v>25</v>
      </c>
      <c r="H42" s="198" t="str">
        <f>IFERROR(VLOOKUP($A42,TableHandbook[],H$2,FALSE),"")</f>
        <v/>
      </c>
      <c r="I42" s="197" t="str">
        <f>IFERROR(VLOOKUP($A42,TableHandbook[],I$2,FALSE),"")</f>
        <v/>
      </c>
      <c r="J42" s="197" t="str">
        <f>IFERROR(VLOOKUP($A42,TableHandbook[],J$2,FALSE),"")</f>
        <v/>
      </c>
      <c r="K42" s="199" t="str">
        <f>IFERROR(VLOOKUP($A42,TableHandbook[],K$2,FALSE),"")</f>
        <v/>
      </c>
      <c r="L42" s="129"/>
      <c r="M42" s="229">
        <v>9</v>
      </c>
      <c r="W42" s="35"/>
    </row>
    <row r="43" spans="1:23" ht="21" customHeight="1" x14ac:dyDescent="0.25">
      <c r="A43" s="213"/>
      <c r="B43" s="213"/>
      <c r="C43" s="213"/>
      <c r="D43" s="214"/>
      <c r="E43" s="215"/>
      <c r="F43" s="215"/>
      <c r="G43" s="215"/>
      <c r="H43" s="215"/>
      <c r="I43" s="215"/>
      <c r="J43" s="215"/>
      <c r="K43" s="215"/>
      <c r="L43" s="216"/>
      <c r="M43" s="155"/>
      <c r="W43" s="35"/>
    </row>
    <row r="44" spans="1:23" s="35" customFormat="1" ht="32.25" customHeight="1" x14ac:dyDescent="0.25">
      <c r="A44" s="243" t="s">
        <v>25</v>
      </c>
      <c r="B44" s="243"/>
      <c r="C44" s="243"/>
      <c r="D44" s="243"/>
      <c r="E44" s="243"/>
      <c r="F44" s="243"/>
      <c r="G44" s="243"/>
      <c r="H44" s="243"/>
      <c r="I44" s="243"/>
      <c r="J44" s="243"/>
      <c r="K44" s="243"/>
      <c r="L44" s="243"/>
      <c r="M44" s="155"/>
      <c r="N44" s="33"/>
      <c r="O44" s="33"/>
      <c r="P44" s="33"/>
      <c r="Q44" s="33"/>
      <c r="R44" s="33"/>
      <c r="S44" s="33"/>
      <c r="T44" s="33"/>
      <c r="U44" s="33"/>
      <c r="V44" s="33"/>
    </row>
    <row r="45" spans="1:23" s="43" customFormat="1" ht="24.95" customHeight="1" x14ac:dyDescent="0.3">
      <c r="A45" s="108" t="s">
        <v>26</v>
      </c>
      <c r="B45" s="108"/>
      <c r="C45" s="108"/>
      <c r="D45" s="109"/>
      <c r="E45" s="109"/>
      <c r="F45" s="109"/>
      <c r="G45" s="109"/>
      <c r="H45" s="109"/>
      <c r="I45" s="109"/>
      <c r="J45" s="109"/>
      <c r="K45" s="109"/>
      <c r="L45" s="109"/>
      <c r="M45" s="200"/>
      <c r="N45" s="200"/>
      <c r="O45" s="200"/>
      <c r="W45" s="42"/>
    </row>
    <row r="46" spans="1:23" s="35" customFormat="1" ht="15" customHeight="1" x14ac:dyDescent="0.25">
      <c r="A46" s="201" t="s">
        <v>27</v>
      </c>
      <c r="B46" s="201"/>
      <c r="C46" s="201"/>
      <c r="D46" s="201"/>
      <c r="E46" s="202"/>
      <c r="F46" s="179"/>
      <c r="G46" s="203"/>
      <c r="H46" s="203"/>
      <c r="I46" s="203"/>
      <c r="J46" s="203"/>
      <c r="K46" s="203"/>
      <c r="L46" s="203" t="s">
        <v>28</v>
      </c>
      <c r="M46" s="33"/>
      <c r="N46" s="33"/>
      <c r="O46" s="33"/>
      <c r="P46" s="33"/>
      <c r="Q46" s="33"/>
      <c r="R46" s="33"/>
      <c r="S46" s="33"/>
      <c r="T46" s="33"/>
      <c r="U46" s="33"/>
      <c r="V46" s="33"/>
    </row>
  </sheetData>
  <sheetProtection formatCells="0"/>
  <mergeCells count="2">
    <mergeCell ref="A3:D3"/>
    <mergeCell ref="A44:L44"/>
  </mergeCells>
  <conditionalFormatting sqref="D5:D6">
    <cfRule type="containsText" dxfId="100" priority="6" operator="containsText" text="Choose">
      <formula>NOT(ISERROR(SEARCH("Choose",D5)))</formula>
    </cfRule>
  </conditionalFormatting>
  <conditionalFormatting sqref="A9:L19 A21:L31 A35:L42">
    <cfRule type="expression" dxfId="99" priority="1">
      <formula>$A9=""</formula>
    </cfRule>
  </conditionalFormatting>
  <dataValidations count="1">
    <dataValidation type="list" allowBlank="1" showInputMessage="1" showErrorMessage="1" sqref="L26 L14 L11 L17 L23 L29"/>
  </dataValidations>
  <hyperlinks>
    <hyperlink ref="A45:L4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3" orientation="portrait" r:id="rId2"/>
  <rowBreaks count="1" manualBreakCount="1">
    <brk id="31"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Unitsets!$A$12:$A$16</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tabSelected="1" topLeftCell="A3" zoomScaleNormal="100" workbookViewId="0">
      <selection activeCell="D6" sqref="D6"/>
    </sheetView>
  </sheetViews>
  <sheetFormatPr defaultRowHeight="15" x14ac:dyDescent="0.25"/>
  <cols>
    <col min="1" max="1" width="8.5" style="259" customWidth="1"/>
    <col min="2" max="2" width="3.25" style="259" customWidth="1"/>
    <col min="3" max="3" width="9.375" style="259" customWidth="1"/>
    <col min="4" max="4" width="56.625" style="248" bestFit="1" customWidth="1"/>
    <col min="5" max="5" width="5.625" style="248" customWidth="1"/>
    <col min="6" max="6" width="27.75" style="248" customWidth="1"/>
    <col min="7" max="7" width="5.625" style="248" customWidth="1"/>
    <col min="8" max="11" width="4.625" style="248" customWidth="1"/>
    <col min="12" max="12" width="15.625" style="248" customWidth="1"/>
    <col min="13" max="13" width="2.5" style="248" hidden="1" customWidth="1"/>
    <col min="14" max="16384" width="9" style="248"/>
  </cols>
  <sheetData>
    <row r="1" spans="1:16" hidden="1" x14ac:dyDescent="0.25">
      <c r="A1" s="244" t="s">
        <v>0</v>
      </c>
      <c r="B1" s="245" t="s">
        <v>1</v>
      </c>
      <c r="C1" s="245" t="s">
        <v>2</v>
      </c>
      <c r="D1" s="246" t="s">
        <v>3</v>
      </c>
      <c r="E1" s="246"/>
      <c r="F1" s="246" t="s">
        <v>4</v>
      </c>
      <c r="G1" s="246" t="s">
        <v>5</v>
      </c>
      <c r="H1" s="247" t="s">
        <v>6</v>
      </c>
      <c r="I1" s="246"/>
      <c r="J1" s="246"/>
      <c r="K1" s="246"/>
      <c r="L1" s="246" t="s">
        <v>7</v>
      </c>
    </row>
    <row r="2" spans="1:16" hidden="1" x14ac:dyDescent="0.25">
      <c r="A2" s="249"/>
      <c r="B2" s="250">
        <v>2</v>
      </c>
      <c r="C2" s="250">
        <v>3</v>
      </c>
      <c r="D2" s="250">
        <v>4</v>
      </c>
      <c r="E2" s="250"/>
      <c r="F2" s="250">
        <v>6</v>
      </c>
      <c r="G2" s="250">
        <v>5</v>
      </c>
      <c r="H2" s="250">
        <v>7</v>
      </c>
      <c r="I2" s="250">
        <v>8</v>
      </c>
      <c r="J2" s="250">
        <v>9</v>
      </c>
      <c r="K2" s="250">
        <v>10</v>
      </c>
      <c r="L2" s="251"/>
    </row>
    <row r="3" spans="1:16" ht="39.950000000000003" customHeight="1" x14ac:dyDescent="0.25">
      <c r="A3" s="252" t="s">
        <v>8</v>
      </c>
      <c r="B3" s="252"/>
      <c r="C3" s="252"/>
      <c r="D3" s="252"/>
      <c r="E3" s="253"/>
      <c r="F3" s="253"/>
      <c r="G3" s="253"/>
      <c r="H3" s="253"/>
      <c r="I3" s="253"/>
      <c r="J3" s="253"/>
      <c r="K3" s="253"/>
      <c r="L3" s="253"/>
    </row>
    <row r="4" spans="1:16" ht="26.25" x14ac:dyDescent="0.25">
      <c r="A4" s="254"/>
      <c r="B4" s="255"/>
      <c r="C4" s="255"/>
      <c r="D4" s="256" t="s">
        <v>186</v>
      </c>
      <c r="E4" s="257"/>
      <c r="F4" s="255"/>
      <c r="G4" s="258"/>
      <c r="H4" s="258"/>
      <c r="I4" s="258"/>
      <c r="J4" s="258"/>
      <c r="K4" s="258"/>
      <c r="L4" s="258"/>
    </row>
    <row r="5" spans="1:16" ht="20.100000000000001" customHeight="1" x14ac:dyDescent="0.25">
      <c r="B5" s="260"/>
      <c r="C5" s="261" t="s">
        <v>9</v>
      </c>
      <c r="D5" s="262" t="s">
        <v>60</v>
      </c>
      <c r="E5" s="263"/>
      <c r="F5" s="261" t="s">
        <v>10</v>
      </c>
      <c r="G5" s="263" t="str">
        <f>IFERROR(CONCATENATE(VLOOKUP(D5,TableCourses[],2,FALSE)," ",VLOOKUP(D5,TableCourses[],3,FALSE)),"")</f>
        <v>OG-ENVCLM v.1</v>
      </c>
      <c r="H5" s="263"/>
      <c r="I5" s="263"/>
      <c r="J5" s="263"/>
      <c r="K5" s="263"/>
      <c r="L5" s="264" t="e">
        <f>CONCATENATE(VLOOKUP(D5,TableCourses[],2,FALSE),VLOOKUP(D6,TableStudyPeriods[],2,FALSE))</f>
        <v>#N/A</v>
      </c>
    </row>
    <row r="6" spans="1:16" ht="20.100000000000001" customHeight="1" x14ac:dyDescent="0.25">
      <c r="A6" s="265"/>
      <c r="B6" s="266"/>
      <c r="C6" s="261" t="s">
        <v>11</v>
      </c>
      <c r="D6" s="121" t="s">
        <v>184</v>
      </c>
      <c r="E6" s="267"/>
      <c r="F6" s="261" t="s">
        <v>12</v>
      </c>
      <c r="G6" s="263" t="str">
        <f>IFERROR(VLOOKUP($D$5,TableCourses[],4,FALSE),"")</f>
        <v>200 credit points required</v>
      </c>
      <c r="H6" s="268"/>
      <c r="I6" s="268"/>
      <c r="J6" s="268"/>
      <c r="K6" s="268"/>
      <c r="L6" s="268"/>
    </row>
    <row r="7" spans="1:16" s="277" customFormat="1" ht="14.1" customHeight="1" x14ac:dyDescent="0.25">
      <c r="A7" s="269"/>
      <c r="B7" s="269"/>
      <c r="C7" s="269"/>
      <c r="D7" s="270"/>
      <c r="E7" s="271"/>
      <c r="F7" s="269"/>
      <c r="G7" s="269"/>
      <c r="H7" s="272" t="s">
        <v>187</v>
      </c>
      <c r="I7" s="273"/>
      <c r="J7" s="273"/>
      <c r="K7" s="274"/>
      <c r="L7" s="275"/>
      <c r="M7" s="276"/>
      <c r="N7" s="276"/>
      <c r="O7" s="276"/>
    </row>
    <row r="8" spans="1:16" s="277" customFormat="1" ht="21" x14ac:dyDescent="0.25">
      <c r="A8" s="269" t="s">
        <v>13</v>
      </c>
      <c r="B8" s="269"/>
      <c r="C8" s="269" t="s">
        <v>14</v>
      </c>
      <c r="D8" s="275" t="s">
        <v>3</v>
      </c>
      <c r="E8" s="278" t="s">
        <v>15</v>
      </c>
      <c r="F8" s="269" t="s">
        <v>16</v>
      </c>
      <c r="G8" s="269" t="s">
        <v>17</v>
      </c>
      <c r="H8" s="279" t="s">
        <v>18</v>
      </c>
      <c r="I8" s="278" t="s">
        <v>19</v>
      </c>
      <c r="J8" s="278" t="s">
        <v>20</v>
      </c>
      <c r="K8" s="280" t="s">
        <v>21</v>
      </c>
      <c r="L8" s="269" t="s">
        <v>22</v>
      </c>
      <c r="M8" s="276"/>
      <c r="N8" s="276"/>
      <c r="O8" s="276"/>
    </row>
    <row r="9" spans="1:16" s="289" customFormat="1" ht="21" customHeight="1" x14ac:dyDescent="0.15">
      <c r="A9" s="281" t="str">
        <f>IFERROR(IF(HLOOKUP($L$5,Unitsets!$J$3:$AG$19,M9,FALSE)=0,"",HLOOKUP($L$5,Unitsets!$J$3:$AG$19,M9,FALSE)),"")</f>
        <v/>
      </c>
      <c r="B9" s="282" t="str">
        <f>IFERROR(IF(VLOOKUP(A9,TableHandbook[],2,FALSE)=0,"",VLOOKUP(A9,TableHandbook[],2,FALSE)),"")</f>
        <v/>
      </c>
      <c r="C9" s="282" t="str">
        <f>IFERROR(IF(VLOOKUP(A9,TableHandbook[],3,FALSE)=0,"",VLOOKUP(A9,TableHandbook[],3,FALSE)),"")</f>
        <v/>
      </c>
      <c r="D9" s="283" t="str">
        <f>IFERROR(VLOOKUP(A9,TableHandbook[],4,FALSE),"")</f>
        <v/>
      </c>
      <c r="E9" s="282" t="str">
        <f>IF(A9="","",VLOOKUP($D$6,TableStudyPeriods[],2,FALSE))</f>
        <v/>
      </c>
      <c r="F9" s="284" t="str">
        <f>IFERROR(IF(VLOOKUP(A9,TableHandbook[],6,FALSE)=0,"",VLOOKUP(A9,TableHandbook[],6,FALSE)),"")</f>
        <v/>
      </c>
      <c r="G9" s="282" t="str">
        <f>IFERROR(IF(VLOOKUP(A9,TableHandbook[],5,FALSE)=0,"",VLOOKUP(A9,TableHandbook[],5,FALSE)),"")</f>
        <v/>
      </c>
      <c r="H9" s="285" t="str">
        <f>IFERROR(VLOOKUP($A9,TableHandbook[],H$2,FALSE),"")</f>
        <v/>
      </c>
      <c r="I9" s="282" t="str">
        <f>IFERROR(VLOOKUP($A9,TableHandbook[],I$2,FALSE),"")</f>
        <v/>
      </c>
      <c r="J9" s="282" t="str">
        <f>IFERROR(VLOOKUP($A9,TableHandbook[],J$2,FALSE),"")</f>
        <v/>
      </c>
      <c r="K9" s="286" t="str">
        <f>IFERROR(VLOOKUP($A9,TableHandbook[],K$2,FALSE),"")</f>
        <v/>
      </c>
      <c r="L9" s="349"/>
      <c r="M9" s="287">
        <v>2</v>
      </c>
      <c r="N9" s="288"/>
      <c r="O9" s="288"/>
    </row>
    <row r="10" spans="1:16" s="289" customFormat="1" ht="21" customHeight="1" x14ac:dyDescent="0.15">
      <c r="A10" s="290" t="str">
        <f>IFERROR(IF(HLOOKUP($L$5,Unitsets!$J$3:$AG$19,M10,FALSE)=0,"",HLOOKUP($L$5,Unitsets!$J$3:$AG$19,M10,FALSE)),"")</f>
        <v/>
      </c>
      <c r="B10" s="291" t="str">
        <f>IFERROR(IF(VLOOKUP(A10,TableHandbook[],2,FALSE)=0,"",VLOOKUP(A10,TableHandbook[],2,FALSE)),"")</f>
        <v/>
      </c>
      <c r="C10" s="291" t="str">
        <f>IFERROR(IF(VLOOKUP(A10,TableHandbook[],3,FALSE)=0,"",VLOOKUP(A10,TableHandbook[],3,FALSE)),"")</f>
        <v/>
      </c>
      <c r="D10" s="292" t="str">
        <f>IFERROR(VLOOKUP(A10,TableHandbook[],4,FALSE),"")</f>
        <v/>
      </c>
      <c r="E10" s="291" t="str">
        <f>IF(A10="","",E9)</f>
        <v/>
      </c>
      <c r="F10" s="293" t="str">
        <f>IFERROR(IF(VLOOKUP(A10,TableHandbook[],6,FALSE)=0,"",VLOOKUP(A10,TableHandbook[],6,FALSE)),"")</f>
        <v/>
      </c>
      <c r="G10" s="291" t="str">
        <f>IFERROR(IF(VLOOKUP(A10,TableHandbook[],5,FALSE)=0,"",VLOOKUP(A10,TableHandbook[],5,FALSE)),"")</f>
        <v/>
      </c>
      <c r="H10" s="294" t="str">
        <f>IFERROR(VLOOKUP($A10,TableHandbook[],H$2,FALSE),"")</f>
        <v/>
      </c>
      <c r="I10" s="291" t="str">
        <f>IFERROR(VLOOKUP($A10,TableHandbook[],I$2,FALSE),"")</f>
        <v/>
      </c>
      <c r="J10" s="291" t="str">
        <f>IFERROR(VLOOKUP($A10,TableHandbook[],J$2,FALSE),"")</f>
        <v/>
      </c>
      <c r="K10" s="295" t="str">
        <f>IFERROR(VLOOKUP($A10,TableHandbook[],K$2,FALSE),"")</f>
        <v/>
      </c>
      <c r="L10" s="350"/>
      <c r="M10" s="287">
        <v>3</v>
      </c>
      <c r="N10" s="288"/>
      <c r="O10" s="288"/>
    </row>
    <row r="11" spans="1:16" s="289" customFormat="1" ht="4.5" customHeight="1" x14ac:dyDescent="0.15">
      <c r="A11" s="296"/>
      <c r="B11" s="297"/>
      <c r="C11" s="297" t="str">
        <f>IFERROR(IF(VLOOKUP(A11,TableHandbook[],3,FALSE)=0,"",VLOOKUP(A11,TableHandbook[],3,FALSE)),"")</f>
        <v/>
      </c>
      <c r="D11" s="298"/>
      <c r="E11" s="297"/>
      <c r="F11" s="299"/>
      <c r="G11" s="297"/>
      <c r="H11" s="300"/>
      <c r="I11" s="301"/>
      <c r="J11" s="301"/>
      <c r="K11" s="302"/>
      <c r="L11" s="351"/>
      <c r="M11" s="287"/>
      <c r="N11" s="288"/>
      <c r="O11" s="288"/>
      <c r="P11" s="288"/>
    </row>
    <row r="12" spans="1:16" s="289" customFormat="1" ht="21" customHeight="1" x14ac:dyDescent="0.15">
      <c r="A12" s="281" t="str">
        <f>IFERROR(IF(HLOOKUP($L$5,Unitsets!$J$3:$AG$19,M12,FALSE)=0,"",HLOOKUP($L$5,Unitsets!$J$3:$AG$19,M12,FALSE)),"")</f>
        <v/>
      </c>
      <c r="B12" s="282" t="str">
        <f>IFERROR(IF(VLOOKUP(A12,TableHandbook[],2,FALSE)=0,"",VLOOKUP(A12,TableHandbook[],2,FALSE)),"")</f>
        <v/>
      </c>
      <c r="C12" s="282" t="str">
        <f>IFERROR(IF(VLOOKUP(A12,TableHandbook[],3,FALSE)=0,"",VLOOKUP(A12,TableHandbook[],3,FALSE)),"")</f>
        <v/>
      </c>
      <c r="D12" s="283" t="str">
        <f>IFERROR(VLOOKUP(A12,TableHandbook[],4,FALSE),"")</f>
        <v/>
      </c>
      <c r="E12" s="282" t="str">
        <f>IF(A12="","",VLOOKUP($D$6,TableStudyPeriods[],3,FALSE))</f>
        <v/>
      </c>
      <c r="F12" s="284" t="str">
        <f>IFERROR(IF(VLOOKUP(A12,TableHandbook[],6,FALSE)=0,"",VLOOKUP(A12,TableHandbook[],6,FALSE)),"")</f>
        <v/>
      </c>
      <c r="G12" s="282" t="str">
        <f>IFERROR(IF(VLOOKUP(A12,TableHandbook[],5,FALSE)=0,"",VLOOKUP(A12,TableHandbook[],5,FALSE)),"")</f>
        <v/>
      </c>
      <c r="H12" s="285" t="str">
        <f>IFERROR(VLOOKUP($A12,TableHandbook[],H$2,FALSE),"")</f>
        <v/>
      </c>
      <c r="I12" s="282" t="str">
        <f>IFERROR(VLOOKUP($A12,TableHandbook[],I$2,FALSE),"")</f>
        <v/>
      </c>
      <c r="J12" s="282" t="str">
        <f>IFERROR(VLOOKUP($A12,TableHandbook[],J$2,FALSE),"")</f>
        <v/>
      </c>
      <c r="K12" s="286" t="str">
        <f>IFERROR(VLOOKUP($A12,TableHandbook[],K$2,FALSE),"")</f>
        <v/>
      </c>
      <c r="L12" s="352"/>
      <c r="M12" s="287">
        <v>4</v>
      </c>
      <c r="N12" s="288"/>
      <c r="O12" s="288"/>
    </row>
    <row r="13" spans="1:16" s="289" customFormat="1" ht="21" customHeight="1" x14ac:dyDescent="0.15">
      <c r="A13" s="290" t="str">
        <f>IFERROR(IF(HLOOKUP($L$5,Unitsets!$J$3:$AG$19,M13,FALSE)=0,"",HLOOKUP($L$5,Unitsets!$J$3:$AG$19,M13,FALSE)),"")</f>
        <v/>
      </c>
      <c r="B13" s="291" t="str">
        <f>IFERROR(IF(VLOOKUP(A13,TableHandbook[],2,FALSE)=0,"",VLOOKUP(A13,TableHandbook[],2,FALSE)),"")</f>
        <v/>
      </c>
      <c r="C13" s="291" t="str">
        <f>IFERROR(IF(VLOOKUP(A13,TableHandbook[],3,FALSE)=0,"",VLOOKUP(A13,TableHandbook[],3,FALSE)),"")</f>
        <v/>
      </c>
      <c r="D13" s="292" t="str">
        <f>IFERROR(VLOOKUP(A13,TableHandbook[],4,FALSE),"")</f>
        <v/>
      </c>
      <c r="E13" s="291" t="str">
        <f>IF(A13="","",E12)</f>
        <v/>
      </c>
      <c r="F13" s="293" t="str">
        <f>IFERROR(IF(VLOOKUP(A13,TableHandbook[],6,FALSE)=0,"",VLOOKUP(A13,TableHandbook[],6,FALSE)),"")</f>
        <v/>
      </c>
      <c r="G13" s="291" t="str">
        <f>IFERROR(IF(VLOOKUP(A13,TableHandbook[],5,FALSE)=0,"",VLOOKUP(A13,TableHandbook[],5,FALSE)),"")</f>
        <v/>
      </c>
      <c r="H13" s="294" t="str">
        <f>IFERROR(VLOOKUP($A13,TableHandbook[],H$2,FALSE),"")</f>
        <v/>
      </c>
      <c r="I13" s="291" t="str">
        <f>IFERROR(VLOOKUP($A13,TableHandbook[],I$2,FALSE),"")</f>
        <v/>
      </c>
      <c r="J13" s="291" t="str">
        <f>IFERROR(VLOOKUP($A13,TableHandbook[],J$2,FALSE),"")</f>
        <v/>
      </c>
      <c r="K13" s="295" t="str">
        <f>IFERROR(VLOOKUP($A13,TableHandbook[],K$2,FALSE),"")</f>
        <v/>
      </c>
      <c r="L13" s="350"/>
      <c r="M13" s="287">
        <v>5</v>
      </c>
      <c r="N13" s="288"/>
      <c r="O13" s="288"/>
    </row>
    <row r="14" spans="1:16" s="289" customFormat="1" ht="4.5" customHeight="1" x14ac:dyDescent="0.15">
      <c r="A14" s="296"/>
      <c r="B14" s="297"/>
      <c r="C14" s="297" t="str">
        <f>IFERROR(IF(VLOOKUP(A14,TableHandbook[],3,FALSE)=0,"",VLOOKUP(A14,TableHandbook[],3,FALSE)),"")</f>
        <v/>
      </c>
      <c r="D14" s="298"/>
      <c r="E14" s="297"/>
      <c r="F14" s="299"/>
      <c r="G14" s="297"/>
      <c r="H14" s="300"/>
      <c r="I14" s="301"/>
      <c r="J14" s="301"/>
      <c r="K14" s="302"/>
      <c r="L14" s="351"/>
      <c r="M14" s="287"/>
      <c r="N14" s="288"/>
      <c r="O14" s="288"/>
      <c r="P14" s="288"/>
    </row>
    <row r="15" spans="1:16" s="289" customFormat="1" ht="21" customHeight="1" x14ac:dyDescent="0.15">
      <c r="A15" s="281" t="str">
        <f>IFERROR(IF(HLOOKUP($L$5,Unitsets!$J$3:$AG$19,M15,FALSE)=0,"",HLOOKUP($L$5,Unitsets!$J$3:$AG$19,M15,FALSE)),"")</f>
        <v/>
      </c>
      <c r="B15" s="303" t="str">
        <f>IFERROR(IF(VLOOKUP(A15,TableHandbook[],2,FALSE)=0,"",VLOOKUP(A15,TableHandbook[],2,FALSE)),"")</f>
        <v/>
      </c>
      <c r="C15" s="303" t="str">
        <f>IFERROR(IF(VLOOKUP(A15,TableHandbook[],3,FALSE)=0,"",VLOOKUP(A15,TableHandbook[],3,FALSE)),"")</f>
        <v/>
      </c>
      <c r="D15" s="283" t="str">
        <f>IFERROR(VLOOKUP(A15,TableHandbook[],4,FALSE),"")</f>
        <v/>
      </c>
      <c r="E15" s="282" t="str">
        <f>IF(A15="","",VLOOKUP($D$6,TableStudyPeriods[],4,FALSE))</f>
        <v/>
      </c>
      <c r="F15" s="284" t="str">
        <f>IFERROR(IF(VLOOKUP(A15,TableHandbook[],6,FALSE)=0,"",VLOOKUP(A15,TableHandbook[],6,FALSE)),"")</f>
        <v/>
      </c>
      <c r="G15" s="303" t="str">
        <f>IFERROR(IF(VLOOKUP(A15,TableHandbook[],5,FALSE)=0,"",VLOOKUP(A15,TableHandbook[],5,FALSE)),"")</f>
        <v/>
      </c>
      <c r="H15" s="304" t="str">
        <f>IFERROR(VLOOKUP($A15,TableHandbook[],H$2,FALSE),"")</f>
        <v/>
      </c>
      <c r="I15" s="303" t="str">
        <f>IFERROR(VLOOKUP($A15,TableHandbook[],I$2,FALSE),"")</f>
        <v/>
      </c>
      <c r="J15" s="303" t="str">
        <f>IFERROR(VLOOKUP($A15,TableHandbook[],J$2,FALSE),"")</f>
        <v/>
      </c>
      <c r="K15" s="305" t="str">
        <f>IFERROR(VLOOKUP($A15,TableHandbook[],K$2,FALSE),"")</f>
        <v/>
      </c>
      <c r="L15" s="352"/>
      <c r="M15" s="287">
        <v>6</v>
      </c>
      <c r="N15" s="288"/>
      <c r="O15" s="288"/>
    </row>
    <row r="16" spans="1:16" s="310" customFormat="1" ht="21" customHeight="1" x14ac:dyDescent="0.15">
      <c r="A16" s="290" t="str">
        <f>IFERROR(IF(HLOOKUP($L$5,Unitsets!$J$3:$AG$19,M16,FALSE)=0,"",HLOOKUP($L$5,Unitsets!$J$3:$AG$19,M16,FALSE)),"")</f>
        <v/>
      </c>
      <c r="B16" s="306" t="str">
        <f>IFERROR(IF(VLOOKUP(A16,TableHandbook[],2,FALSE)=0,"",VLOOKUP(A16,TableHandbook[],2,FALSE)),"")</f>
        <v/>
      </c>
      <c r="C16" s="306" t="str">
        <f>IFERROR(IF(VLOOKUP(A16,TableHandbook[],3,FALSE)=0,"",VLOOKUP(A16,TableHandbook[],3,FALSE)),"")</f>
        <v/>
      </c>
      <c r="D16" s="292" t="str">
        <f>IFERROR(VLOOKUP(A16,TableHandbook[],4,FALSE),"")</f>
        <v/>
      </c>
      <c r="E16" s="291" t="str">
        <f>IF(A16="","",E15)</f>
        <v/>
      </c>
      <c r="F16" s="293" t="str">
        <f>IFERROR(IF(VLOOKUP(A16,TableHandbook[],6,FALSE)=0,"",VLOOKUP(A16,TableHandbook[],6,FALSE)),"")</f>
        <v/>
      </c>
      <c r="G16" s="306" t="str">
        <f>IFERROR(IF(VLOOKUP(A16,TableHandbook[],5,FALSE)=0,"",VLOOKUP(A16,TableHandbook[],5,FALSE)),"")</f>
        <v/>
      </c>
      <c r="H16" s="307" t="str">
        <f>IFERROR(VLOOKUP($A16,TableHandbook[],H$2,FALSE),"")</f>
        <v/>
      </c>
      <c r="I16" s="306" t="str">
        <f>IFERROR(VLOOKUP($A16,TableHandbook[],I$2,FALSE),"")</f>
        <v/>
      </c>
      <c r="J16" s="306" t="str">
        <f>IFERROR(VLOOKUP($A16,TableHandbook[],J$2,FALSE),"")</f>
        <v/>
      </c>
      <c r="K16" s="308" t="str">
        <f>IFERROR(VLOOKUP($A16,TableHandbook[],K$2,FALSE),"")</f>
        <v/>
      </c>
      <c r="L16" s="353"/>
      <c r="M16" s="287">
        <v>7</v>
      </c>
      <c r="N16" s="309"/>
      <c r="O16" s="309"/>
    </row>
    <row r="17" spans="1:16" s="289" customFormat="1" ht="4.5" customHeight="1" x14ac:dyDescent="0.15">
      <c r="A17" s="296"/>
      <c r="B17" s="297"/>
      <c r="C17" s="297" t="str">
        <f>IFERROR(IF(VLOOKUP(A17,TableHandbook[],3,FALSE)=0,"",VLOOKUP(A17,TableHandbook[],3,FALSE)),"")</f>
        <v/>
      </c>
      <c r="D17" s="298"/>
      <c r="E17" s="297"/>
      <c r="F17" s="299"/>
      <c r="G17" s="297"/>
      <c r="H17" s="300"/>
      <c r="I17" s="301"/>
      <c r="J17" s="301"/>
      <c r="K17" s="302"/>
      <c r="L17" s="351"/>
      <c r="M17" s="287"/>
      <c r="N17" s="288"/>
      <c r="O17" s="288"/>
      <c r="P17" s="288"/>
    </row>
    <row r="18" spans="1:16" s="310" customFormat="1" ht="21" customHeight="1" x14ac:dyDescent="0.15">
      <c r="A18" s="281" t="str">
        <f>IFERROR(IF(HLOOKUP($L$5,Unitsets!$J$3:$AG$19,M18,FALSE)=0,"",HLOOKUP($L$5,Unitsets!$J$3:$AG$19,M18,FALSE)),"")</f>
        <v/>
      </c>
      <c r="B18" s="303" t="str">
        <f>IFERROR(IF(VLOOKUP(A18,TableHandbook[],2,FALSE)=0,"",VLOOKUP(A18,TableHandbook[],2,FALSE)),"")</f>
        <v/>
      </c>
      <c r="C18" s="303" t="str">
        <f>IFERROR(IF(VLOOKUP(A18,TableHandbook[],3,FALSE)=0,"",VLOOKUP(A18,TableHandbook[],3,FALSE)),"")</f>
        <v/>
      </c>
      <c r="D18" s="283" t="str">
        <f>IFERROR(VLOOKUP(A18,TableHandbook[],4,FALSE),"")</f>
        <v/>
      </c>
      <c r="E18" s="282" t="str">
        <f>IF(A18="","",VLOOKUP($D$6,TableStudyPeriods[],5,FALSE))</f>
        <v/>
      </c>
      <c r="F18" s="284" t="str">
        <f>IFERROR(IF(VLOOKUP(A18,TableHandbook[],6,FALSE)=0,"",VLOOKUP(A18,TableHandbook[],6,FALSE)),"")</f>
        <v/>
      </c>
      <c r="G18" s="303" t="str">
        <f>IFERROR(IF(VLOOKUP(A18,TableHandbook[],5,FALSE)=0,"",VLOOKUP(A18,TableHandbook[],5,FALSE)),"")</f>
        <v/>
      </c>
      <c r="H18" s="304" t="str">
        <f>IFERROR(VLOOKUP($A18,TableHandbook[],H$2,FALSE),"")</f>
        <v/>
      </c>
      <c r="I18" s="303" t="str">
        <f>IFERROR(VLOOKUP($A18,TableHandbook[],I$2,FALSE),"")</f>
        <v/>
      </c>
      <c r="J18" s="303" t="str">
        <f>IFERROR(VLOOKUP($A18,TableHandbook[],J$2,FALSE),"")</f>
        <v/>
      </c>
      <c r="K18" s="305" t="str">
        <f>IFERROR(VLOOKUP($A18,TableHandbook[],K$2,FALSE),"")</f>
        <v/>
      </c>
      <c r="L18" s="352"/>
      <c r="M18" s="287">
        <v>8</v>
      </c>
      <c r="N18" s="309"/>
      <c r="O18" s="309"/>
    </row>
    <row r="19" spans="1:16" s="310" customFormat="1" ht="21" customHeight="1" x14ac:dyDescent="0.15">
      <c r="A19" s="290" t="str">
        <f>IFERROR(IF(HLOOKUP($L$5,Unitsets!$J$3:$AG$19,M19,FALSE)=0,"",HLOOKUP($L$5,Unitsets!$J$3:$AG$19,M19,FALSE)),"")</f>
        <v/>
      </c>
      <c r="B19" s="306" t="str">
        <f>IFERROR(IF(VLOOKUP(A19,TableHandbook[],2,FALSE)=0,"",VLOOKUP(A19,TableHandbook[],2,FALSE)),"")</f>
        <v/>
      </c>
      <c r="C19" s="306" t="str">
        <f>IFERROR(IF(VLOOKUP(A19,TableHandbook[],3,FALSE)=0,"",VLOOKUP(A19,TableHandbook[],3,FALSE)),"")</f>
        <v/>
      </c>
      <c r="D19" s="311" t="str">
        <f>IFERROR(VLOOKUP(A19,TableHandbook[],4,FALSE),"")</f>
        <v/>
      </c>
      <c r="E19" s="306" t="str">
        <f>IF(A19="","",E18)</f>
        <v/>
      </c>
      <c r="F19" s="293" t="str">
        <f>IFERROR(IF(VLOOKUP(A19,TableHandbook[],6,FALSE)=0,"",VLOOKUP(A19,TableHandbook[],6,FALSE)),"")</f>
        <v/>
      </c>
      <c r="G19" s="306" t="str">
        <f>IFERROR(IF(VLOOKUP(A19,TableHandbook[],5,FALSE)=0,"",VLOOKUP(A19,TableHandbook[],5,FALSE)),"")</f>
        <v/>
      </c>
      <c r="H19" s="304" t="str">
        <f>IFERROR(VLOOKUP($A19,TableHandbook[],H$2,FALSE),"")</f>
        <v/>
      </c>
      <c r="I19" s="303" t="str">
        <f>IFERROR(VLOOKUP($A19,TableHandbook[],I$2,FALSE),"")</f>
        <v/>
      </c>
      <c r="J19" s="303" t="str">
        <f>IFERROR(VLOOKUP($A19,TableHandbook[],J$2,FALSE),"")</f>
        <v/>
      </c>
      <c r="K19" s="305" t="str">
        <f>IFERROR(VLOOKUP($A19,TableHandbook[],K$2,FALSE),"")</f>
        <v/>
      </c>
      <c r="L19" s="352"/>
      <c r="M19" s="287">
        <v>9</v>
      </c>
      <c r="N19" s="309"/>
      <c r="O19" s="309"/>
    </row>
    <row r="20" spans="1:16" s="317" customFormat="1" ht="13.9" customHeight="1" x14ac:dyDescent="0.2">
      <c r="A20" s="312"/>
      <c r="B20" s="312"/>
      <c r="C20" s="312"/>
      <c r="D20" s="313"/>
      <c r="E20" s="313"/>
      <c r="F20" s="314"/>
      <c r="G20" s="314"/>
      <c r="H20" s="314"/>
      <c r="I20" s="314"/>
      <c r="J20" s="314"/>
      <c r="K20" s="314"/>
      <c r="L20" s="354"/>
      <c r="M20" s="315"/>
      <c r="N20" s="316"/>
      <c r="O20" s="316"/>
    </row>
    <row r="21" spans="1:16" ht="15" customHeight="1" x14ac:dyDescent="0.25">
      <c r="A21" s="318" t="s">
        <v>24</v>
      </c>
      <c r="B21" s="319"/>
      <c r="C21" s="319"/>
      <c r="D21" s="320"/>
      <c r="E21" s="321"/>
      <c r="F21" s="321"/>
      <c r="G21" s="321"/>
      <c r="H21" s="322" t="s">
        <v>187</v>
      </c>
      <c r="I21" s="323"/>
      <c r="J21" s="318"/>
      <c r="K21" s="324"/>
      <c r="L21" s="355" t="str">
        <f>VLOOKUP(D5,TableCourses[],2,FALSE)</f>
        <v>OG-ENVCLM</v>
      </c>
      <c r="M21" s="325"/>
    </row>
    <row r="22" spans="1:16" s="331" customFormat="1" x14ac:dyDescent="0.25">
      <c r="A22" s="269"/>
      <c r="B22" s="269"/>
      <c r="C22" s="269" t="s">
        <v>14</v>
      </c>
      <c r="D22" s="326" t="s">
        <v>3</v>
      </c>
      <c r="E22" s="269"/>
      <c r="F22" s="269" t="s">
        <v>16</v>
      </c>
      <c r="G22" s="269" t="s">
        <v>17</v>
      </c>
      <c r="H22" s="327" t="s">
        <v>18</v>
      </c>
      <c r="I22" s="328" t="s">
        <v>19</v>
      </c>
      <c r="J22" s="328" t="s">
        <v>20</v>
      </c>
      <c r="K22" s="329" t="s">
        <v>21</v>
      </c>
      <c r="L22" s="330" t="s">
        <v>22</v>
      </c>
      <c r="M22" s="325"/>
    </row>
    <row r="23" spans="1:16" x14ac:dyDescent="0.25">
      <c r="A23" s="332" t="str">
        <f t="shared" ref="A23:A33" si="0">IFERROR(IF(HLOOKUP($L$21,RangeOptions,$M23,FALSE)=0,"",HLOOKUP($L$21,RangeOptions,$M23,FALSE)),"")</f>
        <v>URDE6007</v>
      </c>
      <c r="B23" s="333">
        <f>IFERROR(IF(VLOOKUP(A23,TableHandbook[],2,FALSE)=0,"",VLOOKUP(A23,TableHandbook[],2,FALSE)),"")</f>
        <v>1</v>
      </c>
      <c r="C23" s="333" t="str">
        <f>IFERROR(IF(VLOOKUP(A23,TableHandbook[],3,FALSE)=0,"",VLOOKUP(A23,TableHandbook[],3,FALSE)),"")</f>
        <v>DBE600</v>
      </c>
      <c r="D23" s="334" t="str">
        <f>IFERROR(VLOOKUP(A23,TableHandbook[],4,FALSE),"")</f>
        <v>Design and Built Environment Research Methods</v>
      </c>
      <c r="E23" s="335"/>
      <c r="F23" s="335" t="str">
        <f>IFERROR(IF(VLOOKUP(A23,TableHandbook[],6,FALSE)=0,"",VLOOKUP(A23,TableHandbook[],6,FALSE)),"")</f>
        <v>None</v>
      </c>
      <c r="G23" s="335">
        <f>IFERROR(IF(VLOOKUP(A23,TableHandbook[],5,FALSE)=0,"",VLOOKUP(A23,TableHandbook[],5,FALSE)),"")</f>
        <v>25</v>
      </c>
      <c r="H23" s="336" t="str">
        <f>IFERROR(VLOOKUP($A23,TableHandbook[],H$2,FALSE),"")</f>
        <v>Y</v>
      </c>
      <c r="I23" s="335" t="str">
        <f>IFERROR(VLOOKUP($A23,TableHandbook[],I$2,FALSE),"")</f>
        <v/>
      </c>
      <c r="J23" s="335" t="str">
        <f>IFERROR(VLOOKUP($A23,TableHandbook[],J$2,FALSE),"")</f>
        <v>Y</v>
      </c>
      <c r="K23" s="337" t="str">
        <f>IFERROR(VLOOKUP($A23,TableHandbook[],K$2,FALSE),"")</f>
        <v/>
      </c>
      <c r="L23" s="356"/>
      <c r="M23" s="287">
        <v>2</v>
      </c>
    </row>
    <row r="24" spans="1:16" x14ac:dyDescent="0.25">
      <c r="A24" s="332" t="str">
        <f t="shared" si="0"/>
        <v>PRJM6013</v>
      </c>
      <c r="B24" s="333">
        <f>IFERROR(IF(VLOOKUP(A24,TableHandbook[],2,FALSE)=0,"",VLOOKUP(A24,TableHandbook[],2,FALSE)),"")</f>
        <v>2</v>
      </c>
      <c r="C24" s="333" t="str">
        <f>IFERROR(IF(VLOOKUP(A24,TableHandbook[],3,FALSE)=0,"",VLOOKUP(A24,TableHandbook[],3,FALSE)),"")</f>
        <v>PRM500</v>
      </c>
      <c r="D24" s="334" t="str">
        <f>IFERROR(VLOOKUP(A24,TableHandbook[],4,FALSE),"")</f>
        <v>Project Management Overview</v>
      </c>
      <c r="E24" s="335"/>
      <c r="F24" s="335" t="str">
        <f>IFERROR(IF(VLOOKUP(A24,TableHandbook[],6,FALSE)=0,"",VLOOKUP(A24,TableHandbook[],6,FALSE)),"")</f>
        <v>None</v>
      </c>
      <c r="G24" s="335">
        <f>IFERROR(IF(VLOOKUP(A24,TableHandbook[],5,FALSE)=0,"",VLOOKUP(A24,TableHandbook[],5,FALSE)),"")</f>
        <v>25</v>
      </c>
      <c r="H24" s="336" t="str">
        <f>IFERROR(VLOOKUP($A24,TableHandbook[],H$2,FALSE),"")</f>
        <v>Y</v>
      </c>
      <c r="I24" s="335" t="str">
        <f>IFERROR(VLOOKUP($A24,TableHandbook[],I$2,FALSE),"")</f>
        <v/>
      </c>
      <c r="J24" s="335" t="str">
        <f>IFERROR(VLOOKUP($A24,TableHandbook[],J$2,FALSE),"")</f>
        <v>Y</v>
      </c>
      <c r="K24" s="337" t="str">
        <f>IFERROR(VLOOKUP($A24,TableHandbook[],K$2,FALSE),"")</f>
        <v/>
      </c>
      <c r="L24" s="356"/>
      <c r="M24" s="287">
        <v>3</v>
      </c>
    </row>
    <row r="25" spans="1:16" x14ac:dyDescent="0.25">
      <c r="A25" s="332" t="str">
        <f t="shared" si="0"/>
        <v>PRJM6015</v>
      </c>
      <c r="B25" s="333">
        <f>IFERROR(IF(VLOOKUP(A25,TableHandbook[],2,FALSE)=0,"",VLOOKUP(A25,TableHandbook[],2,FALSE)),"")</f>
        <v>1</v>
      </c>
      <c r="C25" s="333" t="str">
        <f>IFERROR(IF(VLOOKUP(A25,TableHandbook[],3,FALSE)=0,"",VLOOKUP(A25,TableHandbook[],3,FALSE)),"")</f>
        <v>PRM510</v>
      </c>
      <c r="D25" s="334" t="str">
        <f>IFERROR(VLOOKUP(A25,TableHandbook[],4,FALSE),"")</f>
        <v>Project and People</v>
      </c>
      <c r="E25" s="335"/>
      <c r="F25" s="335" t="str">
        <f>IFERROR(IF(VLOOKUP(A25,TableHandbook[],6,FALSE)=0,"",VLOOKUP(A25,TableHandbook[],6,FALSE)),"")</f>
        <v>None</v>
      </c>
      <c r="G25" s="335">
        <f>IFERROR(IF(VLOOKUP(A25,TableHandbook[],5,FALSE)=0,"",VLOOKUP(A25,TableHandbook[],5,FALSE)),"")</f>
        <v>25</v>
      </c>
      <c r="H25" s="336" t="str">
        <f>IFERROR(VLOOKUP($A25,TableHandbook[],H$2,FALSE),"")</f>
        <v/>
      </c>
      <c r="I25" s="335" t="str">
        <f>IFERROR(VLOOKUP($A25,TableHandbook[],I$2,FALSE),"")</f>
        <v>Y</v>
      </c>
      <c r="J25" s="335" t="str">
        <f>IFERROR(VLOOKUP($A25,TableHandbook[],J$2,FALSE),"")</f>
        <v/>
      </c>
      <c r="K25" s="337" t="str">
        <f>IFERROR(VLOOKUP($A25,TableHandbook[],K$2,FALSE),"")</f>
        <v>Y</v>
      </c>
      <c r="L25" s="356"/>
      <c r="M25" s="287">
        <v>4</v>
      </c>
    </row>
    <row r="26" spans="1:16" x14ac:dyDescent="0.25">
      <c r="A26" s="332" t="str">
        <f t="shared" si="0"/>
        <v>SUST5011</v>
      </c>
      <c r="B26" s="333">
        <f>IFERROR(IF(VLOOKUP(A26,TableHandbook[],2,FALSE)=0,"",VLOOKUP(A26,TableHandbook[],2,FALSE)),"")</f>
        <v>1</v>
      </c>
      <c r="C26" s="333" t="str">
        <f>IFERROR(IF(VLOOKUP(A26,TableHandbook[],3,FALSE)=0,"",VLOOKUP(A26,TableHandbook[],3,FALSE)),"")</f>
        <v>SCP541</v>
      </c>
      <c r="D26" s="334" t="str">
        <f>IFERROR(VLOOKUP(A26,TableHandbook[],4,FALSE),"")</f>
        <v>Urban Design for Sustainability</v>
      </c>
      <c r="E26" s="335"/>
      <c r="F26" s="335" t="str">
        <f>IFERROR(IF(VLOOKUP(A26,TableHandbook[],6,FALSE)=0,"",VLOOKUP(A26,TableHandbook[],6,FALSE)),"")</f>
        <v>None</v>
      </c>
      <c r="G26" s="335">
        <f>IFERROR(IF(VLOOKUP(A26,TableHandbook[],5,FALSE)=0,"",VLOOKUP(A26,TableHandbook[],5,FALSE)),"")</f>
        <v>25</v>
      </c>
      <c r="H26" s="336" t="str">
        <f>IFERROR(VLOOKUP($A26,TableHandbook[],H$2,FALSE),"")</f>
        <v/>
      </c>
      <c r="I26" s="335" t="str">
        <f>IFERROR(VLOOKUP($A26,TableHandbook[],I$2,FALSE),"")</f>
        <v>Y</v>
      </c>
      <c r="J26" s="335" t="str">
        <f>IFERROR(VLOOKUP($A26,TableHandbook[],J$2,FALSE),"")</f>
        <v/>
      </c>
      <c r="K26" s="337" t="str">
        <f>IFERROR(VLOOKUP($A26,TableHandbook[],K$2,FALSE),"")</f>
        <v/>
      </c>
      <c r="L26" s="356"/>
      <c r="M26" s="287">
        <v>5</v>
      </c>
    </row>
    <row r="27" spans="1:16" x14ac:dyDescent="0.25">
      <c r="A27" s="332" t="str">
        <f t="shared" si="0"/>
        <v>SUST5014</v>
      </c>
      <c r="B27" s="333">
        <f>IFERROR(IF(VLOOKUP(A27,TableHandbook[],2,FALSE)=0,"",VLOOKUP(A27,TableHandbook[],2,FALSE)),"")</f>
        <v>1</v>
      </c>
      <c r="C27" s="333" t="str">
        <f>IFERROR(IF(VLOOKUP(A27,TableHandbook[],3,FALSE)=0,"",VLOOKUP(A27,TableHandbook[],3,FALSE)),"")</f>
        <v>SCP544</v>
      </c>
      <c r="D27" s="334" t="str">
        <f>IFERROR(VLOOKUP(A27,TableHandbook[],4,FALSE),"")</f>
        <v>Leadership in Sustainability</v>
      </c>
      <c r="E27" s="335"/>
      <c r="F27" s="335" t="str">
        <f>IFERROR(IF(VLOOKUP(A27,TableHandbook[],6,FALSE)=0,"",VLOOKUP(A27,TableHandbook[],6,FALSE)),"")</f>
        <v>None</v>
      </c>
      <c r="G27" s="335">
        <f>IFERROR(IF(VLOOKUP(A27,TableHandbook[],5,FALSE)=0,"",VLOOKUP(A27,TableHandbook[],5,FALSE)),"")</f>
        <v>25</v>
      </c>
      <c r="H27" s="336" t="str">
        <f>IFERROR(VLOOKUP($A27,TableHandbook[],H$2,FALSE),"")</f>
        <v/>
      </c>
      <c r="I27" s="335" t="str">
        <f>IFERROR(VLOOKUP($A27,TableHandbook[],I$2,FALSE),"")</f>
        <v>Y</v>
      </c>
      <c r="J27" s="335" t="str">
        <f>IFERROR(VLOOKUP($A27,TableHandbook[],J$2,FALSE),"")</f>
        <v/>
      </c>
      <c r="K27" s="337" t="str">
        <f>IFERROR(VLOOKUP($A27,TableHandbook[],K$2,FALSE),"")</f>
        <v/>
      </c>
      <c r="L27" s="356"/>
      <c r="M27" s="287">
        <v>6</v>
      </c>
    </row>
    <row r="28" spans="1:16" x14ac:dyDescent="0.25">
      <c r="A28" s="332" t="str">
        <f t="shared" si="0"/>
        <v>SUST5021</v>
      </c>
      <c r="B28" s="333">
        <f>IFERROR(IF(VLOOKUP(A28,TableHandbook[],2,FALSE)=0,"",VLOOKUP(A28,TableHandbook[],2,FALSE)),"")</f>
        <v>1</v>
      </c>
      <c r="C28" s="333" t="str">
        <f>IFERROR(IF(VLOOKUP(A28,TableHandbook[],3,FALSE)=0,"",VLOOKUP(A28,TableHandbook[],3,FALSE)),"")</f>
        <v>SCP549</v>
      </c>
      <c r="D28" s="334" t="str">
        <f>IFERROR(VLOOKUP(A28,TableHandbook[],4,FALSE),"")</f>
        <v>Sustainability, Climate Change and Economics</v>
      </c>
      <c r="E28" s="335"/>
      <c r="F28" s="335" t="str">
        <f>IFERROR(IF(VLOOKUP(A28,TableHandbook[],6,FALSE)=0,"",VLOOKUP(A28,TableHandbook[],6,FALSE)),"")</f>
        <v>None</v>
      </c>
      <c r="G28" s="335">
        <f>IFERROR(IF(VLOOKUP(A28,TableHandbook[],5,FALSE)=0,"",VLOOKUP(A28,TableHandbook[],5,FALSE)),"")</f>
        <v>25</v>
      </c>
      <c r="H28" s="336" t="str">
        <f>IFERROR(VLOOKUP($A28,TableHandbook[],H$2,FALSE),"")</f>
        <v/>
      </c>
      <c r="I28" s="335" t="str">
        <f>IFERROR(VLOOKUP($A28,TableHandbook[],I$2,FALSE),"")</f>
        <v/>
      </c>
      <c r="J28" s="335" t="str">
        <f>IFERROR(VLOOKUP($A28,TableHandbook[],J$2,FALSE),"")</f>
        <v/>
      </c>
      <c r="K28" s="337" t="str">
        <f>IFERROR(VLOOKUP($A28,TableHandbook[],K$2,FALSE),"")</f>
        <v>Y</v>
      </c>
      <c r="L28" s="356"/>
      <c r="M28" s="287">
        <v>7</v>
      </c>
    </row>
    <row r="29" spans="1:16" x14ac:dyDescent="0.25">
      <c r="A29" s="332" t="str">
        <f t="shared" si="0"/>
        <v>URDE5015</v>
      </c>
      <c r="B29" s="333">
        <f>IFERROR(IF(VLOOKUP(A29,TableHandbook[],2,FALSE)=0,"",VLOOKUP(A29,TableHandbook[],2,FALSE)),"")</f>
        <v>3</v>
      </c>
      <c r="C29" s="333" t="str">
        <f>IFERROR(IF(VLOOKUP(A29,TableHandbook[],3,FALSE)=0,"",VLOOKUP(A29,TableHandbook[],3,FALSE)),"")</f>
        <v>URP530</v>
      </c>
      <c r="D29" s="334" t="str">
        <f>IFERROR(VLOOKUP(A29,TableHandbook[],4,FALSE),"")</f>
        <v>Planning Theory and Context</v>
      </c>
      <c r="E29" s="335"/>
      <c r="F29" s="335" t="str">
        <f>IFERROR(IF(VLOOKUP(A29,TableHandbook[],6,FALSE)=0,"",VLOOKUP(A29,TableHandbook[],6,FALSE)),"")</f>
        <v>None</v>
      </c>
      <c r="G29" s="335">
        <f>IFERROR(IF(VLOOKUP(A29,TableHandbook[],5,FALSE)=0,"",VLOOKUP(A29,TableHandbook[],5,FALSE)),"")</f>
        <v>25</v>
      </c>
      <c r="H29" s="336" t="str">
        <f>IFERROR(VLOOKUP($A29,TableHandbook[],H$2,FALSE),"")</f>
        <v/>
      </c>
      <c r="I29" s="335" t="str">
        <f>IFERROR(VLOOKUP($A29,TableHandbook[],I$2,FALSE),"")</f>
        <v>Y</v>
      </c>
      <c r="J29" s="335" t="str">
        <f>IFERROR(VLOOKUP($A29,TableHandbook[],J$2,FALSE),"")</f>
        <v/>
      </c>
      <c r="K29" s="337" t="str">
        <f>IFERROR(VLOOKUP($A29,TableHandbook[],K$2,FALSE),"")</f>
        <v>Y</v>
      </c>
      <c r="L29" s="356"/>
      <c r="M29" s="287">
        <v>8</v>
      </c>
    </row>
    <row r="30" spans="1:16" x14ac:dyDescent="0.25">
      <c r="A30" s="332" t="str">
        <f t="shared" si="0"/>
        <v>URDE5016</v>
      </c>
      <c r="B30" s="333">
        <f>IFERROR(IF(VLOOKUP(A30,TableHandbook[],2,FALSE)=0,"",VLOOKUP(A30,TableHandbook[],2,FALSE)),"")</f>
        <v>1</v>
      </c>
      <c r="C30" s="333" t="str">
        <f>IFERROR(IF(VLOOKUP(A30,TableHandbook[],3,FALSE)=0,"",VLOOKUP(A30,TableHandbook[],3,FALSE)),"")</f>
        <v>URP500</v>
      </c>
      <c r="D30" s="334" t="str">
        <f>IFERROR(VLOOKUP(A30,TableHandbook[],4,FALSE),"")</f>
        <v>Planning Law</v>
      </c>
      <c r="E30" s="335"/>
      <c r="F30" s="335" t="str">
        <f>IFERROR(IF(VLOOKUP(A30,TableHandbook[],6,FALSE)=0,"",VLOOKUP(A30,TableHandbook[],6,FALSE)),"")</f>
        <v>None</v>
      </c>
      <c r="G30" s="335">
        <f>IFERROR(IF(VLOOKUP(A30,TableHandbook[],5,FALSE)=0,"",VLOOKUP(A30,TableHandbook[],5,FALSE)),"")</f>
        <v>25</v>
      </c>
      <c r="H30" s="336" t="str">
        <f>IFERROR(VLOOKUP($A30,TableHandbook[],H$2,FALSE),"")</f>
        <v>Y</v>
      </c>
      <c r="I30" s="335" t="str">
        <f>IFERROR(VLOOKUP($A30,TableHandbook[],I$2,FALSE),"")</f>
        <v/>
      </c>
      <c r="J30" s="335" t="str">
        <f>IFERROR(VLOOKUP($A30,TableHandbook[],J$2,FALSE),"")</f>
        <v>Y</v>
      </c>
      <c r="K30" s="337" t="str">
        <f>IFERROR(VLOOKUP($A30,TableHandbook[],K$2,FALSE),"")</f>
        <v/>
      </c>
      <c r="L30" s="356"/>
      <c r="M30" s="287">
        <v>9</v>
      </c>
    </row>
    <row r="31" spans="1:16" x14ac:dyDescent="0.25">
      <c r="A31" s="332" t="str">
        <f t="shared" si="0"/>
        <v>URDE5017</v>
      </c>
      <c r="B31" s="333">
        <f>IFERROR(IF(VLOOKUP(A31,TableHandbook[],2,FALSE)=0,"",VLOOKUP(A31,TableHandbook[],2,FALSE)),"")</f>
        <v>2</v>
      </c>
      <c r="C31" s="333" t="str">
        <f>IFERROR(IF(VLOOKUP(A31,TableHandbook[],3,FALSE)=0,"",VLOOKUP(A31,TableHandbook[],3,FALSE)),"")</f>
        <v>URP510</v>
      </c>
      <c r="D31" s="334" t="str">
        <f>IFERROR(VLOOKUP(A31,TableHandbook[],4,FALSE),"")</f>
        <v>Planning for Regions</v>
      </c>
      <c r="E31" s="335"/>
      <c r="F31" s="335" t="str">
        <f>IFERROR(IF(VLOOKUP(A31,TableHandbook[],6,FALSE)=0,"",VLOOKUP(A31,TableHandbook[],6,FALSE)),"")</f>
        <v>None</v>
      </c>
      <c r="G31" s="335">
        <f>IFERROR(IF(VLOOKUP(A31,TableHandbook[],5,FALSE)=0,"",VLOOKUP(A31,TableHandbook[],5,FALSE)),"")</f>
        <v>25</v>
      </c>
      <c r="H31" s="336" t="str">
        <f>IFERROR(VLOOKUP($A31,TableHandbook[],H$2,FALSE),"")</f>
        <v/>
      </c>
      <c r="I31" s="335" t="str">
        <f>IFERROR(VLOOKUP($A31,TableHandbook[],I$2,FALSE),"")</f>
        <v>Y</v>
      </c>
      <c r="J31" s="335" t="str">
        <f>IFERROR(VLOOKUP($A31,TableHandbook[],J$2,FALSE),"")</f>
        <v/>
      </c>
      <c r="K31" s="337" t="str">
        <f>IFERROR(VLOOKUP($A31,TableHandbook[],K$2,FALSE),"")</f>
        <v>Y</v>
      </c>
      <c r="L31" s="356"/>
      <c r="M31" s="287">
        <v>10</v>
      </c>
    </row>
    <row r="32" spans="1:16" x14ac:dyDescent="0.25">
      <c r="A32" s="332" t="str">
        <f t="shared" si="0"/>
        <v>URDE6004</v>
      </c>
      <c r="B32" s="333">
        <f>IFERROR(IF(VLOOKUP(A32,TableHandbook[],2,FALSE)=0,"",VLOOKUP(A32,TableHandbook[],2,FALSE)),"")</f>
        <v>1</v>
      </c>
      <c r="C32" s="333" t="str">
        <f>IFERROR(IF(VLOOKUP(A32,TableHandbook[],3,FALSE)=0,"",VLOOKUP(A32,TableHandbook[],3,FALSE)),"")</f>
        <v>URP640</v>
      </c>
      <c r="D32" s="334" t="str">
        <f>IFERROR(VLOOKUP(A32,TableHandbook[],4,FALSE),"")</f>
        <v>Participatory Planning</v>
      </c>
      <c r="E32" s="335"/>
      <c r="F32" s="335" t="str">
        <f>IFERROR(IF(VLOOKUP(A32,TableHandbook[],6,FALSE)=0,"",VLOOKUP(A32,TableHandbook[],6,FALSE)),"")</f>
        <v>None</v>
      </c>
      <c r="G32" s="335">
        <f>IFERROR(IF(VLOOKUP(A32,TableHandbook[],5,FALSE)=0,"",VLOOKUP(A32,TableHandbook[],5,FALSE)),"")</f>
        <v>25</v>
      </c>
      <c r="H32" s="336" t="str">
        <f>IFERROR(VLOOKUP($A32,TableHandbook[],H$2,FALSE),"")</f>
        <v/>
      </c>
      <c r="I32" s="335" t="str">
        <f>IFERROR(VLOOKUP($A32,TableHandbook[],I$2,FALSE),"")</f>
        <v>Y</v>
      </c>
      <c r="J32" s="335" t="str">
        <f>IFERROR(VLOOKUP($A32,TableHandbook[],J$2,FALSE),"")</f>
        <v/>
      </c>
      <c r="K32" s="337" t="str">
        <f>IFERROR(VLOOKUP($A32,TableHandbook[],K$2,FALSE),"")</f>
        <v>Y</v>
      </c>
      <c r="L32" s="356"/>
      <c r="M32" s="287">
        <v>11</v>
      </c>
    </row>
    <row r="33" spans="1:15" x14ac:dyDescent="0.25">
      <c r="A33" s="332" t="str">
        <f t="shared" si="0"/>
        <v>WORK5001</v>
      </c>
      <c r="B33" s="333">
        <f>IFERROR(IF(VLOOKUP(A33,TableHandbook[],2,FALSE)=0,"",VLOOKUP(A33,TableHandbook[],2,FALSE)),"")</f>
        <v>1</v>
      </c>
      <c r="C33" s="333" t="str">
        <f>IFERROR(IF(VLOOKUP(A33,TableHandbook[],3,FALSE)=0,"",VLOOKUP(A33,TableHandbook[],3,FALSE)),"")</f>
        <v>WBP500</v>
      </c>
      <c r="D33" s="334" t="str">
        <f>IFERROR(VLOOKUP(A33,TableHandbook[],4,FALSE),"")</f>
        <v>Work Based Project (with approval)</v>
      </c>
      <c r="E33" s="335"/>
      <c r="F33" s="335" t="str">
        <f>IFERROR(IF(VLOOKUP(A33,TableHandbook[],6,FALSE)=0,"",VLOOKUP(A33,TableHandbook[],6,FALSE)),"")</f>
        <v>See OUA Website</v>
      </c>
      <c r="G33" s="335">
        <f>IFERROR(IF(VLOOKUP(A33,TableHandbook[],5,FALSE)=0,"",VLOOKUP(A33,TableHandbook[],5,FALSE)),"")</f>
        <v>25</v>
      </c>
      <c r="H33" s="336" t="str">
        <f>IFERROR(VLOOKUP($A33,TableHandbook[],H$2,FALSE),"")</f>
        <v/>
      </c>
      <c r="I33" s="335" t="str">
        <f>IFERROR(VLOOKUP($A33,TableHandbook[],I$2,FALSE),"")</f>
        <v/>
      </c>
      <c r="J33" s="335" t="str">
        <f>IFERROR(VLOOKUP($A33,TableHandbook[],J$2,FALSE),"")</f>
        <v/>
      </c>
      <c r="K33" s="337" t="str">
        <f>IFERROR(VLOOKUP($A33,TableHandbook[],K$2,FALSE),"")</f>
        <v/>
      </c>
      <c r="L33" s="356"/>
      <c r="M33" s="287">
        <v>12</v>
      </c>
    </row>
    <row r="34" spans="1:15" ht="21" customHeight="1" x14ac:dyDescent="0.25">
      <c r="A34" s="338"/>
      <c r="B34" s="338"/>
      <c r="C34" s="338"/>
      <c r="D34" s="339"/>
      <c r="E34" s="340"/>
      <c r="F34" s="340"/>
      <c r="G34" s="340"/>
      <c r="H34" s="340"/>
      <c r="I34" s="340"/>
      <c r="J34" s="340"/>
      <c r="K34" s="340"/>
      <c r="L34" s="341"/>
      <c r="M34" s="342"/>
    </row>
    <row r="35" spans="1:15" ht="32.25" customHeight="1" x14ac:dyDescent="0.25">
      <c r="A35" s="343" t="s">
        <v>25</v>
      </c>
      <c r="B35" s="343"/>
      <c r="C35" s="343"/>
      <c r="D35" s="343"/>
      <c r="E35" s="343"/>
      <c r="F35" s="343"/>
      <c r="G35" s="343"/>
      <c r="H35" s="343"/>
      <c r="I35" s="343"/>
      <c r="J35" s="343"/>
      <c r="K35" s="343"/>
      <c r="L35" s="343"/>
      <c r="M35" s="342"/>
    </row>
    <row r="36" spans="1:15" s="345" customFormat="1" ht="24.95" customHeight="1" x14ac:dyDescent="0.3">
      <c r="A36" s="108" t="s">
        <v>26</v>
      </c>
      <c r="B36" s="108"/>
      <c r="C36" s="108"/>
      <c r="D36" s="109"/>
      <c r="E36" s="109"/>
      <c r="F36" s="109"/>
      <c r="G36" s="109"/>
      <c r="H36" s="109"/>
      <c r="I36" s="109"/>
      <c r="J36" s="109"/>
      <c r="K36" s="109"/>
      <c r="L36" s="109"/>
      <c r="M36" s="344"/>
      <c r="N36" s="344"/>
      <c r="O36" s="344"/>
    </row>
    <row r="37" spans="1:15" ht="15" customHeight="1" x14ac:dyDescent="0.25">
      <c r="A37" s="346" t="s">
        <v>27</v>
      </c>
      <c r="B37" s="346"/>
      <c r="C37" s="346"/>
      <c r="D37" s="346"/>
      <c r="E37" s="347"/>
      <c r="F37" s="314"/>
      <c r="G37" s="348"/>
      <c r="H37" s="348"/>
      <c r="I37" s="348"/>
      <c r="J37" s="348"/>
      <c r="K37" s="348"/>
      <c r="L37" s="348" t="s">
        <v>28</v>
      </c>
    </row>
  </sheetData>
  <sheetProtection algorithmName="SHA-512" hashValue="YY22eyyTOuDrmOGXHg2cCerNVsPdt0iTocagKtGkOxkyqKxZsAZSlSK0NA3tmT7qTNt3Spt8UGDya16SkFrLMg==" saltValue="MrhLHtAqxInMQV1laQ8I+A==" spinCount="100000" sheet="1" objects="1" scenarios="1" formatCells="0"/>
  <mergeCells count="2">
    <mergeCell ref="A3:D3"/>
    <mergeCell ref="A35:L35"/>
  </mergeCells>
  <conditionalFormatting sqref="D5:D6">
    <cfRule type="containsText" dxfId="98" priority="2" operator="containsText" text="Choose">
      <formula>NOT(ISERROR(SEARCH("Choose",D5)))</formula>
    </cfRule>
  </conditionalFormatting>
  <conditionalFormatting sqref="A9:L19 A23:L33">
    <cfRule type="expression" dxfId="97" priority="1">
      <formula>$A9=""</formula>
    </cfRule>
  </conditionalFormatting>
  <dataValidations count="1">
    <dataValidation type="list" allowBlank="1" showInputMessage="1" showErrorMessage="1" sqref="L14 L11 L17"/>
  </dataValidations>
  <hyperlinks>
    <hyperlink ref="A36:L3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19"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Unitsets!$A$12:$A$16</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1"/>
  <sheetViews>
    <sheetView showGridLines="0" topLeftCell="A3" zoomScaleNormal="100" workbookViewId="0">
      <selection activeCell="D6" sqref="D6"/>
    </sheetView>
  </sheetViews>
  <sheetFormatPr defaultRowHeight="15" x14ac:dyDescent="0.25"/>
  <cols>
    <col min="1" max="1" width="8.5" style="34" customWidth="1"/>
    <col min="2" max="2" width="3.25" style="34" customWidth="1"/>
    <col min="3" max="3" width="9.375" style="34" customWidth="1"/>
    <col min="4" max="4" width="57.75" style="33" customWidth="1"/>
    <col min="5" max="5" width="5.625" style="33" customWidth="1"/>
    <col min="6" max="6" width="27.75" style="33" customWidth="1"/>
    <col min="7" max="7" width="5.625" style="33" customWidth="1"/>
    <col min="8" max="11" width="4.625" style="33" customWidth="1"/>
    <col min="12" max="12" width="15.625" style="33" customWidth="1"/>
    <col min="13" max="13" width="2.5" style="33" hidden="1" customWidth="1"/>
    <col min="14" max="16384" width="9" style="33"/>
  </cols>
  <sheetData>
    <row r="1" spans="1:23" hidden="1" x14ac:dyDescent="0.25">
      <c r="A1" s="29" t="s">
        <v>0</v>
      </c>
      <c r="B1" s="30" t="s">
        <v>1</v>
      </c>
      <c r="C1" s="30" t="s">
        <v>2</v>
      </c>
      <c r="D1" s="31" t="s">
        <v>3</v>
      </c>
      <c r="E1" s="31"/>
      <c r="F1" s="31" t="s">
        <v>4</v>
      </c>
      <c r="G1" s="31" t="s">
        <v>5</v>
      </c>
      <c r="H1" s="32" t="s">
        <v>6</v>
      </c>
      <c r="I1" s="31"/>
      <c r="J1" s="31"/>
      <c r="K1" s="31"/>
      <c r="L1" s="31" t="s">
        <v>7</v>
      </c>
    </row>
    <row r="2" spans="1:23" hidden="1" x14ac:dyDescent="0.25">
      <c r="A2" s="210"/>
      <c r="B2" s="211">
        <v>2</v>
      </c>
      <c r="C2" s="211">
        <v>3</v>
      </c>
      <c r="D2" s="211">
        <v>4</v>
      </c>
      <c r="E2" s="211"/>
      <c r="F2" s="211">
        <v>6</v>
      </c>
      <c r="G2" s="211">
        <v>5</v>
      </c>
      <c r="H2" s="211">
        <v>7</v>
      </c>
      <c r="I2" s="211">
        <v>8</v>
      </c>
      <c r="J2" s="211">
        <v>9</v>
      </c>
      <c r="K2" s="211">
        <v>10</v>
      </c>
      <c r="L2" s="212"/>
    </row>
    <row r="3" spans="1:23" ht="39.950000000000003" customHeight="1" x14ac:dyDescent="0.25">
      <c r="A3" s="242" t="s">
        <v>8</v>
      </c>
      <c r="B3" s="242"/>
      <c r="C3" s="242"/>
      <c r="D3" s="242"/>
      <c r="E3" s="130"/>
      <c r="F3" s="130"/>
      <c r="G3" s="130"/>
      <c r="H3" s="130"/>
      <c r="I3" s="130"/>
      <c r="J3" s="130"/>
      <c r="K3" s="130"/>
      <c r="L3" s="130"/>
    </row>
    <row r="4" spans="1:23" ht="26.25" x14ac:dyDescent="0.25">
      <c r="A4" s="205"/>
      <c r="B4" s="206"/>
      <c r="C4" s="206"/>
      <c r="D4" s="209" t="s">
        <v>186</v>
      </c>
      <c r="E4" s="207"/>
      <c r="F4" s="206"/>
      <c r="G4" s="208"/>
      <c r="H4" s="208"/>
      <c r="I4" s="208"/>
      <c r="J4" s="208"/>
      <c r="K4" s="208"/>
      <c r="L4" s="208"/>
    </row>
    <row r="5" spans="1:23" ht="20.100000000000001" customHeight="1" x14ac:dyDescent="0.25">
      <c r="B5" s="131"/>
      <c r="C5" s="132" t="s">
        <v>9</v>
      </c>
      <c r="D5" s="120" t="s">
        <v>56</v>
      </c>
      <c r="E5" s="133"/>
      <c r="F5" s="132" t="s">
        <v>10</v>
      </c>
      <c r="G5" s="133" t="str">
        <f>IFERROR(CONCATENATE(VLOOKUP(D5,TableCourses[],2,FALSE)," ",VLOOKUP(D5,TableCourses[],3,FALSE)),"")</f>
        <v>OC-ENVCLM v.1</v>
      </c>
      <c r="H5" s="133"/>
      <c r="I5" s="133"/>
      <c r="J5" s="133"/>
      <c r="K5" s="133"/>
      <c r="L5" s="241" t="e">
        <f>CONCATENATE(VLOOKUP(D5,TableCourses[],2,FALSE),VLOOKUP(D6,TableStudyPeriods[],2,FALSE))</f>
        <v>#N/A</v>
      </c>
    </row>
    <row r="6" spans="1:23" ht="20.100000000000001" customHeight="1" x14ac:dyDescent="0.25">
      <c r="A6" s="134"/>
      <c r="B6" s="135"/>
      <c r="C6" s="132" t="s">
        <v>11</v>
      </c>
      <c r="D6" s="121" t="s">
        <v>184</v>
      </c>
      <c r="E6" s="136"/>
      <c r="F6" s="132" t="s">
        <v>12</v>
      </c>
      <c r="G6" s="133" t="str">
        <f>IFERROR(VLOOKUP($D$5,TableCourses[],4,FALSE),"")</f>
        <v>100 credit points required</v>
      </c>
      <c r="H6" s="137"/>
      <c r="I6" s="137"/>
      <c r="J6" s="137"/>
      <c r="K6" s="137"/>
      <c r="L6" s="137"/>
      <c r="W6" s="35"/>
    </row>
    <row r="7" spans="1:23" s="37" customFormat="1" ht="14.1" customHeight="1" x14ac:dyDescent="0.25">
      <c r="A7" s="138"/>
      <c r="B7" s="138"/>
      <c r="C7" s="138"/>
      <c r="D7" s="139"/>
      <c r="E7" s="140"/>
      <c r="F7" s="138"/>
      <c r="G7" s="138"/>
      <c r="H7" s="141" t="s">
        <v>187</v>
      </c>
      <c r="I7" s="142"/>
      <c r="J7" s="142"/>
      <c r="K7" s="143"/>
      <c r="L7" s="144"/>
      <c r="M7" s="145"/>
      <c r="N7" s="145"/>
      <c r="O7" s="145"/>
      <c r="W7" s="36"/>
    </row>
    <row r="8" spans="1:23" s="37" customFormat="1" ht="21" x14ac:dyDescent="0.25">
      <c r="A8" s="138" t="s">
        <v>13</v>
      </c>
      <c r="B8" s="138"/>
      <c r="C8" s="138" t="s">
        <v>14</v>
      </c>
      <c r="D8" s="144" t="s">
        <v>3</v>
      </c>
      <c r="E8" s="146" t="s">
        <v>15</v>
      </c>
      <c r="F8" s="138" t="s">
        <v>16</v>
      </c>
      <c r="G8" s="138" t="s">
        <v>17</v>
      </c>
      <c r="H8" s="147" t="s">
        <v>18</v>
      </c>
      <c r="I8" s="146" t="s">
        <v>19</v>
      </c>
      <c r="J8" s="146" t="s">
        <v>20</v>
      </c>
      <c r="K8" s="148" t="s">
        <v>21</v>
      </c>
      <c r="L8" s="138" t="s">
        <v>22</v>
      </c>
      <c r="M8" s="145"/>
      <c r="N8" s="145"/>
      <c r="O8" s="145"/>
      <c r="W8" s="36"/>
    </row>
    <row r="9" spans="1:23" s="39" customFormat="1" ht="21" customHeight="1" x14ac:dyDescent="0.15">
      <c r="A9" s="149" t="str">
        <f>IFERROR(IF(HLOOKUP($L$5,Unitsets!$J$3:$AG$19,M9,FALSE)=0,"",HLOOKUP($L$5,Unitsets!$J$3:$AG$19,M9,FALSE)),"")</f>
        <v/>
      </c>
      <c r="B9" s="150" t="str">
        <f>IFERROR(IF(VLOOKUP(A9,TableHandbook[],2,FALSE)=0,"",VLOOKUP(A9,TableHandbook[],2,FALSE)),"")</f>
        <v/>
      </c>
      <c r="C9" s="150" t="str">
        <f>IFERROR(IF(VLOOKUP(A9,TableHandbook[],3,FALSE)=0,"",VLOOKUP(A9,TableHandbook[],3,FALSE)),"")</f>
        <v/>
      </c>
      <c r="D9" s="151" t="str">
        <f>IFERROR(VLOOKUP(A9,TableHandbook[],4,FALSE),"")</f>
        <v/>
      </c>
      <c r="E9" s="150" t="str">
        <f>IF(A9="","",VLOOKUP($D$6,TableStudyPeriods[],2,FALSE))</f>
        <v/>
      </c>
      <c r="F9" s="152" t="str">
        <f>IFERROR(IF(VLOOKUP(A9,TableHandbook[],6,FALSE)=0,"",VLOOKUP(A9,TableHandbook[],6,FALSE)),"")</f>
        <v/>
      </c>
      <c r="G9" s="150" t="str">
        <f>IFERROR(IF(VLOOKUP(A9,TableHandbook[],5,FALSE)=0,"",VLOOKUP(A9,TableHandbook[],5,FALSE)),"")</f>
        <v/>
      </c>
      <c r="H9" s="153" t="str">
        <f>IFERROR(VLOOKUP($A9,TableHandbook[],H$2,FALSE),"")</f>
        <v/>
      </c>
      <c r="I9" s="150" t="str">
        <f>IFERROR(VLOOKUP($A9,TableHandbook[],I$2,FALSE),"")</f>
        <v/>
      </c>
      <c r="J9" s="150" t="str">
        <f>IFERROR(VLOOKUP($A9,TableHandbook[],J$2,FALSE),"")</f>
        <v/>
      </c>
      <c r="K9" s="154" t="str">
        <f>IFERROR(VLOOKUP($A9,TableHandbook[],K$2,FALSE),"")</f>
        <v/>
      </c>
      <c r="L9" s="104"/>
      <c r="M9" s="229">
        <v>2</v>
      </c>
      <c r="N9" s="156"/>
      <c r="O9" s="156"/>
      <c r="W9" s="38"/>
    </row>
    <row r="10" spans="1:23" s="39" customFormat="1" ht="21" customHeight="1" x14ac:dyDescent="0.15">
      <c r="A10" s="157" t="str">
        <f>IFERROR(IF(HLOOKUP($L$5,Unitsets!$J$3:$AG$19,M10,FALSE)=0,"",HLOOKUP($L$5,Unitsets!$J$3:$AG$19,M10,FALSE)),"")</f>
        <v/>
      </c>
      <c r="B10" s="158" t="str">
        <f>IFERROR(IF(VLOOKUP(A10,TableHandbook[],2,FALSE)=0,"",VLOOKUP(A10,TableHandbook[],2,FALSE)),"")</f>
        <v/>
      </c>
      <c r="C10" s="158" t="str">
        <f>IFERROR(IF(VLOOKUP(A10,TableHandbook[],3,FALSE)=0,"",VLOOKUP(A10,TableHandbook[],3,FALSE)),"")</f>
        <v/>
      </c>
      <c r="D10" s="159" t="str">
        <f>IFERROR(VLOOKUP(A10,TableHandbook[],4,FALSE),"")</f>
        <v/>
      </c>
      <c r="E10" s="158" t="str">
        <f>IF(A10="","",E9)</f>
        <v/>
      </c>
      <c r="F10" s="160" t="str">
        <f>IFERROR(IF(VLOOKUP(A10,TableHandbook[],6,FALSE)=0,"",VLOOKUP(A10,TableHandbook[],6,FALSE)),"")</f>
        <v/>
      </c>
      <c r="G10" s="158" t="str">
        <f>IFERROR(IF(VLOOKUP(A10,TableHandbook[],5,FALSE)=0,"",VLOOKUP(A10,TableHandbook[],5,FALSE)),"")</f>
        <v/>
      </c>
      <c r="H10" s="161" t="str">
        <f>IFERROR(VLOOKUP($A10,TableHandbook[],H$2,FALSE),"")</f>
        <v/>
      </c>
      <c r="I10" s="158" t="str">
        <f>IFERROR(VLOOKUP($A10,TableHandbook[],I$2,FALSE),"")</f>
        <v/>
      </c>
      <c r="J10" s="158" t="str">
        <f>IFERROR(VLOOKUP($A10,TableHandbook[],J$2,FALSE),"")</f>
        <v/>
      </c>
      <c r="K10" s="162" t="str">
        <f>IFERROR(VLOOKUP($A10,TableHandbook[],K$2,FALSE),"")</f>
        <v/>
      </c>
      <c r="L10" s="105"/>
      <c r="M10" s="229">
        <v>3</v>
      </c>
      <c r="N10" s="156"/>
      <c r="O10" s="156"/>
      <c r="W10" s="38"/>
    </row>
    <row r="11" spans="1:23" s="39" customFormat="1" ht="4.5" customHeight="1" x14ac:dyDescent="0.15">
      <c r="A11" s="217"/>
      <c r="B11" s="218"/>
      <c r="C11" s="218" t="str">
        <f>IFERROR(IF(VLOOKUP(A11,TableHandbook[],3,FALSE)=0,"",VLOOKUP(A11,TableHandbook[],3,FALSE)),"")</f>
        <v/>
      </c>
      <c r="D11" s="219"/>
      <c r="E11" s="218"/>
      <c r="F11" s="220"/>
      <c r="G11" s="218"/>
      <c r="H11" s="221"/>
      <c r="I11" s="222"/>
      <c r="J11" s="222"/>
      <c r="K11" s="223"/>
      <c r="L11" s="224"/>
      <c r="M11" s="229"/>
      <c r="N11" s="156"/>
      <c r="O11" s="156"/>
      <c r="P11" s="156"/>
      <c r="W11" s="38"/>
    </row>
    <row r="12" spans="1:23" s="39" customFormat="1" ht="21" customHeight="1" x14ac:dyDescent="0.15">
      <c r="A12" s="149" t="str">
        <f>IFERROR(IF(HLOOKUP($L$5,Unitsets!$J$3:$AG$19,M12,FALSE)=0,"",HLOOKUP($L$5,Unitsets!$J$3:$AG$19,M12,FALSE)),"")</f>
        <v/>
      </c>
      <c r="B12" s="150" t="str">
        <f>IFERROR(IF(VLOOKUP(A12,TableHandbook[],2,FALSE)=0,"",VLOOKUP(A12,TableHandbook[],2,FALSE)),"")</f>
        <v/>
      </c>
      <c r="C12" s="150" t="str">
        <f>IFERROR(IF(VLOOKUP(A12,TableHandbook[],3,FALSE)=0,"",VLOOKUP(A12,TableHandbook[],3,FALSE)),"")</f>
        <v/>
      </c>
      <c r="D12" s="151" t="str">
        <f>IFERROR(VLOOKUP(A12,TableHandbook[],4,FALSE),"")</f>
        <v/>
      </c>
      <c r="E12" s="150" t="str">
        <f>IF(A12="","",VLOOKUP($D$6,TableStudyPeriods[],3,FALSE))</f>
        <v/>
      </c>
      <c r="F12" s="152" t="str">
        <f>IFERROR(IF(VLOOKUP(A12,TableHandbook[],6,FALSE)=0,"",VLOOKUP(A12,TableHandbook[],6,FALSE)),"")</f>
        <v/>
      </c>
      <c r="G12" s="150" t="str">
        <f>IFERROR(IF(VLOOKUP(A12,TableHandbook[],5,FALSE)=0,"",VLOOKUP(A12,TableHandbook[],5,FALSE)),"")</f>
        <v/>
      </c>
      <c r="H12" s="153" t="str">
        <f>IFERROR(VLOOKUP($A12,TableHandbook[],H$2,FALSE),"")</f>
        <v/>
      </c>
      <c r="I12" s="150" t="str">
        <f>IFERROR(VLOOKUP($A12,TableHandbook[],I$2,FALSE),"")</f>
        <v/>
      </c>
      <c r="J12" s="150" t="str">
        <f>IFERROR(VLOOKUP($A12,TableHandbook[],J$2,FALSE),"")</f>
        <v/>
      </c>
      <c r="K12" s="154" t="str">
        <f>IFERROR(VLOOKUP($A12,TableHandbook[],K$2,FALSE),"")</f>
        <v/>
      </c>
      <c r="L12" s="106"/>
      <c r="M12" s="229">
        <v>4</v>
      </c>
      <c r="N12" s="156"/>
      <c r="O12" s="156"/>
      <c r="W12" s="38"/>
    </row>
    <row r="13" spans="1:23" s="39" customFormat="1" ht="21" customHeight="1" x14ac:dyDescent="0.15">
      <c r="A13" s="157" t="str">
        <f>IFERROR(IF(HLOOKUP($L$5,Unitsets!$J$3:$AG$19,M13,FALSE)=0,"",HLOOKUP($L$5,Unitsets!$J$3:$AG$19,M13,FALSE)),"")</f>
        <v/>
      </c>
      <c r="B13" s="158" t="str">
        <f>IFERROR(IF(VLOOKUP(A13,TableHandbook[],2,FALSE)=0,"",VLOOKUP(A13,TableHandbook[],2,FALSE)),"")</f>
        <v/>
      </c>
      <c r="C13" s="158" t="str">
        <f>IFERROR(IF(VLOOKUP(A13,TableHandbook[],3,FALSE)=0,"",VLOOKUP(A13,TableHandbook[],3,FALSE)),"")</f>
        <v/>
      </c>
      <c r="D13" s="159" t="str">
        <f>IFERROR(VLOOKUP(A13,TableHandbook[],4,FALSE),"")</f>
        <v/>
      </c>
      <c r="E13" s="158" t="str">
        <f>IF(A13="","",E12)</f>
        <v/>
      </c>
      <c r="F13" s="160" t="str">
        <f>IFERROR(IF(VLOOKUP(A13,TableHandbook[],6,FALSE)=0,"",VLOOKUP(A13,TableHandbook[],6,FALSE)),"")</f>
        <v/>
      </c>
      <c r="G13" s="158" t="str">
        <f>IFERROR(IF(VLOOKUP(A13,TableHandbook[],5,FALSE)=0,"",VLOOKUP(A13,TableHandbook[],5,FALSE)),"")</f>
        <v/>
      </c>
      <c r="H13" s="161" t="str">
        <f>IFERROR(VLOOKUP($A13,TableHandbook[],H$2,FALSE),"")</f>
        <v/>
      </c>
      <c r="I13" s="158" t="str">
        <f>IFERROR(VLOOKUP($A13,TableHandbook[],I$2,FALSE),"")</f>
        <v/>
      </c>
      <c r="J13" s="158" t="str">
        <f>IFERROR(VLOOKUP($A13,TableHandbook[],J$2,FALSE),"")</f>
        <v/>
      </c>
      <c r="K13" s="162" t="str">
        <f>IFERROR(VLOOKUP($A13,TableHandbook[],K$2,FALSE),"")</f>
        <v/>
      </c>
      <c r="L13" s="105"/>
      <c r="M13" s="229">
        <v>5</v>
      </c>
      <c r="N13" s="156"/>
      <c r="O13" s="156"/>
      <c r="W13" s="38"/>
    </row>
    <row r="14" spans="1:23" s="45" customFormat="1" ht="13.9" customHeight="1" x14ac:dyDescent="0.2">
      <c r="A14" s="177"/>
      <c r="B14" s="177"/>
      <c r="C14" s="177"/>
      <c r="D14" s="178"/>
      <c r="E14" s="178"/>
      <c r="F14" s="179"/>
      <c r="G14" s="179"/>
      <c r="H14" s="179"/>
      <c r="I14" s="179"/>
      <c r="J14" s="179"/>
      <c r="K14" s="179"/>
      <c r="L14" s="179"/>
      <c r="M14" s="231"/>
      <c r="N14" s="180"/>
      <c r="O14" s="180"/>
      <c r="W14" s="44"/>
    </row>
    <row r="15" spans="1:23" ht="15" customHeight="1" x14ac:dyDescent="0.25">
      <c r="A15" s="181" t="s">
        <v>24</v>
      </c>
      <c r="B15" s="182"/>
      <c r="C15" s="182"/>
      <c r="D15" s="183"/>
      <c r="E15" s="184"/>
      <c r="F15" s="184"/>
      <c r="G15" s="184"/>
      <c r="H15" s="185" t="s">
        <v>187</v>
      </c>
      <c r="I15" s="186"/>
      <c r="J15" s="181"/>
      <c r="K15" s="187"/>
      <c r="L15" s="188" t="str">
        <f>VLOOKUP(D5,TableCourses[],2,FALSE)</f>
        <v>OC-ENVCLM</v>
      </c>
      <c r="M15" s="228"/>
      <c r="W15" s="35"/>
    </row>
    <row r="16" spans="1:23" s="47" customFormat="1" x14ac:dyDescent="0.25">
      <c r="A16" s="138"/>
      <c r="B16" s="138"/>
      <c r="C16" s="138" t="s">
        <v>14</v>
      </c>
      <c r="D16" s="189" t="s">
        <v>3</v>
      </c>
      <c r="E16" s="138"/>
      <c r="F16" s="138" t="s">
        <v>16</v>
      </c>
      <c r="G16" s="138" t="s">
        <v>17</v>
      </c>
      <c r="H16" s="190" t="s">
        <v>18</v>
      </c>
      <c r="I16" s="191" t="s">
        <v>19</v>
      </c>
      <c r="J16" s="191" t="s">
        <v>20</v>
      </c>
      <c r="K16" s="192" t="s">
        <v>21</v>
      </c>
      <c r="L16" s="193" t="s">
        <v>22</v>
      </c>
      <c r="M16" s="228"/>
      <c r="W16" s="46"/>
    </row>
    <row r="17" spans="1:23" x14ac:dyDescent="0.25">
      <c r="A17" s="194" t="str">
        <f t="shared" ref="A17:A27" si="0">IFERROR(IF(HLOOKUP($L$15,RangeOptions,$M17,FALSE)=0,"",HLOOKUP($L$15,RangeOptions,$M17,FALSE)),"")</f>
        <v>URDE6007</v>
      </c>
      <c r="B17" s="195">
        <f>IFERROR(IF(VLOOKUP(A17,TableHandbook[],2,FALSE)=0,"",VLOOKUP(A17,TableHandbook[],2,FALSE)),"")</f>
        <v>1</v>
      </c>
      <c r="C17" s="195" t="str">
        <f>IFERROR(IF(VLOOKUP(A17,TableHandbook[],3,FALSE)=0,"",VLOOKUP(A17,TableHandbook[],3,FALSE)),"")</f>
        <v>DBE600</v>
      </c>
      <c r="D17" s="196" t="str">
        <f>IFERROR(VLOOKUP(A17,TableHandbook[],4,FALSE),"")</f>
        <v>Design and Built Environment Research Methods</v>
      </c>
      <c r="E17" s="197"/>
      <c r="F17" s="197" t="str">
        <f>IFERROR(IF(VLOOKUP(A17,TableHandbook[],6,FALSE)=0,"",VLOOKUP(A17,TableHandbook[],6,FALSE)),"")</f>
        <v>None</v>
      </c>
      <c r="G17" s="197">
        <f>IFERROR(IF(VLOOKUP(A17,TableHandbook[],5,FALSE)=0,"",VLOOKUP(A17,TableHandbook[],5,FALSE)),"")</f>
        <v>25</v>
      </c>
      <c r="H17" s="198" t="str">
        <f>IFERROR(VLOOKUP($A17,TableHandbook[],H$2,FALSE),"")</f>
        <v>Y</v>
      </c>
      <c r="I17" s="197" t="str">
        <f>IFERROR(VLOOKUP($A17,TableHandbook[],I$2,FALSE),"")</f>
        <v/>
      </c>
      <c r="J17" s="197" t="str">
        <f>IFERROR(VLOOKUP($A17,TableHandbook[],J$2,FALSE),"")</f>
        <v>Y</v>
      </c>
      <c r="K17" s="199" t="str">
        <f>IFERROR(VLOOKUP($A17,TableHandbook[],K$2,FALSE),"")</f>
        <v/>
      </c>
      <c r="L17" s="129"/>
      <c r="M17" s="229">
        <v>2</v>
      </c>
      <c r="W17" s="35"/>
    </row>
    <row r="18" spans="1:23" x14ac:dyDescent="0.25">
      <c r="A18" s="194" t="str">
        <f t="shared" si="0"/>
        <v>PRJM6013</v>
      </c>
      <c r="B18" s="195">
        <f>IFERROR(IF(VLOOKUP(A18,TableHandbook[],2,FALSE)=0,"",VLOOKUP(A18,TableHandbook[],2,FALSE)),"")</f>
        <v>2</v>
      </c>
      <c r="C18" s="195" t="str">
        <f>IFERROR(IF(VLOOKUP(A18,TableHandbook[],3,FALSE)=0,"",VLOOKUP(A18,TableHandbook[],3,FALSE)),"")</f>
        <v>PRM500</v>
      </c>
      <c r="D18" s="196" t="str">
        <f>IFERROR(VLOOKUP(A18,TableHandbook[],4,FALSE),"")</f>
        <v>Project Management Overview</v>
      </c>
      <c r="E18" s="197"/>
      <c r="F18" s="197" t="str">
        <f>IFERROR(IF(VLOOKUP(A18,TableHandbook[],6,FALSE)=0,"",VLOOKUP(A18,TableHandbook[],6,FALSE)),"")</f>
        <v>None</v>
      </c>
      <c r="G18" s="197">
        <f>IFERROR(IF(VLOOKUP(A18,TableHandbook[],5,FALSE)=0,"",VLOOKUP(A18,TableHandbook[],5,FALSE)),"")</f>
        <v>25</v>
      </c>
      <c r="H18" s="198" t="str">
        <f>IFERROR(VLOOKUP($A18,TableHandbook[],H$2,FALSE),"")</f>
        <v>Y</v>
      </c>
      <c r="I18" s="197" t="str">
        <f>IFERROR(VLOOKUP($A18,TableHandbook[],I$2,FALSE),"")</f>
        <v/>
      </c>
      <c r="J18" s="197" t="str">
        <f>IFERROR(VLOOKUP($A18,TableHandbook[],J$2,FALSE),"")</f>
        <v>Y</v>
      </c>
      <c r="K18" s="199" t="str">
        <f>IFERROR(VLOOKUP($A18,TableHandbook[],K$2,FALSE),"")</f>
        <v/>
      </c>
      <c r="L18" s="129"/>
      <c r="M18" s="229">
        <v>3</v>
      </c>
      <c r="W18" s="35"/>
    </row>
    <row r="19" spans="1:23" x14ac:dyDescent="0.25">
      <c r="A19" s="194" t="str">
        <f t="shared" si="0"/>
        <v>PRJM6015</v>
      </c>
      <c r="B19" s="195">
        <f>IFERROR(IF(VLOOKUP(A19,TableHandbook[],2,FALSE)=0,"",VLOOKUP(A19,TableHandbook[],2,FALSE)),"")</f>
        <v>1</v>
      </c>
      <c r="C19" s="195" t="str">
        <f>IFERROR(IF(VLOOKUP(A19,TableHandbook[],3,FALSE)=0,"",VLOOKUP(A19,TableHandbook[],3,FALSE)),"")</f>
        <v>PRM510</v>
      </c>
      <c r="D19" s="196" t="str">
        <f>IFERROR(VLOOKUP(A19,TableHandbook[],4,FALSE),"")</f>
        <v>Project and People</v>
      </c>
      <c r="E19" s="197"/>
      <c r="F19" s="197" t="str">
        <f>IFERROR(IF(VLOOKUP(A19,TableHandbook[],6,FALSE)=0,"",VLOOKUP(A19,TableHandbook[],6,FALSE)),"")</f>
        <v>None</v>
      </c>
      <c r="G19" s="197">
        <f>IFERROR(IF(VLOOKUP(A19,TableHandbook[],5,FALSE)=0,"",VLOOKUP(A19,TableHandbook[],5,FALSE)),"")</f>
        <v>25</v>
      </c>
      <c r="H19" s="198" t="str">
        <f>IFERROR(VLOOKUP($A19,TableHandbook[],H$2,FALSE),"")</f>
        <v/>
      </c>
      <c r="I19" s="197" t="str">
        <f>IFERROR(VLOOKUP($A19,TableHandbook[],I$2,FALSE),"")</f>
        <v>Y</v>
      </c>
      <c r="J19" s="197" t="str">
        <f>IFERROR(VLOOKUP($A19,TableHandbook[],J$2,FALSE),"")</f>
        <v/>
      </c>
      <c r="K19" s="199" t="str">
        <f>IFERROR(VLOOKUP($A19,TableHandbook[],K$2,FALSE),"")</f>
        <v>Y</v>
      </c>
      <c r="L19" s="129"/>
      <c r="M19" s="229">
        <v>4</v>
      </c>
      <c r="W19" s="35"/>
    </row>
    <row r="20" spans="1:23" x14ac:dyDescent="0.25">
      <c r="A20" s="194" t="str">
        <f t="shared" si="0"/>
        <v>SUST5011</v>
      </c>
      <c r="B20" s="195">
        <f>IFERROR(IF(VLOOKUP(A20,TableHandbook[],2,FALSE)=0,"",VLOOKUP(A20,TableHandbook[],2,FALSE)),"")</f>
        <v>1</v>
      </c>
      <c r="C20" s="195" t="str">
        <f>IFERROR(IF(VLOOKUP(A20,TableHandbook[],3,FALSE)=0,"",VLOOKUP(A20,TableHandbook[],3,FALSE)),"")</f>
        <v>SCP541</v>
      </c>
      <c r="D20" s="196" t="str">
        <f>IFERROR(VLOOKUP(A20,TableHandbook[],4,FALSE),"")</f>
        <v>Urban Design for Sustainability</v>
      </c>
      <c r="E20" s="197"/>
      <c r="F20" s="197" t="str">
        <f>IFERROR(IF(VLOOKUP(A20,TableHandbook[],6,FALSE)=0,"",VLOOKUP(A20,TableHandbook[],6,FALSE)),"")</f>
        <v>None</v>
      </c>
      <c r="G20" s="197">
        <f>IFERROR(IF(VLOOKUP(A20,TableHandbook[],5,FALSE)=0,"",VLOOKUP(A20,TableHandbook[],5,FALSE)),"")</f>
        <v>25</v>
      </c>
      <c r="H20" s="198" t="str">
        <f>IFERROR(VLOOKUP($A20,TableHandbook[],H$2,FALSE),"")</f>
        <v/>
      </c>
      <c r="I20" s="197" t="str">
        <f>IFERROR(VLOOKUP($A20,TableHandbook[],I$2,FALSE),"")</f>
        <v>Y</v>
      </c>
      <c r="J20" s="197" t="str">
        <f>IFERROR(VLOOKUP($A20,TableHandbook[],J$2,FALSE),"")</f>
        <v/>
      </c>
      <c r="K20" s="199" t="str">
        <f>IFERROR(VLOOKUP($A20,TableHandbook[],K$2,FALSE),"")</f>
        <v/>
      </c>
      <c r="L20" s="129"/>
      <c r="M20" s="229">
        <v>5</v>
      </c>
      <c r="W20" s="35"/>
    </row>
    <row r="21" spans="1:23" x14ac:dyDescent="0.25">
      <c r="A21" s="194" t="str">
        <f t="shared" si="0"/>
        <v>SUST5014</v>
      </c>
      <c r="B21" s="195">
        <f>IFERROR(IF(VLOOKUP(A21,TableHandbook[],2,FALSE)=0,"",VLOOKUP(A21,TableHandbook[],2,FALSE)),"")</f>
        <v>1</v>
      </c>
      <c r="C21" s="195" t="str">
        <f>IFERROR(IF(VLOOKUP(A21,TableHandbook[],3,FALSE)=0,"",VLOOKUP(A21,TableHandbook[],3,FALSE)),"")</f>
        <v>SCP544</v>
      </c>
      <c r="D21" s="196" t="str">
        <f>IFERROR(VLOOKUP(A21,TableHandbook[],4,FALSE),"")</f>
        <v>Leadership in Sustainability</v>
      </c>
      <c r="E21" s="197"/>
      <c r="F21" s="197" t="str">
        <f>IFERROR(IF(VLOOKUP(A21,TableHandbook[],6,FALSE)=0,"",VLOOKUP(A21,TableHandbook[],6,FALSE)),"")</f>
        <v>None</v>
      </c>
      <c r="G21" s="197">
        <f>IFERROR(IF(VLOOKUP(A21,TableHandbook[],5,FALSE)=0,"",VLOOKUP(A21,TableHandbook[],5,FALSE)),"")</f>
        <v>25</v>
      </c>
      <c r="H21" s="198" t="str">
        <f>IFERROR(VLOOKUP($A21,TableHandbook[],H$2,FALSE),"")</f>
        <v/>
      </c>
      <c r="I21" s="197" t="str">
        <f>IFERROR(VLOOKUP($A21,TableHandbook[],I$2,FALSE),"")</f>
        <v>Y</v>
      </c>
      <c r="J21" s="197" t="str">
        <f>IFERROR(VLOOKUP($A21,TableHandbook[],J$2,FALSE),"")</f>
        <v/>
      </c>
      <c r="K21" s="199" t="str">
        <f>IFERROR(VLOOKUP($A21,TableHandbook[],K$2,FALSE),"")</f>
        <v/>
      </c>
      <c r="L21" s="129"/>
      <c r="M21" s="229">
        <v>6</v>
      </c>
      <c r="W21" s="35"/>
    </row>
    <row r="22" spans="1:23" x14ac:dyDescent="0.25">
      <c r="A22" s="194" t="str">
        <f t="shared" si="0"/>
        <v>SUST5021</v>
      </c>
      <c r="B22" s="195">
        <f>IFERROR(IF(VLOOKUP(A22,TableHandbook[],2,FALSE)=0,"",VLOOKUP(A22,TableHandbook[],2,FALSE)),"")</f>
        <v>1</v>
      </c>
      <c r="C22" s="195" t="str">
        <f>IFERROR(IF(VLOOKUP(A22,TableHandbook[],3,FALSE)=0,"",VLOOKUP(A22,TableHandbook[],3,FALSE)),"")</f>
        <v>SCP549</v>
      </c>
      <c r="D22" s="196" t="str">
        <f>IFERROR(VLOOKUP(A22,TableHandbook[],4,FALSE),"")</f>
        <v>Sustainability, Climate Change and Economics</v>
      </c>
      <c r="E22" s="197"/>
      <c r="F22" s="197" t="str">
        <f>IFERROR(IF(VLOOKUP(A22,TableHandbook[],6,FALSE)=0,"",VLOOKUP(A22,TableHandbook[],6,FALSE)),"")</f>
        <v>None</v>
      </c>
      <c r="G22" s="197">
        <f>IFERROR(IF(VLOOKUP(A22,TableHandbook[],5,FALSE)=0,"",VLOOKUP(A22,TableHandbook[],5,FALSE)),"")</f>
        <v>25</v>
      </c>
      <c r="H22" s="198" t="str">
        <f>IFERROR(VLOOKUP($A22,TableHandbook[],H$2,FALSE),"")</f>
        <v/>
      </c>
      <c r="I22" s="197" t="str">
        <f>IFERROR(VLOOKUP($A22,TableHandbook[],I$2,FALSE),"")</f>
        <v/>
      </c>
      <c r="J22" s="197" t="str">
        <f>IFERROR(VLOOKUP($A22,TableHandbook[],J$2,FALSE),"")</f>
        <v/>
      </c>
      <c r="K22" s="199" t="str">
        <f>IFERROR(VLOOKUP($A22,TableHandbook[],K$2,FALSE),"")</f>
        <v>Y</v>
      </c>
      <c r="L22" s="129"/>
      <c r="M22" s="229">
        <v>7</v>
      </c>
      <c r="W22" s="35"/>
    </row>
    <row r="23" spans="1:23" x14ac:dyDescent="0.25">
      <c r="A23" s="194" t="str">
        <f t="shared" si="0"/>
        <v>URDE5015</v>
      </c>
      <c r="B23" s="195">
        <f>IFERROR(IF(VLOOKUP(A23,TableHandbook[],2,FALSE)=0,"",VLOOKUP(A23,TableHandbook[],2,FALSE)),"")</f>
        <v>3</v>
      </c>
      <c r="C23" s="195" t="str">
        <f>IFERROR(IF(VLOOKUP(A23,TableHandbook[],3,FALSE)=0,"",VLOOKUP(A23,TableHandbook[],3,FALSE)),"")</f>
        <v>URP530</v>
      </c>
      <c r="D23" s="196" t="str">
        <f>IFERROR(VLOOKUP(A23,TableHandbook[],4,FALSE),"")</f>
        <v>Planning Theory and Context</v>
      </c>
      <c r="E23" s="197"/>
      <c r="F23" s="197" t="str">
        <f>IFERROR(IF(VLOOKUP(A23,TableHandbook[],6,FALSE)=0,"",VLOOKUP(A23,TableHandbook[],6,FALSE)),"")</f>
        <v>None</v>
      </c>
      <c r="G23" s="197">
        <f>IFERROR(IF(VLOOKUP(A23,TableHandbook[],5,FALSE)=0,"",VLOOKUP(A23,TableHandbook[],5,FALSE)),"")</f>
        <v>25</v>
      </c>
      <c r="H23" s="198" t="str">
        <f>IFERROR(VLOOKUP($A23,TableHandbook[],H$2,FALSE),"")</f>
        <v/>
      </c>
      <c r="I23" s="197" t="str">
        <f>IFERROR(VLOOKUP($A23,TableHandbook[],I$2,FALSE),"")</f>
        <v>Y</v>
      </c>
      <c r="J23" s="197" t="str">
        <f>IFERROR(VLOOKUP($A23,TableHandbook[],J$2,FALSE),"")</f>
        <v/>
      </c>
      <c r="K23" s="199" t="str">
        <f>IFERROR(VLOOKUP($A23,TableHandbook[],K$2,FALSE),"")</f>
        <v>Y</v>
      </c>
      <c r="L23" s="129"/>
      <c r="M23" s="229">
        <v>8</v>
      </c>
      <c r="W23" s="35"/>
    </row>
    <row r="24" spans="1:23" x14ac:dyDescent="0.25">
      <c r="A24" s="194" t="str">
        <f t="shared" si="0"/>
        <v>URDE5016</v>
      </c>
      <c r="B24" s="195">
        <f>IFERROR(IF(VLOOKUP(A24,TableHandbook[],2,FALSE)=0,"",VLOOKUP(A24,TableHandbook[],2,FALSE)),"")</f>
        <v>1</v>
      </c>
      <c r="C24" s="195" t="str">
        <f>IFERROR(IF(VLOOKUP(A24,TableHandbook[],3,FALSE)=0,"",VLOOKUP(A24,TableHandbook[],3,FALSE)),"")</f>
        <v>URP500</v>
      </c>
      <c r="D24" s="196" t="str">
        <f>IFERROR(VLOOKUP(A24,TableHandbook[],4,FALSE),"")</f>
        <v>Planning Law</v>
      </c>
      <c r="E24" s="197"/>
      <c r="F24" s="197" t="str">
        <f>IFERROR(IF(VLOOKUP(A24,TableHandbook[],6,FALSE)=0,"",VLOOKUP(A24,TableHandbook[],6,FALSE)),"")</f>
        <v>None</v>
      </c>
      <c r="G24" s="197">
        <f>IFERROR(IF(VLOOKUP(A24,TableHandbook[],5,FALSE)=0,"",VLOOKUP(A24,TableHandbook[],5,FALSE)),"")</f>
        <v>25</v>
      </c>
      <c r="H24" s="198" t="str">
        <f>IFERROR(VLOOKUP($A24,TableHandbook[],H$2,FALSE),"")</f>
        <v>Y</v>
      </c>
      <c r="I24" s="197" t="str">
        <f>IFERROR(VLOOKUP($A24,TableHandbook[],I$2,FALSE),"")</f>
        <v/>
      </c>
      <c r="J24" s="197" t="str">
        <f>IFERROR(VLOOKUP($A24,TableHandbook[],J$2,FALSE),"")</f>
        <v>Y</v>
      </c>
      <c r="K24" s="199" t="str">
        <f>IFERROR(VLOOKUP($A24,TableHandbook[],K$2,FALSE),"")</f>
        <v/>
      </c>
      <c r="L24" s="129"/>
      <c r="M24" s="229">
        <v>9</v>
      </c>
      <c r="W24" s="35"/>
    </row>
    <row r="25" spans="1:23" x14ac:dyDescent="0.25">
      <c r="A25" s="194" t="str">
        <f t="shared" si="0"/>
        <v>URDE5017</v>
      </c>
      <c r="B25" s="195">
        <f>IFERROR(IF(VLOOKUP(A25,TableHandbook[],2,FALSE)=0,"",VLOOKUP(A25,TableHandbook[],2,FALSE)),"")</f>
        <v>2</v>
      </c>
      <c r="C25" s="195" t="str">
        <f>IFERROR(IF(VLOOKUP(A25,TableHandbook[],3,FALSE)=0,"",VLOOKUP(A25,TableHandbook[],3,FALSE)),"")</f>
        <v>URP510</v>
      </c>
      <c r="D25" s="196" t="str">
        <f>IFERROR(VLOOKUP(A25,TableHandbook[],4,FALSE),"")</f>
        <v>Planning for Regions</v>
      </c>
      <c r="E25" s="197"/>
      <c r="F25" s="197" t="str">
        <f>IFERROR(IF(VLOOKUP(A25,TableHandbook[],6,FALSE)=0,"",VLOOKUP(A25,TableHandbook[],6,FALSE)),"")</f>
        <v>None</v>
      </c>
      <c r="G25" s="197">
        <f>IFERROR(IF(VLOOKUP(A25,TableHandbook[],5,FALSE)=0,"",VLOOKUP(A25,TableHandbook[],5,FALSE)),"")</f>
        <v>25</v>
      </c>
      <c r="H25" s="198" t="str">
        <f>IFERROR(VLOOKUP($A25,TableHandbook[],H$2,FALSE),"")</f>
        <v/>
      </c>
      <c r="I25" s="197" t="str">
        <f>IFERROR(VLOOKUP($A25,TableHandbook[],I$2,FALSE),"")</f>
        <v>Y</v>
      </c>
      <c r="J25" s="197" t="str">
        <f>IFERROR(VLOOKUP($A25,TableHandbook[],J$2,FALSE),"")</f>
        <v/>
      </c>
      <c r="K25" s="199" t="str">
        <f>IFERROR(VLOOKUP($A25,TableHandbook[],K$2,FALSE),"")</f>
        <v>Y</v>
      </c>
      <c r="L25" s="129"/>
      <c r="M25" s="229">
        <v>10</v>
      </c>
      <c r="W25" s="35"/>
    </row>
    <row r="26" spans="1:23" x14ac:dyDescent="0.25">
      <c r="A26" s="194" t="str">
        <f t="shared" si="0"/>
        <v>URDE6004</v>
      </c>
      <c r="B26" s="195">
        <f>IFERROR(IF(VLOOKUP(A26,TableHandbook[],2,FALSE)=0,"",VLOOKUP(A26,TableHandbook[],2,FALSE)),"")</f>
        <v>1</v>
      </c>
      <c r="C26" s="195" t="str">
        <f>IFERROR(IF(VLOOKUP(A26,TableHandbook[],3,FALSE)=0,"",VLOOKUP(A26,TableHandbook[],3,FALSE)),"")</f>
        <v>URP640</v>
      </c>
      <c r="D26" s="196" t="str">
        <f>IFERROR(VLOOKUP(A26,TableHandbook[],4,FALSE),"")</f>
        <v>Participatory Planning</v>
      </c>
      <c r="E26" s="197"/>
      <c r="F26" s="197" t="str">
        <f>IFERROR(IF(VLOOKUP(A26,TableHandbook[],6,FALSE)=0,"",VLOOKUP(A26,TableHandbook[],6,FALSE)),"")</f>
        <v>None</v>
      </c>
      <c r="G26" s="197">
        <f>IFERROR(IF(VLOOKUP(A26,TableHandbook[],5,FALSE)=0,"",VLOOKUP(A26,TableHandbook[],5,FALSE)),"")</f>
        <v>25</v>
      </c>
      <c r="H26" s="198" t="str">
        <f>IFERROR(VLOOKUP($A26,TableHandbook[],H$2,FALSE),"")</f>
        <v/>
      </c>
      <c r="I26" s="197" t="str">
        <f>IFERROR(VLOOKUP($A26,TableHandbook[],I$2,FALSE),"")</f>
        <v>Y</v>
      </c>
      <c r="J26" s="197" t="str">
        <f>IFERROR(VLOOKUP($A26,TableHandbook[],J$2,FALSE),"")</f>
        <v/>
      </c>
      <c r="K26" s="199" t="str">
        <f>IFERROR(VLOOKUP($A26,TableHandbook[],K$2,FALSE),"")</f>
        <v>Y</v>
      </c>
      <c r="L26" s="129"/>
      <c r="M26" s="229">
        <v>11</v>
      </c>
      <c r="W26" s="35"/>
    </row>
    <row r="27" spans="1:23" x14ac:dyDescent="0.25">
      <c r="A27" s="194" t="str">
        <f t="shared" si="0"/>
        <v>WORK5001</v>
      </c>
      <c r="B27" s="195">
        <f>IFERROR(IF(VLOOKUP(A27,TableHandbook[],2,FALSE)=0,"",VLOOKUP(A27,TableHandbook[],2,FALSE)),"")</f>
        <v>1</v>
      </c>
      <c r="C27" s="195" t="str">
        <f>IFERROR(IF(VLOOKUP(A27,TableHandbook[],3,FALSE)=0,"",VLOOKUP(A27,TableHandbook[],3,FALSE)),"")</f>
        <v>WBP500</v>
      </c>
      <c r="D27" s="196" t="str">
        <f>IFERROR(VLOOKUP(A27,TableHandbook[],4,FALSE),"")</f>
        <v>Work Based Project (with approval)</v>
      </c>
      <c r="E27" s="197"/>
      <c r="F27" s="197" t="str">
        <f>IFERROR(IF(VLOOKUP(A27,TableHandbook[],6,FALSE)=0,"",VLOOKUP(A27,TableHandbook[],6,FALSE)),"")</f>
        <v>See OUA Website</v>
      </c>
      <c r="G27" s="197">
        <f>IFERROR(IF(VLOOKUP(A27,TableHandbook[],5,FALSE)=0,"",VLOOKUP(A27,TableHandbook[],5,FALSE)),"")</f>
        <v>25</v>
      </c>
      <c r="H27" s="198" t="str">
        <f>IFERROR(VLOOKUP($A27,TableHandbook[],H$2,FALSE),"")</f>
        <v/>
      </c>
      <c r="I27" s="197" t="str">
        <f>IFERROR(VLOOKUP($A27,TableHandbook[],I$2,FALSE),"")</f>
        <v/>
      </c>
      <c r="J27" s="197" t="str">
        <f>IFERROR(VLOOKUP($A27,TableHandbook[],J$2,FALSE),"")</f>
        <v/>
      </c>
      <c r="K27" s="199" t="str">
        <f>IFERROR(VLOOKUP($A27,TableHandbook[],K$2,FALSE),"")</f>
        <v/>
      </c>
      <c r="L27" s="129"/>
      <c r="M27" s="229">
        <v>12</v>
      </c>
      <c r="W27" s="35"/>
    </row>
    <row r="28" spans="1:23" ht="21" customHeight="1" x14ac:dyDescent="0.25">
      <c r="A28" s="213"/>
      <c r="B28" s="213"/>
      <c r="C28" s="213"/>
      <c r="D28" s="214"/>
      <c r="E28" s="215"/>
      <c r="F28" s="215"/>
      <c r="G28" s="215"/>
      <c r="H28" s="215"/>
      <c r="I28" s="215"/>
      <c r="J28" s="215"/>
      <c r="K28" s="215"/>
      <c r="L28" s="216"/>
      <c r="M28" s="155"/>
      <c r="W28" s="35"/>
    </row>
    <row r="29" spans="1:23" s="35" customFormat="1" ht="32.25" customHeight="1" x14ac:dyDescent="0.25">
      <c r="A29" s="243" t="s">
        <v>25</v>
      </c>
      <c r="B29" s="243"/>
      <c r="C29" s="243"/>
      <c r="D29" s="243"/>
      <c r="E29" s="243"/>
      <c r="F29" s="243"/>
      <c r="G29" s="243"/>
      <c r="H29" s="243"/>
      <c r="I29" s="243"/>
      <c r="J29" s="243"/>
      <c r="K29" s="243"/>
      <c r="L29" s="243"/>
      <c r="M29" s="155"/>
      <c r="N29" s="33"/>
      <c r="O29" s="33"/>
      <c r="P29" s="33"/>
      <c r="Q29" s="33"/>
      <c r="R29" s="33"/>
      <c r="S29" s="33"/>
      <c r="T29" s="33"/>
      <c r="U29" s="33"/>
      <c r="V29" s="33"/>
    </row>
    <row r="30" spans="1:23" s="43" customFormat="1" ht="24.95" customHeight="1" x14ac:dyDescent="0.3">
      <c r="A30" s="108" t="s">
        <v>26</v>
      </c>
      <c r="B30" s="108"/>
      <c r="C30" s="108"/>
      <c r="D30" s="109"/>
      <c r="E30" s="109"/>
      <c r="F30" s="109"/>
      <c r="G30" s="109"/>
      <c r="H30" s="109"/>
      <c r="I30" s="109"/>
      <c r="J30" s="109"/>
      <c r="K30" s="109"/>
      <c r="L30" s="109"/>
      <c r="M30" s="200"/>
      <c r="N30" s="200"/>
      <c r="O30" s="200"/>
      <c r="W30" s="42"/>
    </row>
    <row r="31" spans="1:23" s="35" customFormat="1" ht="15" customHeight="1" x14ac:dyDescent="0.25">
      <c r="A31" s="201" t="s">
        <v>27</v>
      </c>
      <c r="B31" s="201"/>
      <c r="C31" s="201"/>
      <c r="D31" s="201"/>
      <c r="E31" s="202"/>
      <c r="F31" s="179"/>
      <c r="G31" s="203"/>
      <c r="H31" s="203"/>
      <c r="I31" s="203"/>
      <c r="J31" s="203"/>
      <c r="K31" s="203"/>
      <c r="L31" s="203" t="s">
        <v>28</v>
      </c>
      <c r="M31" s="33"/>
      <c r="N31" s="33"/>
      <c r="O31" s="33"/>
      <c r="P31" s="33"/>
      <c r="Q31" s="33"/>
      <c r="R31" s="33"/>
      <c r="S31" s="33"/>
      <c r="T31" s="33"/>
      <c r="U31" s="33"/>
      <c r="V31" s="33"/>
    </row>
  </sheetData>
  <sheetProtection formatCells="0"/>
  <mergeCells count="2">
    <mergeCell ref="A3:D3"/>
    <mergeCell ref="A29:L29"/>
  </mergeCells>
  <conditionalFormatting sqref="D5:D6">
    <cfRule type="containsText" dxfId="96" priority="2" operator="containsText" text="Choose">
      <formula>NOT(ISERROR(SEARCH("Choose",D5)))</formula>
    </cfRule>
  </conditionalFormatting>
  <conditionalFormatting sqref="A17:L27 A9:L13">
    <cfRule type="expression" dxfId="95" priority="1">
      <formula>$A9=""</formula>
    </cfRule>
  </conditionalFormatting>
  <dataValidations count="1">
    <dataValidation type="list" allowBlank="1" showInputMessage="1" showErrorMessage="1" sqref="L11"/>
  </dataValidations>
  <hyperlinks>
    <hyperlink ref="A30:L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13"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Unitsets!$A$12:$A$16</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7"/>
  <sheetViews>
    <sheetView zoomScale="85" zoomScaleNormal="85" workbookViewId="0">
      <selection activeCell="D6" sqref="D6"/>
    </sheetView>
  </sheetViews>
  <sheetFormatPr defaultRowHeight="15.75" x14ac:dyDescent="0.25"/>
  <cols>
    <col min="1" max="1" width="65.875" style="15" bestFit="1" customWidth="1"/>
    <col min="2" max="2" width="10.75" style="10" bestFit="1" customWidth="1"/>
    <col min="3" max="3" width="9.875" style="10" bestFit="1" customWidth="1"/>
    <col min="4" max="4" width="19.375" style="10" bestFit="1" customWidth="1"/>
    <col min="5" max="5" width="14.25" style="10" bestFit="1" customWidth="1"/>
    <col min="6" max="6" width="13.625" style="10" bestFit="1" customWidth="1"/>
    <col min="7" max="7" width="16.5" style="10" bestFit="1" customWidth="1"/>
    <col min="8" max="8" width="14.25" style="10" bestFit="1" customWidth="1"/>
    <col min="9" max="9" width="3.625" customWidth="1"/>
    <col min="10" max="10" width="9.375" bestFit="1" customWidth="1"/>
    <col min="11" max="11" width="14" bestFit="1" customWidth="1"/>
    <col min="12" max="12" width="9.625" customWidth="1"/>
    <col min="13" max="13" width="7.625" customWidth="1"/>
    <col min="14" max="14" width="5" bestFit="1" customWidth="1"/>
    <col min="15" max="15" width="7.625" customWidth="1"/>
    <col min="16" max="16" width="5" bestFit="1" customWidth="1"/>
    <col min="17" max="17" width="7.625" customWidth="1"/>
    <col min="18" max="18" width="5" bestFit="1" customWidth="1"/>
    <col min="19" max="19" width="7.625" customWidth="1"/>
    <col min="20" max="20" width="5" bestFit="1" customWidth="1"/>
    <col min="21" max="21" width="7.625" customWidth="1"/>
    <col min="22" max="22" width="5" bestFit="1" customWidth="1"/>
    <col min="23" max="23" width="7.625" customWidth="1"/>
    <col min="24" max="24" width="5" bestFit="1" customWidth="1"/>
    <col min="25" max="25" width="7.625" customWidth="1"/>
    <col min="26" max="26" width="5" customWidth="1"/>
    <col min="27" max="27" width="7.625" customWidth="1"/>
    <col min="28" max="28" width="5" bestFit="1" customWidth="1"/>
    <col min="29" max="29" width="7.625" customWidth="1"/>
    <col min="30" max="30" width="5" bestFit="1" customWidth="1"/>
    <col min="31" max="31" width="7.625" customWidth="1"/>
    <col min="32" max="32" width="5" bestFit="1" customWidth="1"/>
    <col min="33" max="33" width="7.625" customWidth="1"/>
    <col min="34" max="34" width="6" customWidth="1"/>
    <col min="36" max="36" width="20.875" bestFit="1" customWidth="1"/>
  </cols>
  <sheetData>
    <row r="1" spans="1:39" x14ac:dyDescent="0.25">
      <c r="A1" s="17" t="s">
        <v>29</v>
      </c>
      <c r="B1" s="18"/>
      <c r="C1" s="18"/>
      <c r="D1" s="18"/>
    </row>
    <row r="2" spans="1:39" x14ac:dyDescent="0.25">
      <c r="J2" s="49"/>
      <c r="K2" s="12"/>
      <c r="L2" s="12"/>
      <c r="M2" s="12"/>
      <c r="N2" s="12"/>
      <c r="O2" s="12"/>
      <c r="P2" s="12"/>
      <c r="Q2" s="12"/>
      <c r="R2" s="12"/>
      <c r="S2" s="12"/>
      <c r="T2" s="12"/>
      <c r="U2" s="12"/>
      <c r="V2" s="12"/>
      <c r="W2" s="12"/>
      <c r="X2" s="12"/>
      <c r="Y2" s="12"/>
      <c r="Z2" s="12"/>
      <c r="AA2" s="12"/>
      <c r="AB2" s="12"/>
      <c r="AC2" s="12"/>
      <c r="AD2" s="12"/>
      <c r="AE2" s="12"/>
      <c r="AF2" s="13"/>
      <c r="AG2" s="12"/>
      <c r="AH2" s="13"/>
      <c r="AI2" s="25"/>
      <c r="AJ2" s="25"/>
      <c r="AK2" s="25"/>
      <c r="AL2" s="25"/>
      <c r="AM2" s="25"/>
    </row>
    <row r="3" spans="1:39" x14ac:dyDescent="0.25">
      <c r="H3" s="98" t="s">
        <v>31</v>
      </c>
      <c r="I3" s="2">
        <v>1</v>
      </c>
      <c r="J3" s="1"/>
      <c r="K3" s="69" t="s">
        <v>32</v>
      </c>
      <c r="L3" s="1"/>
      <c r="M3" s="69" t="s">
        <v>33</v>
      </c>
      <c r="N3" s="1"/>
      <c r="O3" s="69" t="s">
        <v>34</v>
      </c>
      <c r="P3" s="1"/>
      <c r="Q3" s="69" t="s">
        <v>35</v>
      </c>
      <c r="R3" s="1"/>
      <c r="S3" s="69" t="s">
        <v>36</v>
      </c>
      <c r="T3" s="1"/>
      <c r="U3" s="69" t="s">
        <v>37</v>
      </c>
      <c r="V3" s="1"/>
      <c r="W3" s="69" t="s">
        <v>38</v>
      </c>
      <c r="X3" s="1"/>
      <c r="Y3" s="69" t="s">
        <v>39</v>
      </c>
      <c r="Z3" s="1"/>
      <c r="AA3" s="14" t="s">
        <v>40</v>
      </c>
      <c r="AB3" s="1"/>
      <c r="AC3" s="14" t="s">
        <v>30</v>
      </c>
      <c r="AD3" s="1"/>
      <c r="AE3" s="14" t="s">
        <v>41</v>
      </c>
      <c r="AF3" s="57"/>
      <c r="AG3" s="58" t="s">
        <v>42</v>
      </c>
      <c r="AH3" s="50"/>
      <c r="AI3" s="25"/>
      <c r="AJ3" s="25"/>
      <c r="AK3" s="25"/>
      <c r="AL3" s="25"/>
      <c r="AM3" s="25"/>
    </row>
    <row r="4" spans="1:39" x14ac:dyDescent="0.25">
      <c r="I4" s="21">
        <v>2</v>
      </c>
      <c r="J4" s="60" t="s">
        <v>44</v>
      </c>
      <c r="K4" s="95" t="s">
        <v>45</v>
      </c>
      <c r="L4" s="60" t="s">
        <v>46</v>
      </c>
      <c r="M4" s="95" t="s">
        <v>47</v>
      </c>
      <c r="N4" s="60" t="s">
        <v>48</v>
      </c>
      <c r="O4" s="95" t="s">
        <v>45</v>
      </c>
      <c r="P4" s="60" t="s">
        <v>49</v>
      </c>
      <c r="Q4" s="95" t="s">
        <v>47</v>
      </c>
      <c r="R4" s="60" t="s">
        <v>44</v>
      </c>
      <c r="S4" s="95" t="s">
        <v>45</v>
      </c>
      <c r="T4" s="60" t="s">
        <v>46</v>
      </c>
      <c r="U4" s="95" t="s">
        <v>47</v>
      </c>
      <c r="V4" s="60" t="s">
        <v>48</v>
      </c>
      <c r="W4" s="95" t="s">
        <v>45</v>
      </c>
      <c r="X4" s="60" t="s">
        <v>49</v>
      </c>
      <c r="Y4" s="95" t="s">
        <v>47</v>
      </c>
      <c r="Z4" s="60" t="s">
        <v>44</v>
      </c>
      <c r="AA4" s="124" t="s">
        <v>45</v>
      </c>
      <c r="AB4" s="60" t="s">
        <v>46</v>
      </c>
      <c r="AC4" s="124" t="s">
        <v>47</v>
      </c>
      <c r="AD4" s="60" t="s">
        <v>48</v>
      </c>
      <c r="AE4" s="124" t="s">
        <v>45</v>
      </c>
      <c r="AF4" s="54" t="s">
        <v>49</v>
      </c>
      <c r="AG4" s="64" t="s">
        <v>47</v>
      </c>
      <c r="AH4" s="2"/>
      <c r="AI4" s="25"/>
      <c r="AJ4" s="25"/>
      <c r="AK4" s="25"/>
      <c r="AL4" s="25"/>
      <c r="AM4" s="25"/>
    </row>
    <row r="5" spans="1:39" x14ac:dyDescent="0.25">
      <c r="I5" s="21">
        <v>3</v>
      </c>
      <c r="J5" s="53" t="s">
        <v>44</v>
      </c>
      <c r="K5" s="70" t="s">
        <v>50</v>
      </c>
      <c r="L5" s="53" t="s">
        <v>46</v>
      </c>
      <c r="M5" s="70" t="s">
        <v>51</v>
      </c>
      <c r="N5" s="53" t="s">
        <v>48</v>
      </c>
      <c r="O5" s="70" t="s">
        <v>50</v>
      </c>
      <c r="P5" s="53" t="s">
        <v>49</v>
      </c>
      <c r="Q5" s="70" t="s">
        <v>51</v>
      </c>
      <c r="R5" s="53" t="s">
        <v>44</v>
      </c>
      <c r="S5" s="70" t="s">
        <v>50</v>
      </c>
      <c r="T5" s="53" t="s">
        <v>46</v>
      </c>
      <c r="U5" s="70" t="s">
        <v>52</v>
      </c>
      <c r="V5" s="53" t="s">
        <v>48</v>
      </c>
      <c r="W5" s="70" t="s">
        <v>50</v>
      </c>
      <c r="X5" s="53" t="s">
        <v>49</v>
      </c>
      <c r="Y5" s="70" t="s">
        <v>52</v>
      </c>
      <c r="Z5" s="53" t="s">
        <v>44</v>
      </c>
      <c r="AA5" s="3" t="s">
        <v>50</v>
      </c>
      <c r="AB5" s="53" t="s">
        <v>46</v>
      </c>
      <c r="AC5" s="3" t="s">
        <v>52</v>
      </c>
      <c r="AD5" s="53" t="s">
        <v>48</v>
      </c>
      <c r="AE5" s="3" t="s">
        <v>50</v>
      </c>
      <c r="AF5" s="55" t="s">
        <v>49</v>
      </c>
      <c r="AG5" s="65" t="s">
        <v>52</v>
      </c>
      <c r="AH5" s="2"/>
      <c r="AI5" s="25"/>
      <c r="AJ5" s="25"/>
      <c r="AK5" s="25"/>
      <c r="AL5" s="25"/>
      <c r="AM5" s="25"/>
    </row>
    <row r="6" spans="1:39" x14ac:dyDescent="0.25">
      <c r="A6" s="10" t="s">
        <v>185</v>
      </c>
      <c r="B6" s="15" t="s">
        <v>0</v>
      </c>
      <c r="C6" s="10" t="s">
        <v>53</v>
      </c>
      <c r="D6" s="10" t="s">
        <v>54</v>
      </c>
      <c r="E6" s="10" t="s">
        <v>55</v>
      </c>
      <c r="F6" s="10" t="s">
        <v>183</v>
      </c>
      <c r="G6" s="10" t="s">
        <v>6</v>
      </c>
      <c r="I6" s="21">
        <v>4</v>
      </c>
      <c r="J6" s="53" t="s">
        <v>46</v>
      </c>
      <c r="K6" s="70" t="s">
        <v>47</v>
      </c>
      <c r="L6" s="53" t="s">
        <v>48</v>
      </c>
      <c r="M6" s="70" t="s">
        <v>45</v>
      </c>
      <c r="N6" s="53" t="s">
        <v>49</v>
      </c>
      <c r="O6" s="70" t="s">
        <v>47</v>
      </c>
      <c r="P6" s="53" t="s">
        <v>44</v>
      </c>
      <c r="Q6" s="70" t="s">
        <v>45</v>
      </c>
      <c r="R6" s="53" t="s">
        <v>46</v>
      </c>
      <c r="S6" s="70" t="s">
        <v>47</v>
      </c>
      <c r="T6" s="53" t="s">
        <v>48</v>
      </c>
      <c r="U6" s="70" t="s">
        <v>45</v>
      </c>
      <c r="V6" s="53" t="s">
        <v>49</v>
      </c>
      <c r="W6" s="70" t="s">
        <v>47</v>
      </c>
      <c r="X6" s="53" t="s">
        <v>44</v>
      </c>
      <c r="Y6" s="70" t="s">
        <v>45</v>
      </c>
      <c r="Z6" s="53" t="s">
        <v>46</v>
      </c>
      <c r="AA6" s="3" t="s">
        <v>47</v>
      </c>
      <c r="AB6" s="53" t="s">
        <v>48</v>
      </c>
      <c r="AC6" s="3" t="s">
        <v>45</v>
      </c>
      <c r="AD6" s="53" t="s">
        <v>49</v>
      </c>
      <c r="AE6" s="3" t="s">
        <v>47</v>
      </c>
      <c r="AF6" s="55" t="s">
        <v>44</v>
      </c>
      <c r="AG6" s="65" t="s">
        <v>45</v>
      </c>
      <c r="AH6" s="2"/>
      <c r="AI6" s="25"/>
      <c r="AJ6" s="25"/>
      <c r="AK6" s="25"/>
      <c r="AL6" s="25"/>
      <c r="AM6" s="25"/>
    </row>
    <row r="7" spans="1:39" x14ac:dyDescent="0.25">
      <c r="A7" s="10" t="s">
        <v>56</v>
      </c>
      <c r="B7" s="235" t="s">
        <v>57</v>
      </c>
      <c r="C7" s="11" t="s">
        <v>58</v>
      </c>
      <c r="D7" s="11" t="s">
        <v>59</v>
      </c>
      <c r="E7" s="204">
        <v>44013</v>
      </c>
      <c r="F7" s="204">
        <v>44562</v>
      </c>
      <c r="G7" s="11" t="s">
        <v>194</v>
      </c>
      <c r="I7" s="21">
        <v>5</v>
      </c>
      <c r="J7" s="53" t="s">
        <v>46</v>
      </c>
      <c r="K7" s="70" t="s">
        <v>51</v>
      </c>
      <c r="L7" s="53" t="s">
        <v>48</v>
      </c>
      <c r="M7" s="70" t="s">
        <v>50</v>
      </c>
      <c r="N7" s="53" t="s">
        <v>49</v>
      </c>
      <c r="O7" s="70" t="s">
        <v>51</v>
      </c>
      <c r="P7" s="53" t="s">
        <v>44</v>
      </c>
      <c r="Q7" s="70" t="s">
        <v>50</v>
      </c>
      <c r="R7" s="53" t="s">
        <v>46</v>
      </c>
      <c r="S7" s="70" t="s">
        <v>52</v>
      </c>
      <c r="T7" s="53" t="s">
        <v>48</v>
      </c>
      <c r="U7" s="70" t="s">
        <v>50</v>
      </c>
      <c r="V7" s="53" t="s">
        <v>49</v>
      </c>
      <c r="W7" s="70" t="s">
        <v>52</v>
      </c>
      <c r="X7" s="53" t="s">
        <v>44</v>
      </c>
      <c r="Y7" s="70" t="s">
        <v>50</v>
      </c>
      <c r="Z7" s="53" t="s">
        <v>46</v>
      </c>
      <c r="AA7" s="3" t="s">
        <v>52</v>
      </c>
      <c r="AB7" s="53" t="s">
        <v>48</v>
      </c>
      <c r="AC7" s="3" t="s">
        <v>50</v>
      </c>
      <c r="AD7" s="53" t="s">
        <v>49</v>
      </c>
      <c r="AE7" s="3" t="s">
        <v>52</v>
      </c>
      <c r="AF7" s="55" t="s">
        <v>44</v>
      </c>
      <c r="AG7" s="65" t="s">
        <v>50</v>
      </c>
      <c r="AH7" s="2"/>
      <c r="AI7" s="7"/>
      <c r="AJ7" s="6"/>
      <c r="AK7" s="7"/>
      <c r="AL7" s="7"/>
    </row>
    <row r="8" spans="1:39" x14ac:dyDescent="0.25">
      <c r="A8" s="10" t="s">
        <v>60</v>
      </c>
      <c r="B8" s="235" t="s">
        <v>61</v>
      </c>
      <c r="C8" s="11" t="s">
        <v>58</v>
      </c>
      <c r="D8" s="11" t="s">
        <v>62</v>
      </c>
      <c r="E8" s="204">
        <v>44013</v>
      </c>
      <c r="F8" s="204">
        <v>44562</v>
      </c>
      <c r="G8" s="11" t="s">
        <v>194</v>
      </c>
      <c r="I8" s="21">
        <v>6</v>
      </c>
      <c r="J8" s="60"/>
      <c r="K8" s="95"/>
      <c r="L8" s="60"/>
      <c r="M8" s="95"/>
      <c r="N8" s="60"/>
      <c r="O8" s="95"/>
      <c r="P8" s="60"/>
      <c r="Q8" s="95"/>
      <c r="R8" s="71" t="s">
        <v>48</v>
      </c>
      <c r="S8" s="122" t="s">
        <v>63</v>
      </c>
      <c r="T8" s="71" t="s">
        <v>49</v>
      </c>
      <c r="U8" s="122" t="s">
        <v>64</v>
      </c>
      <c r="V8" s="71" t="s">
        <v>44</v>
      </c>
      <c r="W8" s="122" t="s">
        <v>63</v>
      </c>
      <c r="X8" s="71" t="s">
        <v>46</v>
      </c>
      <c r="Y8" s="122" t="s">
        <v>64</v>
      </c>
      <c r="Z8" s="54" t="s">
        <v>48</v>
      </c>
      <c r="AA8" s="59" t="s">
        <v>63</v>
      </c>
      <c r="AB8" s="54" t="s">
        <v>49</v>
      </c>
      <c r="AC8" s="59" t="s">
        <v>64</v>
      </c>
      <c r="AD8" s="54" t="s">
        <v>44</v>
      </c>
      <c r="AE8" s="59" t="s">
        <v>63</v>
      </c>
      <c r="AF8" s="54" t="s">
        <v>46</v>
      </c>
      <c r="AG8" s="64" t="s">
        <v>64</v>
      </c>
      <c r="AH8" s="2"/>
      <c r="AI8" s="7"/>
      <c r="AJ8" s="6"/>
      <c r="AK8" s="24"/>
      <c r="AL8" s="7"/>
    </row>
    <row r="9" spans="1:39" x14ac:dyDescent="0.25">
      <c r="A9" s="10" t="s">
        <v>65</v>
      </c>
      <c r="B9" s="235" t="s">
        <v>66</v>
      </c>
      <c r="C9" s="11" t="s">
        <v>67</v>
      </c>
      <c r="D9" s="11" t="s">
        <v>68</v>
      </c>
      <c r="E9" s="204">
        <v>44927</v>
      </c>
      <c r="F9" s="204">
        <v>44927</v>
      </c>
      <c r="G9" s="11" t="s">
        <v>194</v>
      </c>
      <c r="I9" s="21">
        <v>7</v>
      </c>
      <c r="J9" s="53"/>
      <c r="K9" s="70"/>
      <c r="L9" s="53"/>
      <c r="M9" s="70"/>
      <c r="N9" s="53"/>
      <c r="O9" s="70"/>
      <c r="P9" s="53"/>
      <c r="Q9" s="70"/>
      <c r="R9" s="53" t="s">
        <v>48</v>
      </c>
      <c r="S9" s="70" t="s">
        <v>51</v>
      </c>
      <c r="T9" s="53" t="s">
        <v>49</v>
      </c>
      <c r="U9" s="70" t="s">
        <v>51</v>
      </c>
      <c r="V9" s="53" t="s">
        <v>44</v>
      </c>
      <c r="W9" s="70" t="s">
        <v>51</v>
      </c>
      <c r="X9" s="53" t="s">
        <v>46</v>
      </c>
      <c r="Y9" s="70" t="s">
        <v>51</v>
      </c>
      <c r="Z9" s="55" t="s">
        <v>48</v>
      </c>
      <c r="AA9" s="3" t="s">
        <v>69</v>
      </c>
      <c r="AB9" s="55" t="s">
        <v>49</v>
      </c>
      <c r="AC9" s="3" t="s">
        <v>51</v>
      </c>
      <c r="AD9" s="55" t="s">
        <v>44</v>
      </c>
      <c r="AE9" s="3" t="s">
        <v>69</v>
      </c>
      <c r="AF9" s="55" t="s">
        <v>46</v>
      </c>
      <c r="AG9" s="65" t="s">
        <v>51</v>
      </c>
      <c r="AH9" s="2"/>
      <c r="AK9" s="7"/>
      <c r="AL9" s="7"/>
    </row>
    <row r="10" spans="1:39" x14ac:dyDescent="0.25">
      <c r="I10" s="21">
        <v>8</v>
      </c>
      <c r="J10" s="53"/>
      <c r="K10" s="70"/>
      <c r="L10" s="53"/>
      <c r="M10" s="70"/>
      <c r="N10" s="53"/>
      <c r="O10" s="70"/>
      <c r="P10" s="53"/>
      <c r="Q10" s="70"/>
      <c r="R10" s="53" t="s">
        <v>49</v>
      </c>
      <c r="S10" s="70" t="s">
        <v>64</v>
      </c>
      <c r="T10" s="53" t="s">
        <v>44</v>
      </c>
      <c r="U10" s="70" t="s">
        <v>63</v>
      </c>
      <c r="V10" s="53" t="s">
        <v>46</v>
      </c>
      <c r="W10" s="70" t="s">
        <v>64</v>
      </c>
      <c r="X10" s="53" t="s">
        <v>48</v>
      </c>
      <c r="Y10" s="70" t="s">
        <v>63</v>
      </c>
      <c r="Z10" s="55" t="s">
        <v>49</v>
      </c>
      <c r="AA10" s="3" t="s">
        <v>64</v>
      </c>
      <c r="AB10" s="55" t="s">
        <v>44</v>
      </c>
      <c r="AC10" s="3" t="s">
        <v>63</v>
      </c>
      <c r="AD10" s="55" t="s">
        <v>46</v>
      </c>
      <c r="AE10" s="3" t="s">
        <v>64</v>
      </c>
      <c r="AF10" s="55" t="s">
        <v>48</v>
      </c>
      <c r="AG10" s="65" t="s">
        <v>63</v>
      </c>
      <c r="AH10" s="2"/>
      <c r="AK10" s="7"/>
      <c r="AL10" s="7"/>
    </row>
    <row r="11" spans="1:39" x14ac:dyDescent="0.25">
      <c r="I11" s="21">
        <v>9</v>
      </c>
      <c r="J11" s="53"/>
      <c r="K11" s="70"/>
      <c r="L11" s="53"/>
      <c r="M11" s="70"/>
      <c r="N11" s="53"/>
      <c r="O11" s="70"/>
      <c r="P11" s="53"/>
      <c r="Q11" s="70"/>
      <c r="R11" s="53" t="s">
        <v>49</v>
      </c>
      <c r="S11" s="70" t="s">
        <v>51</v>
      </c>
      <c r="T11" s="72" t="s">
        <v>44</v>
      </c>
      <c r="U11" s="123" t="s">
        <v>51</v>
      </c>
      <c r="V11" s="72" t="s">
        <v>46</v>
      </c>
      <c r="W11" s="123" t="s">
        <v>51</v>
      </c>
      <c r="X11" s="72" t="s">
        <v>48</v>
      </c>
      <c r="Y11" s="123" t="s">
        <v>51</v>
      </c>
      <c r="Z11" s="56" t="s">
        <v>49</v>
      </c>
      <c r="AA11" s="61" t="s">
        <v>51</v>
      </c>
      <c r="AB11" s="56" t="s">
        <v>44</v>
      </c>
      <c r="AC11" s="61" t="s">
        <v>69</v>
      </c>
      <c r="AD11" s="56" t="s">
        <v>46</v>
      </c>
      <c r="AE11" s="61" t="s">
        <v>51</v>
      </c>
      <c r="AF11" s="55" t="s">
        <v>48</v>
      </c>
      <c r="AG11" s="65" t="s">
        <v>69</v>
      </c>
      <c r="AH11" s="2"/>
      <c r="AK11" s="7"/>
      <c r="AL11" s="7"/>
    </row>
    <row r="12" spans="1:39" x14ac:dyDescent="0.25">
      <c r="A12" s="16" t="s">
        <v>184</v>
      </c>
      <c r="B12" s="19" t="s">
        <v>70</v>
      </c>
      <c r="C12" s="10" t="s">
        <v>71</v>
      </c>
      <c r="D12" s="10" t="s">
        <v>72</v>
      </c>
      <c r="E12" s="10" t="s">
        <v>73</v>
      </c>
      <c r="I12" s="21">
        <v>10</v>
      </c>
      <c r="J12" s="53"/>
      <c r="K12" s="70"/>
      <c r="L12" s="53"/>
      <c r="M12" s="70"/>
      <c r="N12" s="53"/>
      <c r="O12" s="70"/>
      <c r="P12" s="53"/>
      <c r="Q12" s="3"/>
      <c r="R12" s="60"/>
      <c r="S12" s="95"/>
      <c r="T12" s="60"/>
      <c r="U12" s="95"/>
      <c r="V12" s="60"/>
      <c r="W12" s="95"/>
      <c r="X12" s="60"/>
      <c r="Y12" s="95"/>
      <c r="Z12" s="53" t="s">
        <v>74</v>
      </c>
      <c r="AA12" s="3" t="s">
        <v>75</v>
      </c>
      <c r="AB12" s="53" t="s">
        <v>76</v>
      </c>
      <c r="AC12" s="3" t="s">
        <v>77</v>
      </c>
      <c r="AD12" s="53" t="s">
        <v>78</v>
      </c>
      <c r="AE12" s="3" t="s">
        <v>75</v>
      </c>
      <c r="AF12" s="54" t="s">
        <v>79</v>
      </c>
      <c r="AG12" s="64" t="s">
        <v>80</v>
      </c>
      <c r="AH12" s="3"/>
      <c r="AK12" s="7"/>
      <c r="AL12" s="7"/>
    </row>
    <row r="13" spans="1:39" x14ac:dyDescent="0.25">
      <c r="A13" s="10" t="s">
        <v>81</v>
      </c>
      <c r="B13" s="11" t="s">
        <v>18</v>
      </c>
      <c r="C13" s="11" t="s">
        <v>19</v>
      </c>
      <c r="D13" s="11" t="s">
        <v>20</v>
      </c>
      <c r="E13" s="11" t="s">
        <v>21</v>
      </c>
      <c r="I13" s="21">
        <v>11</v>
      </c>
      <c r="J13" s="53"/>
      <c r="K13" s="70"/>
      <c r="L13" s="53"/>
      <c r="M13" s="70"/>
      <c r="N13" s="53"/>
      <c r="O13" s="70"/>
      <c r="P13" s="53"/>
      <c r="Q13" s="3"/>
      <c r="R13" s="53"/>
      <c r="S13" s="70"/>
      <c r="T13" s="53"/>
      <c r="U13" s="70"/>
      <c r="V13" s="53"/>
      <c r="W13" s="70"/>
      <c r="X13" s="53"/>
      <c r="Y13" s="70"/>
      <c r="Z13" s="53" t="s">
        <v>74</v>
      </c>
      <c r="AA13" s="3" t="s">
        <v>51</v>
      </c>
      <c r="AB13" s="53" t="s">
        <v>76</v>
      </c>
      <c r="AC13" s="3" t="s">
        <v>51</v>
      </c>
      <c r="AD13" s="53" t="s">
        <v>78</v>
      </c>
      <c r="AE13" s="3" t="s">
        <v>51</v>
      </c>
      <c r="AF13" s="55" t="s">
        <v>79</v>
      </c>
      <c r="AG13" s="65" t="s">
        <v>51</v>
      </c>
      <c r="AH13" s="3"/>
      <c r="AK13" s="7"/>
      <c r="AL13" s="7"/>
    </row>
    <row r="14" spans="1:39" x14ac:dyDescent="0.25">
      <c r="A14" s="10" t="s">
        <v>82</v>
      </c>
      <c r="B14" s="11" t="s">
        <v>19</v>
      </c>
      <c r="C14" s="11" t="s">
        <v>20</v>
      </c>
      <c r="D14" s="11" t="s">
        <v>21</v>
      </c>
      <c r="E14" s="11" t="s">
        <v>18</v>
      </c>
      <c r="I14" s="21">
        <v>12</v>
      </c>
      <c r="J14" s="53"/>
      <c r="K14" s="70"/>
      <c r="L14" s="53"/>
      <c r="M14" s="70"/>
      <c r="N14" s="53"/>
      <c r="O14" s="70"/>
      <c r="P14" s="53"/>
      <c r="Q14" s="3"/>
      <c r="R14" s="53"/>
      <c r="S14" s="70"/>
      <c r="T14" s="53"/>
      <c r="U14" s="70"/>
      <c r="V14" s="53"/>
      <c r="W14" s="70"/>
      <c r="X14" s="53"/>
      <c r="Y14" s="70"/>
      <c r="Z14" s="53" t="s">
        <v>76</v>
      </c>
      <c r="AA14" s="3" t="s">
        <v>77</v>
      </c>
      <c r="AB14" s="53" t="s">
        <v>78</v>
      </c>
      <c r="AC14" s="3" t="s">
        <v>75</v>
      </c>
      <c r="AD14" s="53" t="s">
        <v>79</v>
      </c>
      <c r="AE14" s="3" t="s">
        <v>80</v>
      </c>
      <c r="AF14" s="55" t="s">
        <v>74</v>
      </c>
      <c r="AG14" s="65" t="s">
        <v>75</v>
      </c>
      <c r="AH14" s="3"/>
      <c r="AK14" s="7"/>
      <c r="AL14" s="7"/>
    </row>
    <row r="15" spans="1:39" x14ac:dyDescent="0.25">
      <c r="A15" s="10" t="s">
        <v>83</v>
      </c>
      <c r="B15" s="11" t="s">
        <v>20</v>
      </c>
      <c r="C15" s="11" t="s">
        <v>21</v>
      </c>
      <c r="D15" s="11" t="s">
        <v>18</v>
      </c>
      <c r="E15" s="11" t="s">
        <v>19</v>
      </c>
      <c r="I15" s="21">
        <v>13</v>
      </c>
      <c r="J15" s="53"/>
      <c r="K15" s="70"/>
      <c r="L15" s="53"/>
      <c r="M15" s="70"/>
      <c r="N15" s="53"/>
      <c r="O15" s="70"/>
      <c r="P15" s="53"/>
      <c r="Q15" s="3"/>
      <c r="R15" s="53"/>
      <c r="S15" s="70"/>
      <c r="T15" s="53"/>
      <c r="U15" s="70"/>
      <c r="V15" s="53"/>
      <c r="W15" s="70"/>
      <c r="X15" s="53"/>
      <c r="Y15" s="70"/>
      <c r="Z15" s="53" t="s">
        <v>76</v>
      </c>
      <c r="AA15" s="3" t="s">
        <v>51</v>
      </c>
      <c r="AB15" s="53" t="s">
        <v>78</v>
      </c>
      <c r="AC15" s="3" t="s">
        <v>51</v>
      </c>
      <c r="AD15" s="53" t="s">
        <v>79</v>
      </c>
      <c r="AE15" s="3" t="s">
        <v>51</v>
      </c>
      <c r="AF15" s="55" t="s">
        <v>74</v>
      </c>
      <c r="AG15" s="65" t="s">
        <v>51</v>
      </c>
      <c r="AH15" s="3"/>
      <c r="AK15" s="7"/>
      <c r="AL15" s="7"/>
    </row>
    <row r="16" spans="1:39" x14ac:dyDescent="0.25">
      <c r="A16" s="10" t="s">
        <v>84</v>
      </c>
      <c r="B16" s="11" t="s">
        <v>21</v>
      </c>
      <c r="C16" s="11" t="s">
        <v>18</v>
      </c>
      <c r="D16" s="11" t="s">
        <v>19</v>
      </c>
      <c r="E16" s="11" t="s">
        <v>20</v>
      </c>
      <c r="F16" s="20"/>
      <c r="G16" s="20"/>
      <c r="I16" s="21">
        <v>14</v>
      </c>
      <c r="J16" s="53"/>
      <c r="K16" s="70"/>
      <c r="L16" s="53"/>
      <c r="M16" s="70"/>
      <c r="N16" s="53"/>
      <c r="O16" s="70"/>
      <c r="P16" s="53"/>
      <c r="Q16" s="3"/>
      <c r="R16" s="53"/>
      <c r="S16" s="70"/>
      <c r="T16" s="53"/>
      <c r="U16" s="70"/>
      <c r="V16" s="53"/>
      <c r="W16" s="70"/>
      <c r="X16" s="53"/>
      <c r="Y16" s="70"/>
      <c r="Z16" s="54" t="s">
        <v>48</v>
      </c>
      <c r="AA16" s="100" t="s">
        <v>85</v>
      </c>
      <c r="AB16" s="54" t="s">
        <v>49</v>
      </c>
      <c r="AC16" s="64" t="s">
        <v>80</v>
      </c>
      <c r="AD16" s="54" t="s">
        <v>44</v>
      </c>
      <c r="AE16" s="100" t="s">
        <v>85</v>
      </c>
      <c r="AF16" s="59" t="s">
        <v>46</v>
      </c>
      <c r="AG16" s="64" t="s">
        <v>77</v>
      </c>
      <c r="AH16" s="3"/>
      <c r="AI16" s="7"/>
      <c r="AJ16" s="9"/>
      <c r="AK16" s="7"/>
      <c r="AL16" s="7"/>
    </row>
    <row r="17" spans="1:38" x14ac:dyDescent="0.25">
      <c r="C17"/>
      <c r="I17" s="21">
        <v>15</v>
      </c>
      <c r="J17" s="53"/>
      <c r="K17" s="70"/>
      <c r="L17" s="53"/>
      <c r="M17" s="70"/>
      <c r="N17" s="53"/>
      <c r="O17" s="70"/>
      <c r="P17" s="53"/>
      <c r="Q17" s="3"/>
      <c r="R17" s="53"/>
      <c r="S17" s="70"/>
      <c r="T17" s="53"/>
      <c r="U17" s="70"/>
      <c r="V17" s="53"/>
      <c r="W17" s="70"/>
      <c r="X17" s="53"/>
      <c r="Y17" s="70"/>
      <c r="Z17" s="55" t="s">
        <v>48</v>
      </c>
      <c r="AA17" s="101" t="s">
        <v>86</v>
      </c>
      <c r="AB17" s="55" t="s">
        <v>49</v>
      </c>
      <c r="AC17" s="65" t="s">
        <v>87</v>
      </c>
      <c r="AD17" s="55" t="s">
        <v>44</v>
      </c>
      <c r="AE17" s="101" t="s">
        <v>86</v>
      </c>
      <c r="AF17" s="3" t="s">
        <v>46</v>
      </c>
      <c r="AG17" s="65" t="s">
        <v>87</v>
      </c>
      <c r="AH17" s="3"/>
      <c r="AI17" s="7"/>
      <c r="AJ17" s="9"/>
      <c r="AK17" s="7"/>
      <c r="AL17" s="7"/>
    </row>
    <row r="18" spans="1:38" x14ac:dyDescent="0.25">
      <c r="A18"/>
      <c r="B18"/>
      <c r="C18"/>
      <c r="D18"/>
      <c r="E18" s="6"/>
      <c r="I18" s="21">
        <v>16</v>
      </c>
      <c r="J18" s="53"/>
      <c r="K18" s="70"/>
      <c r="L18" s="53"/>
      <c r="M18" s="70"/>
      <c r="N18" s="53"/>
      <c r="O18" s="70"/>
      <c r="P18" s="53"/>
      <c r="Q18" s="3"/>
      <c r="R18" s="53"/>
      <c r="S18" s="70"/>
      <c r="T18" s="53"/>
      <c r="U18" s="70"/>
      <c r="V18" s="53"/>
      <c r="W18" s="70"/>
      <c r="X18" s="53"/>
      <c r="Y18" s="70"/>
      <c r="Z18" s="55" t="s">
        <v>49</v>
      </c>
      <c r="AA18" s="65" t="s">
        <v>80</v>
      </c>
      <c r="AB18" s="55" t="s">
        <v>44</v>
      </c>
      <c r="AC18" s="101" t="s">
        <v>85</v>
      </c>
      <c r="AD18" s="55" t="s">
        <v>46</v>
      </c>
      <c r="AE18" s="65" t="s">
        <v>77</v>
      </c>
      <c r="AF18" s="3" t="s">
        <v>48</v>
      </c>
      <c r="AG18" s="101" t="s">
        <v>85</v>
      </c>
      <c r="AH18" s="3"/>
      <c r="AI18" s="7"/>
      <c r="AJ18" s="9"/>
      <c r="AK18" s="7"/>
      <c r="AL18" s="7"/>
    </row>
    <row r="19" spans="1:38" x14ac:dyDescent="0.25">
      <c r="A19"/>
      <c r="B19"/>
      <c r="C19"/>
      <c r="D19"/>
      <c r="I19" s="21">
        <v>17</v>
      </c>
      <c r="J19" s="73"/>
      <c r="K19" s="74"/>
      <c r="L19" s="73"/>
      <c r="M19" s="74"/>
      <c r="N19" s="73"/>
      <c r="O19" s="74"/>
      <c r="P19" s="73"/>
      <c r="Q19" s="96"/>
      <c r="R19" s="73"/>
      <c r="S19" s="74"/>
      <c r="T19" s="73"/>
      <c r="U19" s="74"/>
      <c r="V19" s="73"/>
      <c r="W19" s="74"/>
      <c r="X19" s="73"/>
      <c r="Y19" s="74"/>
      <c r="Z19" s="56" t="s">
        <v>49</v>
      </c>
      <c r="AA19" s="66" t="s">
        <v>87</v>
      </c>
      <c r="AB19" s="56" t="s">
        <v>44</v>
      </c>
      <c r="AC19" s="102" t="s">
        <v>86</v>
      </c>
      <c r="AD19" s="56" t="s">
        <v>46</v>
      </c>
      <c r="AE19" s="66" t="s">
        <v>87</v>
      </c>
      <c r="AF19" s="61" t="s">
        <v>48</v>
      </c>
      <c r="AG19" s="102" t="s">
        <v>86</v>
      </c>
      <c r="AH19" s="3"/>
      <c r="AI19" s="7"/>
      <c r="AJ19" s="8"/>
      <c r="AK19" s="7"/>
      <c r="AL19" s="24"/>
    </row>
    <row r="20" spans="1:38" x14ac:dyDescent="0.25">
      <c r="A20"/>
      <c r="B20"/>
      <c r="C20"/>
      <c r="D20"/>
      <c r="K20" s="110" t="s">
        <v>88</v>
      </c>
      <c r="L20" s="75"/>
      <c r="M20" s="110" t="s">
        <v>88</v>
      </c>
      <c r="N20" s="75"/>
      <c r="O20" s="110" t="s">
        <v>88</v>
      </c>
      <c r="Q20" s="110" t="s">
        <v>88</v>
      </c>
      <c r="S20" s="110" t="s">
        <v>88</v>
      </c>
      <c r="U20" s="110" t="s">
        <v>88</v>
      </c>
      <c r="W20" s="110" t="s">
        <v>88</v>
      </c>
      <c r="Y20" s="110" t="s">
        <v>88</v>
      </c>
      <c r="AA20" s="103" t="s">
        <v>89</v>
      </c>
      <c r="AC20" s="103" t="s">
        <v>89</v>
      </c>
      <c r="AE20" s="103" t="s">
        <v>89</v>
      </c>
      <c r="AG20" s="103" t="s">
        <v>89</v>
      </c>
      <c r="AH20" s="3"/>
    </row>
    <row r="21" spans="1:38" x14ac:dyDescent="0.25">
      <c r="A21"/>
      <c r="B21"/>
      <c r="C21"/>
      <c r="K21" s="21"/>
      <c r="L21" s="21"/>
      <c r="M21" s="21"/>
      <c r="N21" s="21"/>
      <c r="O21" s="21"/>
      <c r="P21" s="21"/>
      <c r="Q21" s="21"/>
      <c r="R21" s="21"/>
      <c r="S21" s="21"/>
      <c r="T21" s="21"/>
      <c r="U21" s="21"/>
      <c r="V21" s="21"/>
      <c r="W21" s="21"/>
      <c r="X21" s="21"/>
      <c r="Y21" s="21"/>
      <c r="Z21" s="21"/>
      <c r="AA21" s="110" t="s">
        <v>88</v>
      </c>
      <c r="AB21" s="21"/>
      <c r="AC21" s="110" t="s">
        <v>88</v>
      </c>
      <c r="AD21" s="21"/>
      <c r="AE21" s="110" t="s">
        <v>88</v>
      </c>
      <c r="AF21" s="3"/>
      <c r="AG21" s="110" t="s">
        <v>88</v>
      </c>
      <c r="AH21" s="3"/>
    </row>
    <row r="22" spans="1:38" ht="16.5" thickBot="1" x14ac:dyDescent="0.3">
      <c r="A22"/>
      <c r="B22"/>
      <c r="C22"/>
      <c r="K22" s="21"/>
      <c r="L22" s="21"/>
      <c r="M22" s="21"/>
      <c r="N22" s="21"/>
      <c r="O22" s="21"/>
      <c r="P22" s="21"/>
      <c r="Q22" s="21"/>
      <c r="R22" s="21"/>
      <c r="S22" s="21"/>
      <c r="T22" s="21"/>
      <c r="U22" s="21"/>
      <c r="V22" s="21"/>
      <c r="W22" s="21"/>
      <c r="X22" s="21"/>
      <c r="Y22" s="21"/>
      <c r="Z22" s="21"/>
      <c r="AA22" s="21"/>
      <c r="AB22" s="21"/>
      <c r="AC22" s="21"/>
      <c r="AD22" s="21"/>
      <c r="AE22" s="21"/>
      <c r="AF22" s="3"/>
      <c r="AG22" s="2"/>
      <c r="AH22" s="3"/>
    </row>
    <row r="23" spans="1:38" x14ac:dyDescent="0.25">
      <c r="A23"/>
      <c r="B23"/>
      <c r="C23"/>
      <c r="H23" s="98" t="s">
        <v>90</v>
      </c>
      <c r="I23" s="2">
        <v>1</v>
      </c>
      <c r="J23" s="111" t="s">
        <v>57</v>
      </c>
      <c r="K23" s="112" t="s">
        <v>61</v>
      </c>
      <c r="L23" s="113" t="s">
        <v>66</v>
      </c>
      <c r="M23" s="21"/>
      <c r="N23" s="21"/>
      <c r="O23" s="21"/>
      <c r="P23" s="21"/>
      <c r="Q23" s="21"/>
      <c r="R23" s="21"/>
      <c r="S23" s="21"/>
      <c r="T23" s="21"/>
      <c r="U23" s="21"/>
      <c r="V23" s="21"/>
      <c r="W23" s="21"/>
      <c r="X23" s="21"/>
      <c r="Y23" s="21"/>
      <c r="Z23" s="21"/>
      <c r="AA23" s="21"/>
      <c r="AB23" s="21"/>
      <c r="AC23" s="21"/>
      <c r="AD23" s="21"/>
      <c r="AE23" s="21"/>
      <c r="AF23" s="3"/>
      <c r="AG23" s="2"/>
      <c r="AH23" s="3"/>
    </row>
    <row r="24" spans="1:38" x14ac:dyDescent="0.25">
      <c r="A24"/>
      <c r="B24"/>
      <c r="H24" s="99"/>
      <c r="I24" s="21">
        <v>2</v>
      </c>
      <c r="J24" s="114" t="s">
        <v>69</v>
      </c>
      <c r="K24" s="115" t="s">
        <v>69</v>
      </c>
      <c r="L24" s="116" t="s">
        <v>92</v>
      </c>
      <c r="M24" s="21"/>
      <c r="N24" s="21"/>
      <c r="O24" s="21"/>
      <c r="P24" s="21"/>
      <c r="Q24" s="21"/>
      <c r="R24" s="21"/>
      <c r="S24" s="21"/>
      <c r="T24" s="21"/>
      <c r="U24" s="21"/>
      <c r="V24" s="21"/>
      <c r="W24" s="21"/>
      <c r="X24" s="21"/>
      <c r="Y24" s="21"/>
      <c r="Z24" s="21"/>
      <c r="AA24" s="21"/>
      <c r="AB24" s="21"/>
      <c r="AC24" s="21"/>
      <c r="AD24" s="21"/>
      <c r="AE24" s="21"/>
      <c r="AF24" s="3"/>
      <c r="AG24" s="2"/>
      <c r="AH24" s="3"/>
    </row>
    <row r="25" spans="1:38" x14ac:dyDescent="0.25">
      <c r="A25"/>
      <c r="B25"/>
      <c r="I25" s="21">
        <v>3</v>
      </c>
      <c r="J25" s="114" t="s">
        <v>92</v>
      </c>
      <c r="K25" s="115" t="s">
        <v>92</v>
      </c>
      <c r="L25" s="116" t="s">
        <v>93</v>
      </c>
      <c r="M25" s="21"/>
      <c r="N25" s="21"/>
      <c r="O25" s="21"/>
      <c r="P25" s="21"/>
      <c r="Q25" s="21"/>
      <c r="R25" s="21"/>
      <c r="S25" s="21"/>
      <c r="T25" s="21"/>
      <c r="U25" s="21"/>
      <c r="V25" s="21"/>
      <c r="W25" s="21"/>
      <c r="X25" s="21"/>
      <c r="Y25" s="21"/>
      <c r="Z25" s="21"/>
      <c r="AA25" s="21"/>
      <c r="AB25" s="21"/>
      <c r="AC25" s="21"/>
      <c r="AD25" s="21"/>
      <c r="AE25" s="21"/>
      <c r="AF25" s="3"/>
      <c r="AG25" s="2"/>
      <c r="AH25" s="3"/>
    </row>
    <row r="26" spans="1:38" x14ac:dyDescent="0.25">
      <c r="A26" s="6"/>
      <c r="B26" s="6"/>
      <c r="I26" s="21">
        <v>4</v>
      </c>
      <c r="J26" s="114" t="s">
        <v>93</v>
      </c>
      <c r="K26" s="115" t="s">
        <v>93</v>
      </c>
      <c r="L26" s="116" t="s">
        <v>94</v>
      </c>
      <c r="M26" s="21"/>
      <c r="N26" s="21"/>
      <c r="O26" s="21"/>
      <c r="P26" s="21"/>
      <c r="Q26" s="21"/>
      <c r="R26" s="21"/>
      <c r="S26" s="21"/>
      <c r="T26" s="21"/>
      <c r="U26" s="21"/>
      <c r="V26" s="21"/>
      <c r="W26" s="21"/>
      <c r="X26" s="21"/>
      <c r="Y26" s="21"/>
      <c r="Z26" s="21"/>
      <c r="AA26" s="21"/>
      <c r="AB26" s="21"/>
      <c r="AC26" s="21"/>
      <c r="AD26" s="21"/>
      <c r="AE26" s="21"/>
      <c r="AF26" s="3"/>
      <c r="AG26" s="2"/>
      <c r="AH26" s="3"/>
    </row>
    <row r="27" spans="1:38" x14ac:dyDescent="0.25">
      <c r="A27" s="6"/>
      <c r="B27" s="6"/>
      <c r="I27" s="21">
        <v>5</v>
      </c>
      <c r="J27" s="114" t="s">
        <v>94</v>
      </c>
      <c r="K27" s="115" t="s">
        <v>94</v>
      </c>
      <c r="L27" s="116" t="s">
        <v>95</v>
      </c>
      <c r="AH27" s="10"/>
    </row>
    <row r="28" spans="1:38" x14ac:dyDescent="0.25">
      <c r="I28" s="21">
        <v>6</v>
      </c>
      <c r="J28" s="114" t="s">
        <v>77</v>
      </c>
      <c r="K28" s="115" t="s">
        <v>77</v>
      </c>
      <c r="L28" s="116" t="s">
        <v>96</v>
      </c>
      <c r="AH28" s="10"/>
    </row>
    <row r="29" spans="1:38" x14ac:dyDescent="0.25">
      <c r="I29" s="21">
        <v>7</v>
      </c>
      <c r="J29" s="114" t="s">
        <v>80</v>
      </c>
      <c r="K29" s="115" t="s">
        <v>80</v>
      </c>
      <c r="L29" s="116" t="s">
        <v>97</v>
      </c>
      <c r="AH29" s="10"/>
    </row>
    <row r="30" spans="1:38" x14ac:dyDescent="0.25">
      <c r="I30" s="21">
        <v>8</v>
      </c>
      <c r="J30" s="114" t="s">
        <v>95</v>
      </c>
      <c r="K30" s="115" t="s">
        <v>95</v>
      </c>
      <c r="L30" s="116" t="s">
        <v>98</v>
      </c>
    </row>
    <row r="31" spans="1:38" x14ac:dyDescent="0.25">
      <c r="I31" s="21">
        <v>9</v>
      </c>
      <c r="J31" s="114" t="s">
        <v>96</v>
      </c>
      <c r="K31" s="115" t="s">
        <v>96</v>
      </c>
      <c r="L31" s="116" t="s">
        <v>99</v>
      </c>
    </row>
    <row r="32" spans="1:38" x14ac:dyDescent="0.25">
      <c r="I32" s="21">
        <v>10</v>
      </c>
      <c r="J32" s="114" t="s">
        <v>97</v>
      </c>
      <c r="K32" s="115" t="s">
        <v>97</v>
      </c>
      <c r="L32" s="116"/>
      <c r="AH32" s="10"/>
    </row>
    <row r="33" spans="9:12" x14ac:dyDescent="0.25">
      <c r="I33" s="21">
        <v>11</v>
      </c>
      <c r="J33" s="114" t="s">
        <v>98</v>
      </c>
      <c r="K33" s="115" t="s">
        <v>98</v>
      </c>
      <c r="L33" s="116"/>
    </row>
    <row r="34" spans="9:12" ht="15.75" customHeight="1" thickBot="1" x14ac:dyDescent="0.3">
      <c r="I34" s="21">
        <v>12</v>
      </c>
      <c r="J34" s="117" t="s">
        <v>99</v>
      </c>
      <c r="K34" s="118" t="s">
        <v>99</v>
      </c>
      <c r="L34" s="119"/>
    </row>
    <row r="36" spans="9:12" ht="15.75" customHeight="1" x14ac:dyDescent="0.25"/>
    <row r="37" spans="9:12" ht="15.75" customHeight="1" x14ac:dyDescent="0.25"/>
  </sheetData>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89"/>
  <sheetViews>
    <sheetView zoomScale="85" zoomScaleNormal="85" workbookViewId="0">
      <selection activeCell="D6" sqref="D6"/>
    </sheetView>
  </sheetViews>
  <sheetFormatPr defaultRowHeight="15.75" x14ac:dyDescent="0.25"/>
  <cols>
    <col min="1" max="1" width="11.75" bestFit="1" customWidth="1"/>
    <col min="2" max="2" width="8.125" style="4" bestFit="1" customWidth="1"/>
    <col min="3" max="3" width="11.375" bestFit="1" customWidth="1"/>
    <col min="4" max="4" width="44.625" bestFit="1" customWidth="1"/>
    <col min="5" max="5" width="8.625" style="4" bestFit="1" customWidth="1"/>
    <col min="6" max="6" width="33.75" customWidth="1"/>
    <col min="7" max="9" width="6.375" bestFit="1" customWidth="1"/>
    <col min="10" max="10" width="6.375" style="4" bestFit="1" customWidth="1"/>
    <col min="11" max="11" width="43.375" style="4" bestFit="1" customWidth="1"/>
    <col min="12" max="13" width="6" style="4" bestFit="1" customWidth="1"/>
    <col min="14" max="14" width="6.75" bestFit="1" customWidth="1"/>
    <col min="15" max="16" width="12.75" bestFit="1" customWidth="1"/>
    <col min="17" max="17" width="13" bestFit="1" customWidth="1"/>
  </cols>
  <sheetData>
    <row r="1" spans="1:15" x14ac:dyDescent="0.25">
      <c r="A1" s="48">
        <v>1</v>
      </c>
      <c r="B1" s="48">
        <f>A1+1</f>
        <v>2</v>
      </c>
      <c r="C1" s="48">
        <f t="shared" ref="C1:F1" si="0">B1+1</f>
        <v>3</v>
      </c>
      <c r="D1" s="48">
        <f t="shared" si="0"/>
        <v>4</v>
      </c>
      <c r="E1" s="48">
        <f t="shared" si="0"/>
        <v>5</v>
      </c>
      <c r="F1" s="48">
        <f t="shared" si="0"/>
        <v>6</v>
      </c>
      <c r="G1" s="48">
        <f t="shared" ref="G1" si="1">F1+1</f>
        <v>7</v>
      </c>
      <c r="H1" s="48">
        <f t="shared" ref="H1" si="2">G1+1</f>
        <v>8</v>
      </c>
      <c r="I1" s="48">
        <f t="shared" ref="I1" si="3">H1+1</f>
        <v>9</v>
      </c>
      <c r="J1" s="48">
        <f t="shared" ref="J1" si="4">I1+1</f>
        <v>10</v>
      </c>
      <c r="K1" s="48">
        <f t="shared" ref="K1" si="5">J1+1</f>
        <v>11</v>
      </c>
      <c r="L1" s="48">
        <f t="shared" ref="L1" si="6">K1+1</f>
        <v>12</v>
      </c>
      <c r="M1" s="48">
        <f t="shared" ref="M1" si="7">L1+1</f>
        <v>13</v>
      </c>
      <c r="N1" s="48">
        <f t="shared" ref="N1" si="8">M1+1</f>
        <v>14</v>
      </c>
    </row>
    <row r="2" spans="1:15" x14ac:dyDescent="0.25">
      <c r="A2" s="22"/>
      <c r="B2" s="23"/>
      <c r="C2" s="23"/>
      <c r="D2" s="22"/>
      <c r="E2" s="23"/>
      <c r="F2" s="22"/>
      <c r="G2" s="28"/>
      <c r="H2" s="23"/>
      <c r="I2" s="26"/>
      <c r="J2" s="27"/>
      <c r="K2" s="5"/>
      <c r="L2" s="22"/>
      <c r="M2" s="22"/>
      <c r="N2" s="22"/>
      <c r="O2" s="5"/>
    </row>
    <row r="3" spans="1:15" ht="64.5" x14ac:dyDescent="0.25">
      <c r="A3" s="52" t="s">
        <v>0</v>
      </c>
      <c r="B3" s="52" t="s">
        <v>1</v>
      </c>
      <c r="C3" s="52" t="s">
        <v>2</v>
      </c>
      <c r="D3" s="52" t="s">
        <v>100</v>
      </c>
      <c r="E3" s="52" t="s">
        <v>5</v>
      </c>
      <c r="F3" s="52" t="s">
        <v>4</v>
      </c>
      <c r="G3" s="76" t="s">
        <v>18</v>
      </c>
      <c r="H3" s="77" t="s">
        <v>19</v>
      </c>
      <c r="I3" s="77" t="s">
        <v>20</v>
      </c>
      <c r="J3" s="78" t="s">
        <v>21</v>
      </c>
      <c r="K3" s="67" t="s">
        <v>101</v>
      </c>
      <c r="L3" s="240" t="s">
        <v>57</v>
      </c>
      <c r="M3" s="240" t="s">
        <v>61</v>
      </c>
      <c r="N3" s="240" t="s">
        <v>66</v>
      </c>
      <c r="O3" s="5"/>
    </row>
    <row r="4" spans="1:15" x14ac:dyDescent="0.25">
      <c r="A4" s="10" t="s">
        <v>86</v>
      </c>
      <c r="B4" s="11"/>
      <c r="C4" s="10"/>
      <c r="D4" s="10" t="s">
        <v>102</v>
      </c>
      <c r="E4" s="11"/>
      <c r="F4" s="79" t="s">
        <v>103</v>
      </c>
      <c r="G4" s="81" t="str">
        <f>IFERROR(IF(VLOOKUP(TableHandbook[[#This Row],[UDC]],TableAvailabilities[],2,FALSE)&gt;0,"Y",""),"")</f>
        <v/>
      </c>
      <c r="H4" s="82" t="str">
        <f>IFERROR(IF(VLOOKUP(TableHandbook[[#This Row],[UDC]],TableAvailabilities[],3,FALSE)&gt;0,"Y",""),"")</f>
        <v/>
      </c>
      <c r="I4" s="83" t="str">
        <f>IFERROR(IF(VLOOKUP(TableHandbook[[#This Row],[UDC]],TableAvailabilities[],4,FALSE)&gt;0,"Y",""),"")</f>
        <v/>
      </c>
      <c r="J4" s="84" t="str">
        <f>IFERROR(IF(VLOOKUP(TableHandbook[[#This Row],[UDC]],TableAvailabilities[],5,FALSE)&gt;0,"Y",""),"")</f>
        <v/>
      </c>
      <c r="K4" s="15"/>
      <c r="L4" s="88" t="str">
        <f>IFERROR(VLOOKUP(TableHandbook[[#This Row],[UDC]],TableOCENVCLM[],7,FALSE),"")</f>
        <v/>
      </c>
      <c r="M4" s="88" t="str">
        <f>IFERROR(VLOOKUP(TableHandbook[[#This Row],[UDC]],TableOGENVCLM[],7,FALSE),"")</f>
        <v/>
      </c>
      <c r="N4" s="88" t="str">
        <f>IFERROR(VLOOKUP(TableHandbook[[#This Row],[UDC]],TableOMENVCLM[],7,FALSE),"")</f>
        <v/>
      </c>
      <c r="O4" s="5"/>
    </row>
    <row r="5" spans="1:15" x14ac:dyDescent="0.25">
      <c r="A5" s="10" t="s">
        <v>87</v>
      </c>
      <c r="B5" s="11">
        <v>0</v>
      </c>
      <c r="C5" s="10"/>
      <c r="D5" s="10" t="s">
        <v>104</v>
      </c>
      <c r="E5" s="11">
        <v>25</v>
      </c>
      <c r="F5" s="79" t="s">
        <v>189</v>
      </c>
      <c r="G5" s="85" t="str">
        <f>IFERROR(IF(VLOOKUP(TableHandbook[[#This Row],[UDC]],TableAvailabilities[],2,FALSE)&gt;0,"Y",""),"")</f>
        <v/>
      </c>
      <c r="H5" s="80" t="str">
        <f>IFERROR(IF(VLOOKUP(TableHandbook[[#This Row],[UDC]],TableAvailabilities[],3,FALSE)&gt;0,"Y",""),"")</f>
        <v/>
      </c>
      <c r="I5" s="86" t="str">
        <f>IFERROR(IF(VLOOKUP(TableHandbook[[#This Row],[UDC]],TableAvailabilities[],4,FALSE)&gt;0,"Y",""),"")</f>
        <v/>
      </c>
      <c r="J5" s="87" t="str">
        <f>IFERROR(IF(VLOOKUP(TableHandbook[[#This Row],[UDC]],TableAvailabilities[],5,FALSE)&gt;0,"Y",""),"")</f>
        <v/>
      </c>
      <c r="K5" s="15"/>
      <c r="L5" s="88" t="str">
        <f>IFERROR(VLOOKUP(TableHandbook[[#This Row],[UDC]],TableOCENVCLM[],7,FALSE),"")</f>
        <v/>
      </c>
      <c r="M5" s="88" t="str">
        <f>IFERROR(VLOOKUP(TableHandbook[[#This Row],[UDC]],TableOGENVCLM[],7,FALSE),"")</f>
        <v/>
      </c>
      <c r="N5" s="88" t="str">
        <f>IFERROR(VLOOKUP(TableHandbook[[#This Row],[UDC]],TableOMENVCLM[],7,FALSE),"")</f>
        <v>Elective</v>
      </c>
    </row>
    <row r="6" spans="1:15" x14ac:dyDescent="0.25">
      <c r="A6" s="10" t="s">
        <v>91</v>
      </c>
      <c r="B6" s="11">
        <v>1</v>
      </c>
      <c r="C6" s="10" t="s">
        <v>105</v>
      </c>
      <c r="D6" s="10" t="s">
        <v>106</v>
      </c>
      <c r="E6" s="11">
        <v>25</v>
      </c>
      <c r="F6" s="79" t="s">
        <v>103</v>
      </c>
      <c r="G6" s="85" t="str">
        <f>IFERROR(IF(VLOOKUP(TableHandbook[[#This Row],[UDC]],TableAvailabilities[],2,FALSE)&gt;0,"Y",""),"")</f>
        <v/>
      </c>
      <c r="H6" s="80" t="str">
        <f>IFERROR(IF(VLOOKUP(TableHandbook[[#This Row],[UDC]],TableAvailabilities[],3,FALSE)&gt;0,"Y",""),"")</f>
        <v/>
      </c>
      <c r="I6" s="86" t="str">
        <f>IFERROR(IF(VLOOKUP(TableHandbook[[#This Row],[UDC]],TableAvailabilities[],4,FALSE)&gt;0,"Y",""),"")</f>
        <v/>
      </c>
      <c r="J6" s="87" t="str">
        <f>IFERROR(IF(VLOOKUP(TableHandbook[[#This Row],[UDC]],TableAvailabilities[],5,FALSE)&gt;0,"Y",""),"")</f>
        <v/>
      </c>
      <c r="K6" s="15" t="s">
        <v>195</v>
      </c>
      <c r="L6" s="88" t="str">
        <f>IFERROR(VLOOKUP(TableHandbook[[#This Row],[UDC]],TableOCENVCLM[],7,FALSE),"")</f>
        <v/>
      </c>
      <c r="M6" s="88" t="str">
        <f>IFERROR(VLOOKUP(TableHandbook[[#This Row],[UDC]],TableOGENVCLM[],7,FALSE),"")</f>
        <v/>
      </c>
      <c r="N6" s="88" t="str">
        <f>IFERROR(VLOOKUP(TableHandbook[[#This Row],[UDC]],TableOMENVCLM[],7,FALSE),"")</f>
        <v/>
      </c>
    </row>
    <row r="7" spans="1:15" x14ac:dyDescent="0.25">
      <c r="A7" s="10" t="s">
        <v>51</v>
      </c>
      <c r="B7" s="11"/>
      <c r="C7" s="10"/>
      <c r="D7" s="10" t="s">
        <v>107</v>
      </c>
      <c r="E7" s="11">
        <v>25</v>
      </c>
      <c r="F7" s="79" t="s">
        <v>103</v>
      </c>
      <c r="G7" s="85" t="str">
        <f>IFERROR(IF(VLOOKUP(TableHandbook[[#This Row],[UDC]],TableAvailabilities[],2,FALSE)&gt;0,"Y",""),"")</f>
        <v/>
      </c>
      <c r="H7" s="80" t="str">
        <f>IFERROR(IF(VLOOKUP(TableHandbook[[#This Row],[UDC]],TableAvailabilities[],3,FALSE)&gt;0,"Y",""),"")</f>
        <v/>
      </c>
      <c r="I7" s="86" t="str">
        <f>IFERROR(IF(VLOOKUP(TableHandbook[[#This Row],[UDC]],TableAvailabilities[],4,FALSE)&gt;0,"Y",""),"")</f>
        <v/>
      </c>
      <c r="J7" s="87" t="str">
        <f>IFERROR(IF(VLOOKUP(TableHandbook[[#This Row],[UDC]],TableAvailabilities[],5,FALSE)&gt;0,"Y",""),"")</f>
        <v/>
      </c>
      <c r="K7" s="15"/>
      <c r="L7" s="88" t="str">
        <f>IFERROR(VLOOKUP(TableHandbook[[#This Row],[UDC]],TableOCENVCLM[],7,FALSE),"")</f>
        <v>Option</v>
      </c>
      <c r="M7" s="88" t="str">
        <f>IFERROR(VLOOKUP(TableHandbook[[#This Row],[UDC]],TableOGENVCLM[],7,FALSE),"")</f>
        <v>Option</v>
      </c>
      <c r="N7" s="88" t="str">
        <f>IFERROR(VLOOKUP(TableHandbook[[#This Row],[UDC]],TableOMENVCLM[],7,FALSE),"")</f>
        <v>Option</v>
      </c>
    </row>
    <row r="8" spans="1:15" x14ac:dyDescent="0.25">
      <c r="A8" s="10" t="s">
        <v>92</v>
      </c>
      <c r="B8" s="11">
        <v>2</v>
      </c>
      <c r="C8" s="10" t="s">
        <v>108</v>
      </c>
      <c r="D8" s="10" t="s">
        <v>109</v>
      </c>
      <c r="E8" s="11">
        <v>25</v>
      </c>
      <c r="F8" s="79" t="s">
        <v>103</v>
      </c>
      <c r="G8" s="85" t="str">
        <f>IFERROR(IF(VLOOKUP(TableHandbook[[#This Row],[UDC]],TableAvailabilities[],2,FALSE)&gt;0,"Y",""),"")</f>
        <v>Y</v>
      </c>
      <c r="H8" s="80" t="str">
        <f>IFERROR(IF(VLOOKUP(TableHandbook[[#This Row],[UDC]],TableAvailabilities[],3,FALSE)&gt;0,"Y",""),"")</f>
        <v/>
      </c>
      <c r="I8" s="86" t="str">
        <f>IFERROR(IF(VLOOKUP(TableHandbook[[#This Row],[UDC]],TableAvailabilities[],4,FALSE)&gt;0,"Y",""),"")</f>
        <v>Y</v>
      </c>
      <c r="J8" s="87" t="str">
        <f>IFERROR(IF(VLOOKUP(TableHandbook[[#This Row],[UDC]],TableAvailabilities[],5,FALSE)&gt;0,"Y",""),"")</f>
        <v/>
      </c>
      <c r="K8" s="15"/>
      <c r="L8" s="88" t="str">
        <f>IFERROR(VLOOKUP(TableHandbook[[#This Row],[UDC]],TableOCENVCLM[],7,FALSE),"")</f>
        <v>Option</v>
      </c>
      <c r="M8" s="88" t="str">
        <f>IFERROR(VLOOKUP(TableHandbook[[#This Row],[UDC]],TableOGENVCLM[],7,FALSE),"")</f>
        <v>Option</v>
      </c>
      <c r="N8" s="88" t="str">
        <f>IFERROR(VLOOKUP(TableHandbook[[#This Row],[UDC]],TableOMENVCLM[],7,FALSE),"")</f>
        <v>Option</v>
      </c>
    </row>
    <row r="9" spans="1:15" x14ac:dyDescent="0.25">
      <c r="A9" s="10" t="s">
        <v>93</v>
      </c>
      <c r="B9" s="11">
        <v>1</v>
      </c>
      <c r="C9" s="10" t="s">
        <v>110</v>
      </c>
      <c r="D9" s="10" t="s">
        <v>111</v>
      </c>
      <c r="E9" s="11">
        <v>25</v>
      </c>
      <c r="F9" s="79" t="s">
        <v>103</v>
      </c>
      <c r="G9" s="85" t="str">
        <f>IFERROR(IF(VLOOKUP(TableHandbook[[#This Row],[UDC]],TableAvailabilities[],2,FALSE)&gt;0,"Y",""),"")</f>
        <v/>
      </c>
      <c r="H9" s="80" t="str">
        <f>IFERROR(IF(VLOOKUP(TableHandbook[[#This Row],[UDC]],TableAvailabilities[],3,FALSE)&gt;0,"Y",""),"")</f>
        <v>Y</v>
      </c>
      <c r="I9" s="86" t="str">
        <f>IFERROR(IF(VLOOKUP(TableHandbook[[#This Row],[UDC]],TableAvailabilities[],4,FALSE)&gt;0,"Y",""),"")</f>
        <v/>
      </c>
      <c r="J9" s="87" t="str">
        <f>IFERROR(IF(VLOOKUP(TableHandbook[[#This Row],[UDC]],TableAvailabilities[],5,FALSE)&gt;0,"Y",""),"")</f>
        <v>Y</v>
      </c>
      <c r="K9" s="15"/>
      <c r="L9" s="88" t="str">
        <f>IFERROR(VLOOKUP(TableHandbook[[#This Row],[UDC]],TableOCENVCLM[],7,FALSE),"")</f>
        <v>Option</v>
      </c>
      <c r="M9" s="88" t="str">
        <f>IFERROR(VLOOKUP(TableHandbook[[#This Row],[UDC]],TableOGENVCLM[],7,FALSE),"")</f>
        <v>Option</v>
      </c>
      <c r="N9" s="88" t="str">
        <f>IFERROR(VLOOKUP(TableHandbook[[#This Row],[UDC]],TableOMENVCLM[],7,FALSE),"")</f>
        <v>Option</v>
      </c>
    </row>
    <row r="10" spans="1:15" x14ac:dyDescent="0.25">
      <c r="A10" s="10" t="s">
        <v>52</v>
      </c>
      <c r="B10" s="11">
        <v>2</v>
      </c>
      <c r="C10" s="10" t="s">
        <v>112</v>
      </c>
      <c r="D10" s="10" t="s">
        <v>113</v>
      </c>
      <c r="E10" s="11">
        <v>25</v>
      </c>
      <c r="F10" s="79" t="s">
        <v>103</v>
      </c>
      <c r="G10" s="85" t="str">
        <f>IFERROR(IF(VLOOKUP(TableHandbook[[#This Row],[UDC]],TableAvailabilities[],2,FALSE)&gt;0,"Y",""),"")</f>
        <v/>
      </c>
      <c r="H10" s="80" t="str">
        <f>IFERROR(IF(VLOOKUP(TableHandbook[[#This Row],[UDC]],TableAvailabilities[],3,FALSE)&gt;0,"Y",""),"")</f>
        <v>Y</v>
      </c>
      <c r="I10" s="86" t="str">
        <f>IFERROR(IF(VLOOKUP(TableHandbook[[#This Row],[UDC]],TableAvailabilities[],4,FALSE)&gt;0,"Y",""),"")</f>
        <v/>
      </c>
      <c r="J10" s="87" t="str">
        <f>IFERROR(IF(VLOOKUP(TableHandbook[[#This Row],[UDC]],TableAvailabilities[],5,FALSE)&gt;0,"Y",""),"")</f>
        <v>Y</v>
      </c>
      <c r="K10" s="15"/>
      <c r="L10" s="88" t="str">
        <f>IFERROR(VLOOKUP(TableHandbook[[#This Row],[UDC]],TableOCENVCLM[],7,FALSE),"")</f>
        <v/>
      </c>
      <c r="M10" s="88" t="str">
        <f>IFERROR(VLOOKUP(TableHandbook[[#This Row],[UDC]],TableOGENVCLM[],7,FALSE),"")</f>
        <v>Core</v>
      </c>
      <c r="N10" s="88" t="str">
        <f>IFERROR(VLOOKUP(TableHandbook[[#This Row],[UDC]],TableOMENVCLM[],7,FALSE),"")</f>
        <v>Core</v>
      </c>
    </row>
    <row r="11" spans="1:15" x14ac:dyDescent="0.25">
      <c r="A11" s="10" t="s">
        <v>94</v>
      </c>
      <c r="B11" s="11">
        <v>1</v>
      </c>
      <c r="C11" s="10" t="s">
        <v>114</v>
      </c>
      <c r="D11" s="10" t="s">
        <v>115</v>
      </c>
      <c r="E11" s="11">
        <v>25</v>
      </c>
      <c r="F11" s="79" t="s">
        <v>103</v>
      </c>
      <c r="G11" s="85" t="str">
        <f>IFERROR(IF(VLOOKUP(TableHandbook[[#This Row],[UDC]],TableAvailabilities[],2,FALSE)&gt;0,"Y",""),"")</f>
        <v/>
      </c>
      <c r="H11" s="80" t="str">
        <f>IFERROR(IF(VLOOKUP(TableHandbook[[#This Row],[UDC]],TableAvailabilities[],3,FALSE)&gt;0,"Y",""),"")</f>
        <v>Y</v>
      </c>
      <c r="I11" s="86" t="str">
        <f>IFERROR(IF(VLOOKUP(TableHandbook[[#This Row],[UDC]],TableAvailabilities[],4,FALSE)&gt;0,"Y",""),"")</f>
        <v/>
      </c>
      <c r="J11" s="87" t="str">
        <f>IFERROR(IF(VLOOKUP(TableHandbook[[#This Row],[UDC]],TableAvailabilities[],5,FALSE)&gt;0,"Y",""),"")</f>
        <v/>
      </c>
      <c r="K11" s="15"/>
      <c r="L11" s="88" t="str">
        <f>IFERROR(VLOOKUP(TableHandbook[[#This Row],[UDC]],TableOCENVCLM[],7,FALSE),"")</f>
        <v>Option</v>
      </c>
      <c r="M11" s="88" t="str">
        <f>IFERROR(VLOOKUP(TableHandbook[[#This Row],[UDC]],TableOGENVCLM[],7,FALSE),"")</f>
        <v>Option</v>
      </c>
      <c r="N11" s="88" t="str">
        <f>IFERROR(VLOOKUP(TableHandbook[[#This Row],[UDC]],TableOMENVCLM[],7,FALSE),"")</f>
        <v>Option</v>
      </c>
    </row>
    <row r="12" spans="1:15" x14ac:dyDescent="0.25">
      <c r="A12" s="10" t="s">
        <v>47</v>
      </c>
      <c r="B12" s="11">
        <v>2</v>
      </c>
      <c r="C12" s="10" t="s">
        <v>116</v>
      </c>
      <c r="D12" s="10" t="s">
        <v>117</v>
      </c>
      <c r="E12" s="11">
        <v>25</v>
      </c>
      <c r="F12" s="79" t="s">
        <v>103</v>
      </c>
      <c r="G12" s="85" t="str">
        <f>IFERROR(IF(VLOOKUP(TableHandbook[[#This Row],[UDC]],TableAvailabilities[],2,FALSE)&gt;0,"Y",""),"")</f>
        <v/>
      </c>
      <c r="H12" s="80" t="str">
        <f>IFERROR(IF(VLOOKUP(TableHandbook[[#This Row],[UDC]],TableAvailabilities[],3,FALSE)&gt;0,"Y",""),"")</f>
        <v>Y</v>
      </c>
      <c r="I12" s="86" t="str">
        <f>IFERROR(IF(VLOOKUP(TableHandbook[[#This Row],[UDC]],TableAvailabilities[],4,FALSE)&gt;0,"Y",""),"")</f>
        <v/>
      </c>
      <c r="J12" s="87" t="str">
        <f>IFERROR(IF(VLOOKUP(TableHandbook[[#This Row],[UDC]],TableAvailabilities[],5,FALSE)&gt;0,"Y",""),"")</f>
        <v>Y</v>
      </c>
      <c r="K12" s="15"/>
      <c r="L12" s="88" t="str">
        <f>IFERROR(VLOOKUP(TableHandbook[[#This Row],[UDC]],TableOCENVCLM[],7,FALSE),"")</f>
        <v>Core</v>
      </c>
      <c r="M12" s="88" t="str">
        <f>IFERROR(VLOOKUP(TableHandbook[[#This Row],[UDC]],TableOGENVCLM[],7,FALSE),"")</f>
        <v>Core</v>
      </c>
      <c r="N12" s="88" t="str">
        <f>IFERROR(VLOOKUP(TableHandbook[[#This Row],[UDC]],TableOMENVCLM[],7,FALSE),"")</f>
        <v>Core</v>
      </c>
    </row>
    <row r="13" spans="1:15" x14ac:dyDescent="0.25">
      <c r="A13" s="10" t="s">
        <v>77</v>
      </c>
      <c r="B13" s="11">
        <v>1</v>
      </c>
      <c r="C13" s="10" t="s">
        <v>118</v>
      </c>
      <c r="D13" s="10" t="s">
        <v>119</v>
      </c>
      <c r="E13" s="11">
        <v>25</v>
      </c>
      <c r="F13" s="79" t="s">
        <v>103</v>
      </c>
      <c r="G13" s="85" t="str">
        <f>IFERROR(IF(VLOOKUP(TableHandbook[[#This Row],[UDC]],TableAvailabilities[],2,FALSE)&gt;0,"Y",""),"")</f>
        <v/>
      </c>
      <c r="H13" s="80" t="str">
        <f>IFERROR(IF(VLOOKUP(TableHandbook[[#This Row],[UDC]],TableAvailabilities[],3,FALSE)&gt;0,"Y",""),"")</f>
        <v>Y</v>
      </c>
      <c r="I13" s="80" t="str">
        <f>IFERROR(IF(VLOOKUP(TableHandbook[[#This Row],[UDC]],TableAvailabilities[],4,FALSE)&gt;0,"Y",""),"")</f>
        <v/>
      </c>
      <c r="J13" s="87" t="str">
        <f>IFERROR(IF(VLOOKUP(TableHandbook[[#This Row],[UDC]],TableAvailabilities[],5,FALSE)&gt;0,"Y",""),"")</f>
        <v/>
      </c>
      <c r="K13" s="15"/>
      <c r="L13" s="88" t="str">
        <f>IFERROR(VLOOKUP(TableHandbook[[#This Row],[UDC]],TableOCENVCLM[],7,FALSE),"")</f>
        <v>Option</v>
      </c>
      <c r="M13" s="88" t="str">
        <f>IFERROR(VLOOKUP(TableHandbook[[#This Row],[UDC]],TableOGENVCLM[],7,FALSE),"")</f>
        <v>Option</v>
      </c>
      <c r="N13" s="88" t="str">
        <f>IFERROR(VLOOKUP(TableHandbook[[#This Row],[UDC]],TableOMENVCLM[],7,FALSE),"")</f>
        <v>Core</v>
      </c>
    </row>
    <row r="14" spans="1:15" x14ac:dyDescent="0.25">
      <c r="A14" s="10" t="s">
        <v>63</v>
      </c>
      <c r="B14" s="11">
        <v>1</v>
      </c>
      <c r="C14" s="10" t="s">
        <v>120</v>
      </c>
      <c r="D14" s="10" t="s">
        <v>121</v>
      </c>
      <c r="E14" s="11">
        <v>25</v>
      </c>
      <c r="F14" s="79" t="s">
        <v>103</v>
      </c>
      <c r="G14" s="85" t="str">
        <f>IFERROR(IF(VLOOKUP(TableHandbook[[#This Row],[UDC]],TableAvailabilities[],2,FALSE)&gt;0,"Y",""),"")</f>
        <v>Y</v>
      </c>
      <c r="H14" s="80" t="str">
        <f>IFERROR(IF(VLOOKUP(TableHandbook[[#This Row],[UDC]],TableAvailabilities[],3,FALSE)&gt;0,"Y",""),"")</f>
        <v/>
      </c>
      <c r="I14" s="86" t="str">
        <f>IFERROR(IF(VLOOKUP(TableHandbook[[#This Row],[UDC]],TableAvailabilities[],4,FALSE)&gt;0,"Y",""),"")</f>
        <v>Y</v>
      </c>
      <c r="J14" s="87" t="str">
        <f>IFERROR(IF(VLOOKUP(TableHandbook[[#This Row],[UDC]],TableAvailabilities[],5,FALSE)&gt;0,"Y",""),"")</f>
        <v/>
      </c>
      <c r="K14" s="15"/>
      <c r="L14" s="88" t="str">
        <f>IFERROR(VLOOKUP(TableHandbook[[#This Row],[UDC]],TableOCENVCLM[],7,FALSE),"")</f>
        <v/>
      </c>
      <c r="M14" s="88" t="str">
        <f>IFERROR(VLOOKUP(TableHandbook[[#This Row],[UDC]],TableOGENVCLM[],7,FALSE),"")</f>
        <v>Core</v>
      </c>
      <c r="N14" s="88" t="str">
        <f>IFERROR(VLOOKUP(TableHandbook[[#This Row],[UDC]],TableOMENVCLM[],7,FALSE),"")</f>
        <v>Core</v>
      </c>
    </row>
    <row r="15" spans="1:15" x14ac:dyDescent="0.25">
      <c r="A15" s="10" t="s">
        <v>64</v>
      </c>
      <c r="B15" s="11">
        <v>2</v>
      </c>
      <c r="C15" s="10" t="s">
        <v>122</v>
      </c>
      <c r="D15" s="10" t="s">
        <v>123</v>
      </c>
      <c r="E15" s="11">
        <v>25</v>
      </c>
      <c r="F15" s="79" t="s">
        <v>103</v>
      </c>
      <c r="G15" s="85" t="str">
        <f>IFERROR(IF(VLOOKUP(TableHandbook[[#This Row],[UDC]],TableAvailabilities[],2,FALSE)&gt;0,"Y",""),"")</f>
        <v/>
      </c>
      <c r="H15" s="80" t="str">
        <f>IFERROR(IF(VLOOKUP(TableHandbook[[#This Row],[UDC]],TableAvailabilities[],3,FALSE)&gt;0,"Y",""),"")</f>
        <v>Y</v>
      </c>
      <c r="I15" s="86" t="str">
        <f>IFERROR(IF(VLOOKUP(TableHandbook[[#This Row],[UDC]],TableAvailabilities[],4,FALSE)&gt;0,"Y",""),"")</f>
        <v/>
      </c>
      <c r="J15" s="87" t="str">
        <f>IFERROR(IF(VLOOKUP(TableHandbook[[#This Row],[UDC]],TableAvailabilities[],5,FALSE)&gt;0,"Y",""),"")</f>
        <v>Y</v>
      </c>
      <c r="K15" s="15"/>
      <c r="L15" s="88" t="str">
        <f>IFERROR(VLOOKUP(TableHandbook[[#This Row],[UDC]],TableOCENVCLM[],7,FALSE),"")</f>
        <v/>
      </c>
      <c r="M15" s="88" t="str">
        <f>IFERROR(VLOOKUP(TableHandbook[[#This Row],[UDC]],TableOGENVCLM[],7,FALSE),"")</f>
        <v>Core</v>
      </c>
      <c r="N15" s="88" t="str">
        <f>IFERROR(VLOOKUP(TableHandbook[[#This Row],[UDC]],TableOMENVCLM[],7,FALSE),"")</f>
        <v>Core</v>
      </c>
    </row>
    <row r="16" spans="1:15" x14ac:dyDescent="0.25">
      <c r="A16" s="8" t="s">
        <v>80</v>
      </c>
      <c r="B16" s="51">
        <v>1</v>
      </c>
      <c r="C16" s="10" t="s">
        <v>124</v>
      </c>
      <c r="D16" s="8" t="s">
        <v>125</v>
      </c>
      <c r="E16" s="51">
        <v>25</v>
      </c>
      <c r="F16" s="79" t="s">
        <v>103</v>
      </c>
      <c r="G16" s="85" t="str">
        <f>IFERROR(IF(VLOOKUP(TableHandbook[[#This Row],[UDC]],TableAvailabilities[],2,FALSE)&gt;0,"Y",""),"")</f>
        <v/>
      </c>
      <c r="H16" s="80" t="str">
        <f>IFERROR(IF(VLOOKUP(TableHandbook[[#This Row],[UDC]],TableAvailabilities[],3,FALSE)&gt;0,"Y",""),"")</f>
        <v/>
      </c>
      <c r="I16" s="86" t="str">
        <f>IFERROR(IF(VLOOKUP(TableHandbook[[#This Row],[UDC]],TableAvailabilities[],4,FALSE)&gt;0,"Y",""),"")</f>
        <v/>
      </c>
      <c r="J16" s="87" t="str">
        <f>IFERROR(IF(VLOOKUP(TableHandbook[[#This Row],[UDC]],TableAvailabilities[],5,FALSE)&gt;0,"Y",""),"")</f>
        <v>Y</v>
      </c>
      <c r="K16" s="15"/>
      <c r="L16" s="88" t="str">
        <f>IFERROR(VLOOKUP(TableHandbook[[#This Row],[UDC]],TableOCENVCLM[],7,FALSE),"")</f>
        <v>Option</v>
      </c>
      <c r="M16" s="88" t="str">
        <f>IFERROR(VLOOKUP(TableHandbook[[#This Row],[UDC]],TableOGENVCLM[],7,FALSE),"")</f>
        <v>Option</v>
      </c>
      <c r="N16" s="88" t="str">
        <f>IFERROR(VLOOKUP(TableHandbook[[#This Row],[UDC]],TableOMENVCLM[],7,FALSE),"")</f>
        <v>Core</v>
      </c>
    </row>
    <row r="17" spans="1:14" x14ac:dyDescent="0.25">
      <c r="A17" s="10" t="s">
        <v>45</v>
      </c>
      <c r="B17" s="11">
        <v>1</v>
      </c>
      <c r="C17" s="10" t="s">
        <v>126</v>
      </c>
      <c r="D17" s="10" t="s">
        <v>127</v>
      </c>
      <c r="E17" s="11">
        <v>25</v>
      </c>
      <c r="F17" s="79" t="s">
        <v>103</v>
      </c>
      <c r="G17" s="85" t="str">
        <f>IFERROR(IF(VLOOKUP(TableHandbook[[#This Row],[UDC]],TableAvailabilities[],2,FALSE)&gt;0,"Y",""),"")</f>
        <v>Y</v>
      </c>
      <c r="H17" s="80" t="str">
        <f>IFERROR(IF(VLOOKUP(TableHandbook[[#This Row],[UDC]],TableAvailabilities[],3,FALSE)&gt;0,"Y",""),"")</f>
        <v/>
      </c>
      <c r="I17" s="86" t="str">
        <f>IFERROR(IF(VLOOKUP(TableHandbook[[#This Row],[UDC]],TableAvailabilities[],4,FALSE)&gt;0,"Y",""),"")</f>
        <v>Y</v>
      </c>
      <c r="J17" s="87" t="str">
        <f>IFERROR(IF(VLOOKUP(TableHandbook[[#This Row],[UDC]],TableAvailabilities[],5,FALSE)&gt;0,"Y",""),"")</f>
        <v/>
      </c>
      <c r="K17" s="15"/>
      <c r="L17" s="88" t="str">
        <f>IFERROR(VLOOKUP(TableHandbook[[#This Row],[UDC]],TableOCENVCLM[],7,FALSE),"")</f>
        <v>Core</v>
      </c>
      <c r="M17" s="88" t="str">
        <f>IFERROR(VLOOKUP(TableHandbook[[#This Row],[UDC]],TableOGENVCLM[],7,FALSE),"")</f>
        <v>Core</v>
      </c>
      <c r="N17" s="88" t="str">
        <f>IFERROR(VLOOKUP(TableHandbook[[#This Row],[UDC]],TableOMENVCLM[],7,FALSE),"")</f>
        <v>Core</v>
      </c>
    </row>
    <row r="18" spans="1:14" x14ac:dyDescent="0.25">
      <c r="A18" s="10" t="s">
        <v>85</v>
      </c>
      <c r="B18" s="11">
        <v>2</v>
      </c>
      <c r="C18" s="10" t="s">
        <v>128</v>
      </c>
      <c r="D18" s="10" t="s">
        <v>129</v>
      </c>
      <c r="E18" s="11">
        <v>50</v>
      </c>
      <c r="F18" s="79" t="s">
        <v>197</v>
      </c>
      <c r="G18" s="85" t="str">
        <f>IFERROR(IF(VLOOKUP(TableHandbook[[#This Row],[UDC]],TableAvailabilities[],2,FALSE)&gt;0,"Y",""),"")</f>
        <v>Y</v>
      </c>
      <c r="H18" s="80" t="str">
        <f>IFERROR(IF(VLOOKUP(TableHandbook[[#This Row],[UDC]],TableAvailabilities[],3,FALSE)&gt;0,"Y",""),"")</f>
        <v/>
      </c>
      <c r="I18" s="86" t="str">
        <f>IFERROR(IF(VLOOKUP(TableHandbook[[#This Row],[UDC]],TableAvailabilities[],4,FALSE)&gt;0,"Y",""),"")</f>
        <v>Y</v>
      </c>
      <c r="J18" s="87" t="str">
        <f>IFERROR(IF(VLOOKUP(TableHandbook[[#This Row],[UDC]],TableAvailabilities[],5,FALSE)&gt;0,"Y",""),"")</f>
        <v/>
      </c>
      <c r="K18" s="15"/>
      <c r="L18" s="88" t="str">
        <f>IFERROR(VLOOKUP(TableHandbook[[#This Row],[UDC]],TableOCENVCLM[],7,FALSE),"")</f>
        <v/>
      </c>
      <c r="M18" s="88" t="str">
        <f>IFERROR(VLOOKUP(TableHandbook[[#This Row],[UDC]],TableOGENVCLM[],7,FALSE),"")</f>
        <v/>
      </c>
      <c r="N18" s="88" t="str">
        <f>IFERROR(VLOOKUP(TableHandbook[[#This Row],[UDC]],TableOMENVCLM[],7,FALSE),"")</f>
        <v>Core</v>
      </c>
    </row>
    <row r="19" spans="1:14" ht="26.25" x14ac:dyDescent="0.25">
      <c r="A19" s="10" t="s">
        <v>75</v>
      </c>
      <c r="B19" s="11">
        <v>1</v>
      </c>
      <c r="C19" s="10" t="s">
        <v>130</v>
      </c>
      <c r="D19" s="10" t="s">
        <v>131</v>
      </c>
      <c r="E19" s="11">
        <v>25</v>
      </c>
      <c r="F19" s="97" t="s">
        <v>196</v>
      </c>
      <c r="G19" s="85" t="str">
        <f>IFERROR(IF(VLOOKUP(TableHandbook[[#This Row],[UDC]],TableAvailabilities[],2,FALSE)&gt;0,"Y",""),"")</f>
        <v>Y</v>
      </c>
      <c r="H19" s="80" t="str">
        <f>IFERROR(IF(VLOOKUP(TableHandbook[[#This Row],[UDC]],TableAvailabilities[],3,FALSE)&gt;0,"Y",""),"")</f>
        <v/>
      </c>
      <c r="I19" s="86" t="str">
        <f>IFERROR(IF(VLOOKUP(TableHandbook[[#This Row],[UDC]],TableAvailabilities[],4,FALSE)&gt;0,"Y",""),"")</f>
        <v>Y</v>
      </c>
      <c r="J19" s="87" t="str">
        <f>IFERROR(IF(VLOOKUP(TableHandbook[[#This Row],[UDC]],TableAvailabilities[],5,FALSE)&gt;0,"Y",""),"")</f>
        <v/>
      </c>
      <c r="K19" s="15"/>
      <c r="L19" s="88" t="str">
        <f>IFERROR(VLOOKUP(TableHandbook[[#This Row],[UDC]],TableOCENVCLM[],7,FALSE),"")</f>
        <v/>
      </c>
      <c r="M19" s="88" t="str">
        <f>IFERROR(VLOOKUP(TableHandbook[[#This Row],[UDC]],TableOGENVCLM[],7,FALSE),"")</f>
        <v/>
      </c>
      <c r="N19" s="88" t="str">
        <f>IFERROR(VLOOKUP(TableHandbook[[#This Row],[UDC]],TableOMENVCLM[],7,FALSE),"")</f>
        <v>Core</v>
      </c>
    </row>
    <row r="20" spans="1:14" x14ac:dyDescent="0.25">
      <c r="A20" s="10" t="s">
        <v>50</v>
      </c>
      <c r="B20" s="11">
        <v>2</v>
      </c>
      <c r="C20" s="10" t="s">
        <v>132</v>
      </c>
      <c r="D20" s="10" t="s">
        <v>133</v>
      </c>
      <c r="E20" s="11">
        <v>25</v>
      </c>
      <c r="F20" s="79" t="s">
        <v>103</v>
      </c>
      <c r="G20" s="85" t="str">
        <f>IFERROR(IF(VLOOKUP(TableHandbook[[#This Row],[UDC]],TableAvailabilities[],2,FALSE)&gt;0,"Y",""),"")</f>
        <v>Y</v>
      </c>
      <c r="H20" s="80" t="str">
        <f>IFERROR(IF(VLOOKUP(TableHandbook[[#This Row],[UDC]],TableAvailabilities[],3,FALSE)&gt;0,"Y",""),"")</f>
        <v/>
      </c>
      <c r="I20" s="86" t="str">
        <f>IFERROR(IF(VLOOKUP(TableHandbook[[#This Row],[UDC]],TableAvailabilities[],4,FALSE)&gt;0,"Y",""),"")</f>
        <v>Y</v>
      </c>
      <c r="J20" s="87" t="str">
        <f>IFERROR(IF(VLOOKUP(TableHandbook[[#This Row],[UDC]],TableAvailabilities[],5,FALSE)&gt;0,"Y",""),"")</f>
        <v/>
      </c>
      <c r="K20" s="15"/>
      <c r="L20" s="88" t="str">
        <f>IFERROR(VLOOKUP(TableHandbook[[#This Row],[UDC]],TableOCENVCLM[],7,FALSE),"")</f>
        <v>Core</v>
      </c>
      <c r="M20" s="88" t="str">
        <f>IFERROR(VLOOKUP(TableHandbook[[#This Row],[UDC]],TableOGENVCLM[],7,FALSE),"")</f>
        <v>Core</v>
      </c>
      <c r="N20" s="88" t="str">
        <f>IFERROR(VLOOKUP(TableHandbook[[#This Row],[UDC]],TableOMENVCLM[],7,FALSE),"")</f>
        <v>Core</v>
      </c>
    </row>
    <row r="21" spans="1:14" x14ac:dyDescent="0.25">
      <c r="A21" s="8" t="s">
        <v>95</v>
      </c>
      <c r="B21" s="51">
        <v>3</v>
      </c>
      <c r="C21" s="10" t="s">
        <v>134</v>
      </c>
      <c r="D21" s="8" t="s">
        <v>135</v>
      </c>
      <c r="E21" s="51">
        <v>25</v>
      </c>
      <c r="F21" s="79" t="s">
        <v>103</v>
      </c>
      <c r="G21" s="85" t="str">
        <f>IFERROR(IF(VLOOKUP(TableHandbook[[#This Row],[UDC]],TableAvailabilities[],2,FALSE)&gt;0,"Y",""),"")</f>
        <v/>
      </c>
      <c r="H21" s="80" t="str">
        <f>IFERROR(IF(VLOOKUP(TableHandbook[[#This Row],[UDC]],TableAvailabilities[],3,FALSE)&gt;0,"Y",""),"")</f>
        <v>Y</v>
      </c>
      <c r="I21" s="86" t="str">
        <f>IFERROR(IF(VLOOKUP(TableHandbook[[#This Row],[UDC]],TableAvailabilities[],4,FALSE)&gt;0,"Y",""),"")</f>
        <v/>
      </c>
      <c r="J21" s="87" t="str">
        <f>IFERROR(IF(VLOOKUP(TableHandbook[[#This Row],[UDC]],TableAvailabilities[],5,FALSE)&gt;0,"Y",""),"")</f>
        <v>Y</v>
      </c>
      <c r="K21" s="15"/>
      <c r="L21" s="88" t="str">
        <f>IFERROR(VLOOKUP(TableHandbook[[#This Row],[UDC]],TableOCENVCLM[],7,FALSE),"")</f>
        <v>Option</v>
      </c>
      <c r="M21" s="88" t="str">
        <f>IFERROR(VLOOKUP(TableHandbook[[#This Row],[UDC]],TableOGENVCLM[],7,FALSE),"")</f>
        <v>Option</v>
      </c>
      <c r="N21" s="88" t="str">
        <f>IFERROR(VLOOKUP(TableHandbook[[#This Row],[UDC]],TableOMENVCLM[],7,FALSE),"")</f>
        <v>Option</v>
      </c>
    </row>
    <row r="22" spans="1:14" x14ac:dyDescent="0.25">
      <c r="A22" s="10" t="s">
        <v>96</v>
      </c>
      <c r="B22" s="11">
        <v>1</v>
      </c>
      <c r="C22" s="10" t="s">
        <v>136</v>
      </c>
      <c r="D22" s="10" t="s">
        <v>137</v>
      </c>
      <c r="E22" s="11">
        <v>25</v>
      </c>
      <c r="F22" s="79" t="s">
        <v>103</v>
      </c>
      <c r="G22" s="85" t="str">
        <f>IFERROR(IF(VLOOKUP(TableHandbook[[#This Row],[UDC]],TableAvailabilities[],2,FALSE)&gt;0,"Y",""),"")</f>
        <v>Y</v>
      </c>
      <c r="H22" s="80" t="str">
        <f>IFERROR(IF(VLOOKUP(TableHandbook[[#This Row],[UDC]],TableAvailabilities[],3,FALSE)&gt;0,"Y",""),"")</f>
        <v/>
      </c>
      <c r="I22" s="86" t="str">
        <f>IFERROR(IF(VLOOKUP(TableHandbook[[#This Row],[UDC]],TableAvailabilities[],4,FALSE)&gt;0,"Y",""),"")</f>
        <v>Y</v>
      </c>
      <c r="J22" s="87" t="str">
        <f>IFERROR(IF(VLOOKUP(TableHandbook[[#This Row],[UDC]],TableAvailabilities[],5,FALSE)&gt;0,"Y",""),"")</f>
        <v/>
      </c>
      <c r="K22" s="15"/>
      <c r="L22" s="88" t="str">
        <f>IFERROR(VLOOKUP(TableHandbook[[#This Row],[UDC]],TableOCENVCLM[],7,FALSE),"")</f>
        <v>Option</v>
      </c>
      <c r="M22" s="88" t="str">
        <f>IFERROR(VLOOKUP(TableHandbook[[#This Row],[UDC]],TableOGENVCLM[],7,FALSE),"")</f>
        <v>Option</v>
      </c>
      <c r="N22" s="88" t="str">
        <f>IFERROR(VLOOKUP(TableHandbook[[#This Row],[UDC]],TableOMENVCLM[],7,FALSE),"")</f>
        <v>Option</v>
      </c>
    </row>
    <row r="23" spans="1:14" x14ac:dyDescent="0.25">
      <c r="A23" s="10" t="s">
        <v>97</v>
      </c>
      <c r="B23" s="11">
        <v>2</v>
      </c>
      <c r="C23" s="10" t="s">
        <v>138</v>
      </c>
      <c r="D23" s="10" t="s">
        <v>139</v>
      </c>
      <c r="E23" s="11">
        <v>25</v>
      </c>
      <c r="F23" s="79" t="s">
        <v>103</v>
      </c>
      <c r="G23" s="85" t="str">
        <f>IFERROR(IF(VLOOKUP(TableHandbook[[#This Row],[UDC]],TableAvailabilities[],2,FALSE)&gt;0,"Y",""),"")</f>
        <v/>
      </c>
      <c r="H23" s="80" t="str">
        <f>IFERROR(IF(VLOOKUP(TableHandbook[[#This Row],[UDC]],TableAvailabilities[],3,FALSE)&gt;0,"Y",""),"")</f>
        <v>Y</v>
      </c>
      <c r="I23" s="86" t="str">
        <f>IFERROR(IF(VLOOKUP(TableHandbook[[#This Row],[UDC]],TableAvailabilities[],4,FALSE)&gt;0,"Y",""),"")</f>
        <v/>
      </c>
      <c r="J23" s="87" t="str">
        <f>IFERROR(IF(VLOOKUP(TableHandbook[[#This Row],[UDC]],TableAvailabilities[],5,FALSE)&gt;0,"Y",""),"")</f>
        <v>Y</v>
      </c>
      <c r="K23" s="15"/>
      <c r="L23" s="88" t="str">
        <f>IFERROR(VLOOKUP(TableHandbook[[#This Row],[UDC]],TableOCENVCLM[],7,FALSE),"")</f>
        <v>Option</v>
      </c>
      <c r="M23" s="88" t="str">
        <f>IFERROR(VLOOKUP(TableHandbook[[#This Row],[UDC]],TableOGENVCLM[],7,FALSE),"")</f>
        <v>Option</v>
      </c>
      <c r="N23" s="88" t="str">
        <f>IFERROR(VLOOKUP(TableHandbook[[#This Row],[UDC]],TableOMENVCLM[],7,FALSE),"")</f>
        <v>Option</v>
      </c>
    </row>
    <row r="24" spans="1:14" x14ac:dyDescent="0.25">
      <c r="A24" s="6" t="s">
        <v>98</v>
      </c>
      <c r="B24" s="7">
        <v>1</v>
      </c>
      <c r="C24" s="10" t="s">
        <v>140</v>
      </c>
      <c r="D24" s="6" t="s">
        <v>141</v>
      </c>
      <c r="E24" s="7">
        <v>25</v>
      </c>
      <c r="F24" s="79" t="s">
        <v>103</v>
      </c>
      <c r="G24" s="85" t="str">
        <f>IFERROR(IF(VLOOKUP(TableHandbook[[#This Row],[UDC]],TableAvailabilities[],2,FALSE)&gt;0,"Y",""),"")</f>
        <v/>
      </c>
      <c r="H24" s="80" t="str">
        <f>IFERROR(IF(VLOOKUP(TableHandbook[[#This Row],[UDC]],TableAvailabilities[],3,FALSE)&gt;0,"Y",""),"")</f>
        <v>Y</v>
      </c>
      <c r="I24" s="86" t="str">
        <f>IFERROR(IF(VLOOKUP(TableHandbook[[#This Row],[UDC]],TableAvailabilities[],4,FALSE)&gt;0,"Y",""),"")</f>
        <v/>
      </c>
      <c r="J24" s="87" t="str">
        <f>IFERROR(IF(VLOOKUP(TableHandbook[[#This Row],[UDC]],TableAvailabilities[],5,FALSE)&gt;0,"Y",""),"")</f>
        <v>Y</v>
      </c>
      <c r="K24" s="15"/>
      <c r="L24" s="88" t="str">
        <f>IFERROR(VLOOKUP(TableHandbook[[#This Row],[UDC]],TableOCENVCLM[],7,FALSE),"")</f>
        <v>Option</v>
      </c>
      <c r="M24" s="88" t="str">
        <f>IFERROR(VLOOKUP(TableHandbook[[#This Row],[UDC]],TableOGENVCLM[],7,FALSE),"")</f>
        <v>Option</v>
      </c>
      <c r="N24" s="88" t="str">
        <f>IFERROR(VLOOKUP(TableHandbook[[#This Row],[UDC]],TableOMENVCLM[],7,FALSE),"")</f>
        <v>Option</v>
      </c>
    </row>
    <row r="25" spans="1:14" x14ac:dyDescent="0.25">
      <c r="A25" s="10" t="s">
        <v>69</v>
      </c>
      <c r="B25" s="11">
        <v>1</v>
      </c>
      <c r="C25" s="10" t="s">
        <v>142</v>
      </c>
      <c r="D25" s="10" t="s">
        <v>143</v>
      </c>
      <c r="E25" s="11">
        <v>25</v>
      </c>
      <c r="F25" s="79" t="s">
        <v>103</v>
      </c>
      <c r="G25" s="85" t="str">
        <f>IFERROR(IF(VLOOKUP(TableHandbook[[#This Row],[UDC]],TableAvailabilities[],2,FALSE)&gt;0,"Y",""),"")</f>
        <v>Y</v>
      </c>
      <c r="H25" s="80" t="str">
        <f>IFERROR(IF(VLOOKUP(TableHandbook[[#This Row],[UDC]],TableAvailabilities[],3,FALSE)&gt;0,"Y",""),"")</f>
        <v/>
      </c>
      <c r="I25" s="86" t="str">
        <f>IFERROR(IF(VLOOKUP(TableHandbook[[#This Row],[UDC]],TableAvailabilities[],4,FALSE)&gt;0,"Y",""),"")</f>
        <v>Y</v>
      </c>
      <c r="J25" s="87" t="str">
        <f>IFERROR(IF(VLOOKUP(TableHandbook[[#This Row],[UDC]],TableAvailabilities[],5,FALSE)&gt;0,"Y",""),"")</f>
        <v/>
      </c>
      <c r="K25" s="15"/>
      <c r="L25" s="88" t="str">
        <f>IFERROR(VLOOKUP(TableHandbook[[#This Row],[UDC]],TableOCENVCLM[],7,FALSE),"")</f>
        <v>Option</v>
      </c>
      <c r="M25" s="88" t="str">
        <f>IFERROR(VLOOKUP(TableHandbook[[#This Row],[UDC]],TableOGENVCLM[],7,FALSE),"")</f>
        <v>Option</v>
      </c>
      <c r="N25" s="88" t="str">
        <f>IFERROR(VLOOKUP(TableHandbook[[#This Row],[UDC]],TableOMENVCLM[],7,FALSE),"")</f>
        <v>Core</v>
      </c>
    </row>
    <row r="26" spans="1:14" x14ac:dyDescent="0.25">
      <c r="A26" s="8" t="s">
        <v>99</v>
      </c>
      <c r="B26" s="51">
        <v>1</v>
      </c>
      <c r="C26" s="8" t="s">
        <v>144</v>
      </c>
      <c r="D26" s="8" t="s">
        <v>188</v>
      </c>
      <c r="E26" s="11">
        <v>25</v>
      </c>
      <c r="F26" s="79" t="s">
        <v>189</v>
      </c>
      <c r="G26" s="85" t="str">
        <f>IFERROR(IF(VLOOKUP(TableHandbook[[#This Row],[UDC]],TableAvailabilities[],2,FALSE)&gt;0,"Y",""),"")</f>
        <v/>
      </c>
      <c r="H26" s="80" t="str">
        <f>IFERROR(IF(VLOOKUP(TableHandbook[[#This Row],[UDC]],TableAvailabilities[],3,FALSE)&gt;0,"Y",""),"")</f>
        <v/>
      </c>
      <c r="I26" s="86" t="str">
        <f>IFERROR(IF(VLOOKUP(TableHandbook[[#This Row],[UDC]],TableAvailabilities[],4,FALSE)&gt;0,"Y",""),"")</f>
        <v/>
      </c>
      <c r="J26" s="87" t="str">
        <f>IFERROR(IF(VLOOKUP(TableHandbook[[#This Row],[UDC]],TableAvailabilities[],5,FALSE)&gt;0,"Y",""),"")</f>
        <v/>
      </c>
      <c r="K26" s="239"/>
      <c r="L26" s="88" t="str">
        <f>IFERROR(VLOOKUP(TableHandbook[[#This Row],[UDC]],TableOCENVCLM[],7,FALSE),"")</f>
        <v>Option</v>
      </c>
      <c r="M26" s="88" t="str">
        <f>IFERROR(VLOOKUP(TableHandbook[[#This Row],[UDC]],TableOGENVCLM[],7,FALSE),"")</f>
        <v>Option</v>
      </c>
      <c r="N26" s="88" t="str">
        <f>IFERROR(VLOOKUP(TableHandbook[[#This Row],[UDC]],TableOMENVCLM[],7,FALSE),"")</f>
        <v>Option</v>
      </c>
    </row>
    <row r="27" spans="1:14" x14ac:dyDescent="0.25">
      <c r="B27"/>
      <c r="E27"/>
      <c r="J27"/>
      <c r="K27"/>
      <c r="L27"/>
      <c r="M27"/>
    </row>
    <row r="28" spans="1:14" x14ac:dyDescent="0.25">
      <c r="B28"/>
      <c r="E28"/>
      <c r="J28"/>
      <c r="K28"/>
      <c r="L28"/>
      <c r="M28"/>
    </row>
    <row r="29" spans="1:14" x14ac:dyDescent="0.25">
      <c r="B29"/>
      <c r="E29"/>
      <c r="J29"/>
      <c r="K29"/>
      <c r="L29"/>
      <c r="M29"/>
    </row>
    <row r="30" spans="1:14" x14ac:dyDescent="0.25">
      <c r="B30"/>
      <c r="E30"/>
      <c r="J30"/>
      <c r="K30"/>
      <c r="L30"/>
      <c r="M30"/>
    </row>
    <row r="31" spans="1:14" x14ac:dyDescent="0.25">
      <c r="B31"/>
      <c r="E31"/>
      <c r="J31"/>
      <c r="K31"/>
      <c r="L31"/>
      <c r="M31"/>
    </row>
    <row r="32" spans="1:14" x14ac:dyDescent="0.25">
      <c r="B32"/>
      <c r="E32"/>
      <c r="J32"/>
      <c r="K32"/>
      <c r="L32"/>
      <c r="M32"/>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spans="2:13" x14ac:dyDescent="0.25">
      <c r="B49"/>
      <c r="E49"/>
      <c r="J49"/>
      <c r="K49"/>
      <c r="L49"/>
      <c r="M49"/>
    </row>
    <row r="50" spans="2:13" x14ac:dyDescent="0.25">
      <c r="B50"/>
      <c r="E50"/>
      <c r="J50"/>
      <c r="K50"/>
      <c r="L50"/>
      <c r="M50"/>
    </row>
    <row r="51" spans="2:13" x14ac:dyDescent="0.25">
      <c r="B51"/>
      <c r="E51"/>
      <c r="J51"/>
      <c r="K51"/>
      <c r="L51"/>
      <c r="M51"/>
    </row>
    <row r="52" spans="2:13" x14ac:dyDescent="0.25">
      <c r="B52"/>
      <c r="E52"/>
      <c r="J52"/>
      <c r="K52"/>
      <c r="L52"/>
      <c r="M52"/>
    </row>
    <row r="53" spans="2:13" x14ac:dyDescent="0.25">
      <c r="B53"/>
      <c r="E53"/>
      <c r="J53"/>
      <c r="K53"/>
      <c r="L53"/>
      <c r="M53"/>
    </row>
    <row r="54" spans="2:13" x14ac:dyDescent="0.25">
      <c r="B54"/>
      <c r="E54"/>
      <c r="J54"/>
      <c r="K54"/>
      <c r="L54"/>
      <c r="M54"/>
    </row>
    <row r="55" spans="2:13" x14ac:dyDescent="0.25">
      <c r="B55"/>
      <c r="E55"/>
      <c r="J55"/>
      <c r="K55"/>
      <c r="L55"/>
      <c r="M55"/>
    </row>
    <row r="56" spans="2:13" x14ac:dyDescent="0.25">
      <c r="B56"/>
      <c r="E56"/>
      <c r="J56"/>
      <c r="K56"/>
      <c r="L56"/>
      <c r="M56"/>
    </row>
    <row r="57" spans="2:13" x14ac:dyDescent="0.25">
      <c r="B57"/>
      <c r="E57"/>
      <c r="J57"/>
      <c r="K57"/>
      <c r="L57"/>
      <c r="M57"/>
    </row>
    <row r="58" spans="2:13" x14ac:dyDescent="0.25">
      <c r="B58"/>
      <c r="E58"/>
      <c r="J58"/>
      <c r="K58"/>
      <c r="L58"/>
      <c r="M58"/>
    </row>
    <row r="59" spans="2:13" x14ac:dyDescent="0.25">
      <c r="B59"/>
      <c r="E59"/>
      <c r="J59"/>
      <c r="K59"/>
      <c r="L59"/>
      <c r="M59"/>
    </row>
    <row r="60" spans="2:13" x14ac:dyDescent="0.25">
      <c r="B60"/>
      <c r="E60"/>
    </row>
    <row r="61" spans="2:13" x14ac:dyDescent="0.25">
      <c r="B61"/>
      <c r="E61"/>
    </row>
    <row r="62" spans="2:13" x14ac:dyDescent="0.25">
      <c r="B62"/>
      <c r="E62"/>
    </row>
    <row r="63" spans="2:13" x14ac:dyDescent="0.25">
      <c r="B63"/>
    </row>
    <row r="64" spans="2:13"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sheetData>
  <sortState ref="A24:D37">
    <sortCondition ref="A24"/>
  </sortState>
  <conditionalFormatting sqref="A4:A26">
    <cfRule type="duplicateValues" dxfId="80" priority="1"/>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65"/>
  <sheetViews>
    <sheetView zoomScale="70" zoomScaleNormal="70" workbookViewId="0">
      <selection activeCell="D6" sqref="D6"/>
    </sheetView>
  </sheetViews>
  <sheetFormatPr defaultRowHeight="15.75" x14ac:dyDescent="0.25"/>
  <cols>
    <col min="1" max="1" width="12.5" bestFit="1" customWidth="1"/>
    <col min="2" max="2" width="10" bestFit="1" customWidth="1"/>
    <col min="3" max="3" width="12" bestFit="1" customWidth="1"/>
    <col min="4" max="4" width="63.375" bestFit="1" customWidth="1"/>
    <col min="5" max="5" width="6.25"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63.125" bestFit="1" customWidth="1"/>
    <col min="13" max="13" width="14.375" bestFit="1" customWidth="1"/>
    <col min="14" max="14" width="13" bestFit="1" customWidth="1"/>
    <col min="15" max="15" width="10.125" bestFit="1" customWidth="1"/>
    <col min="17" max="17" width="10.625" bestFit="1" customWidth="1"/>
    <col min="18" max="18" width="7.125" bestFit="1" customWidth="1"/>
  </cols>
  <sheetData>
    <row r="1" spans="1:18" x14ac:dyDescent="0.25">
      <c r="F1" s="25"/>
      <c r="G1" s="89" t="s">
        <v>145</v>
      </c>
      <c r="H1" s="90">
        <v>44013</v>
      </c>
      <c r="J1" s="238" t="s">
        <v>57</v>
      </c>
      <c r="K1" s="68" t="s">
        <v>58</v>
      </c>
      <c r="L1" s="68" t="s">
        <v>56</v>
      </c>
      <c r="N1" s="234" t="s">
        <v>190</v>
      </c>
      <c r="O1" s="237">
        <v>45323</v>
      </c>
    </row>
    <row r="2" spans="1:18" x14ac:dyDescent="0.25">
      <c r="A2" s="62" t="s">
        <v>0</v>
      </c>
      <c r="B2" s="62" t="s">
        <v>53</v>
      </c>
      <c r="C2" s="62" t="s">
        <v>14</v>
      </c>
      <c r="D2" s="62" t="s">
        <v>3</v>
      </c>
      <c r="E2" s="92" t="s">
        <v>146</v>
      </c>
      <c r="F2" s="62" t="s">
        <v>147</v>
      </c>
      <c r="G2" s="62" t="s">
        <v>148</v>
      </c>
      <c r="H2" s="62" t="s">
        <v>149</v>
      </c>
      <c r="I2" s="62" t="s">
        <v>15</v>
      </c>
      <c r="J2" s="62" t="s">
        <v>150</v>
      </c>
      <c r="K2" s="62" t="s">
        <v>1</v>
      </c>
      <c r="L2" s="62" t="s">
        <v>43</v>
      </c>
      <c r="M2" s="62" t="s">
        <v>54</v>
      </c>
      <c r="N2" s="62" t="s">
        <v>191</v>
      </c>
      <c r="O2" s="62" t="s">
        <v>192</v>
      </c>
      <c r="Q2" t="s">
        <v>193</v>
      </c>
      <c r="R2" t="s">
        <v>1</v>
      </c>
    </row>
    <row r="3" spans="1:18" x14ac:dyDescent="0.25">
      <c r="A3" s="62" t="str">
        <f>TableOCENVCLM[[#This Row],[Study Package Code]]</f>
        <v>SUST5013</v>
      </c>
      <c r="B3" s="91">
        <f>TableOCENVCLM[[#This Row],[Ver]]</f>
        <v>2</v>
      </c>
      <c r="C3" s="91" t="str">
        <f>LEFT(TableOCENVCLM[[#This Row],[Structure Line]],(FIND(" ",TableOCENVCLM[[#This Row],[Structure Line]],1)-1))</f>
        <v>SCP543</v>
      </c>
      <c r="D3" s="62" t="str">
        <f>MID(TableOCENVCLM[[#This Row],[Structure Line]],FIND(" ",TableOCENVCLM[[#This Row],[Structure Line]])+1,256)</f>
        <v>Future Cities</v>
      </c>
      <c r="E3" s="93">
        <f>TableOCENVCLM[[#This Row],[Credit Points]]</f>
        <v>25</v>
      </c>
      <c r="F3" s="62">
        <v>1</v>
      </c>
      <c r="G3" s="62" t="s">
        <v>151</v>
      </c>
      <c r="H3" s="62">
        <v>1</v>
      </c>
      <c r="I3" s="94" t="s">
        <v>152</v>
      </c>
      <c r="J3" s="62" t="s">
        <v>47</v>
      </c>
      <c r="K3" s="62">
        <v>2</v>
      </c>
      <c r="L3" s="62" t="s">
        <v>153</v>
      </c>
      <c r="M3" s="236">
        <v>25</v>
      </c>
      <c r="N3" s="237">
        <v>44013</v>
      </c>
      <c r="O3" s="237"/>
      <c r="Q3" t="s">
        <v>47</v>
      </c>
      <c r="R3">
        <v>2</v>
      </c>
    </row>
    <row r="4" spans="1:18" x14ac:dyDescent="0.25">
      <c r="A4" s="62" t="str">
        <f>TableOCENVCLM[[#This Row],[Study Package Code]]</f>
        <v>SUST5025</v>
      </c>
      <c r="B4" s="91">
        <f>TableOCENVCLM[[#This Row],[Ver]]</f>
        <v>1</v>
      </c>
      <c r="C4" s="91" t="str">
        <f>LEFT(TableOCENVCLM[[#This Row],[Structure Line]],(FIND(" ",TableOCENVCLM[[#This Row],[Structure Line]],1)-1))</f>
        <v>SCP530</v>
      </c>
      <c r="D4" s="62" t="str">
        <f>MID(TableOCENVCLM[[#This Row],[Structure Line]],FIND(" ",TableOCENVCLM[[#This Row],[Structure Line]])+1,256)</f>
        <v>Sustainable Waste Management</v>
      </c>
      <c r="E4" s="93">
        <f>TableOCENVCLM[[#This Row],[Credit Points]]</f>
        <v>25</v>
      </c>
      <c r="F4" s="62">
        <v>2</v>
      </c>
      <c r="G4" s="62" t="s">
        <v>151</v>
      </c>
      <c r="H4" s="62">
        <v>1</v>
      </c>
      <c r="I4" s="94" t="s">
        <v>152</v>
      </c>
      <c r="J4" s="62" t="s">
        <v>45</v>
      </c>
      <c r="K4" s="62">
        <v>1</v>
      </c>
      <c r="L4" s="62" t="s">
        <v>154</v>
      </c>
      <c r="M4" s="236">
        <v>25</v>
      </c>
      <c r="N4" s="237">
        <v>44197</v>
      </c>
      <c r="O4" s="237"/>
      <c r="Q4" t="s">
        <v>45</v>
      </c>
      <c r="R4">
        <v>1</v>
      </c>
    </row>
    <row r="5" spans="1:18" x14ac:dyDescent="0.25">
      <c r="A5" s="62" t="str">
        <f>TableOCENVCLM[[#This Row],[Study Package Code]]</f>
        <v>SUST7001</v>
      </c>
      <c r="B5" s="91">
        <f>TableOCENVCLM[[#This Row],[Ver]]</f>
        <v>2</v>
      </c>
      <c r="C5" s="91" t="str">
        <f>LEFT(TableOCENVCLM[[#This Row],[Structure Line]],(FIND(" ",TableOCENVCLM[[#This Row],[Structure Line]],1)-1))</f>
        <v>SCP701</v>
      </c>
      <c r="D5" s="62" t="str">
        <f>MID(TableOCENVCLM[[#This Row],[Structure Line]],FIND(" ",TableOCENVCLM[[#This Row],[Structure Line]])+1,256)</f>
        <v>Introduction to Environment &amp; Climate Emergency</v>
      </c>
      <c r="E5" s="93">
        <f>TableOCENVCLM[[#This Row],[Credit Points]]</f>
        <v>25</v>
      </c>
      <c r="F5" s="62">
        <v>3</v>
      </c>
      <c r="G5" s="62" t="s">
        <v>151</v>
      </c>
      <c r="H5" s="62">
        <v>1</v>
      </c>
      <c r="I5" s="94" t="s">
        <v>152</v>
      </c>
      <c r="J5" s="62" t="s">
        <v>50</v>
      </c>
      <c r="K5" s="62">
        <v>2</v>
      </c>
      <c r="L5" s="62" t="s">
        <v>155</v>
      </c>
      <c r="M5" s="236">
        <v>25</v>
      </c>
      <c r="N5" s="237">
        <v>44013</v>
      </c>
      <c r="O5" s="237"/>
      <c r="Q5" t="s">
        <v>50</v>
      </c>
      <c r="R5">
        <v>2</v>
      </c>
    </row>
    <row r="6" spans="1:18" x14ac:dyDescent="0.25">
      <c r="A6" s="62" t="str">
        <f>TableOCENVCLM[[#This Row],[Study Package Code]]</f>
        <v>Option</v>
      </c>
      <c r="B6" s="91">
        <f>TableOCENVCLM[[#This Row],[Ver]]</f>
        <v>0</v>
      </c>
      <c r="C6" s="91"/>
      <c r="D6" s="62" t="str">
        <f>TableOCENVCLM[[#This Row],[Structure Line]]</f>
        <v>Choose your optional unit</v>
      </c>
      <c r="E6" s="93">
        <f>TableOCENVCLM[[#This Row],[Credit Points]]</f>
        <v>25</v>
      </c>
      <c r="F6" s="62">
        <v>4</v>
      </c>
      <c r="G6" s="62" t="s">
        <v>51</v>
      </c>
      <c r="H6" s="62">
        <v>1</v>
      </c>
      <c r="I6" s="94" t="s">
        <v>152</v>
      </c>
      <c r="J6" s="62" t="s">
        <v>51</v>
      </c>
      <c r="K6" s="62">
        <v>0</v>
      </c>
      <c r="L6" s="62" t="s">
        <v>156</v>
      </c>
      <c r="M6" s="62">
        <v>25</v>
      </c>
      <c r="N6" s="237"/>
      <c r="O6" s="237"/>
      <c r="Q6" t="s">
        <v>51</v>
      </c>
      <c r="R6">
        <v>0</v>
      </c>
    </row>
    <row r="7" spans="1:18" x14ac:dyDescent="0.25">
      <c r="A7" s="62" t="str">
        <f>TableOCENVCLM[[#This Row],[Study Package Code]]</f>
        <v>PRJM6013</v>
      </c>
      <c r="B7" s="91">
        <f>TableOCENVCLM[[#This Row],[Ver]]</f>
        <v>2</v>
      </c>
      <c r="C7" s="91" t="str">
        <f>LEFT(TableOCENVCLM[[#This Row],[Structure Line]],(FIND(" ",TableOCENVCLM[[#This Row],[Structure Line]],1)-1))</f>
        <v>PRM500</v>
      </c>
      <c r="D7" s="62" t="str">
        <f>MID(TableOCENVCLM[[#This Row],[Structure Line]],FIND(" ",TableOCENVCLM[[#This Row],[Structure Line]])+1,256)</f>
        <v>Project Management Overview</v>
      </c>
      <c r="E7" s="93">
        <f>TableOCENVCLM[[#This Row],[Credit Points]]</f>
        <v>25</v>
      </c>
      <c r="F7" s="62">
        <v>4</v>
      </c>
      <c r="G7" s="62" t="s">
        <v>51</v>
      </c>
      <c r="H7" s="62">
        <v>1</v>
      </c>
      <c r="I7" s="94"/>
      <c r="J7" s="62" t="s">
        <v>92</v>
      </c>
      <c r="K7" s="236">
        <v>2</v>
      </c>
      <c r="L7" s="62" t="s">
        <v>157</v>
      </c>
      <c r="M7" s="236">
        <v>25</v>
      </c>
      <c r="N7" s="237">
        <v>42917</v>
      </c>
      <c r="O7" s="237"/>
      <c r="Q7" t="s">
        <v>92</v>
      </c>
      <c r="R7">
        <v>2</v>
      </c>
    </row>
    <row r="8" spans="1:18" x14ac:dyDescent="0.25">
      <c r="A8" s="62" t="str">
        <f>TableOCENVCLM[[#This Row],[Study Package Code]]</f>
        <v>PRJM6015</v>
      </c>
      <c r="B8" s="91">
        <f>TableOCENVCLM[[#This Row],[Ver]]</f>
        <v>1</v>
      </c>
      <c r="C8" s="91" t="str">
        <f>LEFT(TableOCENVCLM[[#This Row],[Structure Line]],(FIND(" ",TableOCENVCLM[[#This Row],[Structure Line]],1)-1))</f>
        <v>PRM510</v>
      </c>
      <c r="D8" s="62" t="str">
        <f>MID(TableOCENVCLM[[#This Row],[Structure Line]],FIND(" ",TableOCENVCLM[[#This Row],[Structure Line]])+1,256)</f>
        <v>Project and People</v>
      </c>
      <c r="E8" s="93">
        <f>TableOCENVCLM[[#This Row],[Credit Points]]</f>
        <v>25</v>
      </c>
      <c r="F8" s="62">
        <v>4</v>
      </c>
      <c r="G8" s="62" t="s">
        <v>51</v>
      </c>
      <c r="H8" s="62">
        <v>1</v>
      </c>
      <c r="I8" s="94"/>
      <c r="J8" s="62" t="s">
        <v>93</v>
      </c>
      <c r="K8" s="236">
        <v>1</v>
      </c>
      <c r="L8" s="62" t="s">
        <v>158</v>
      </c>
      <c r="M8" s="236">
        <v>25</v>
      </c>
      <c r="N8" s="237">
        <v>42917</v>
      </c>
      <c r="O8" s="237"/>
      <c r="Q8" t="s">
        <v>93</v>
      </c>
      <c r="R8">
        <v>1</v>
      </c>
    </row>
    <row r="9" spans="1:18" x14ac:dyDescent="0.25">
      <c r="A9" s="62" t="str">
        <f>TableOCENVCLM[[#This Row],[Study Package Code]]</f>
        <v>SUST5011</v>
      </c>
      <c r="B9" s="91">
        <f>TableOCENVCLM[[#This Row],[Ver]]</f>
        <v>1</v>
      </c>
      <c r="C9" s="91" t="str">
        <f>LEFT(TableOCENVCLM[[#This Row],[Structure Line]],(FIND(" ",TableOCENVCLM[[#This Row],[Structure Line]],1)-1))</f>
        <v>SCP541</v>
      </c>
      <c r="D9" s="62" t="str">
        <f>MID(TableOCENVCLM[[#This Row],[Structure Line]],FIND(" ",TableOCENVCLM[[#This Row],[Structure Line]])+1,256)</f>
        <v>Urban Design for Sustainability</v>
      </c>
      <c r="E9" s="93">
        <f>TableOCENVCLM[[#This Row],[Credit Points]]</f>
        <v>25</v>
      </c>
      <c r="F9" s="62">
        <v>4</v>
      </c>
      <c r="G9" s="62" t="s">
        <v>51</v>
      </c>
      <c r="H9" s="62">
        <v>1</v>
      </c>
      <c r="I9" s="94"/>
      <c r="J9" s="62" t="s">
        <v>94</v>
      </c>
      <c r="K9" s="236">
        <v>1</v>
      </c>
      <c r="L9" s="62" t="s">
        <v>159</v>
      </c>
      <c r="M9" s="236">
        <v>25</v>
      </c>
      <c r="N9" s="237">
        <v>42005</v>
      </c>
      <c r="O9" s="237"/>
      <c r="Q9" t="s">
        <v>94</v>
      </c>
      <c r="R9">
        <v>1</v>
      </c>
    </row>
    <row r="10" spans="1:18" x14ac:dyDescent="0.25">
      <c r="A10" s="62" t="str">
        <f>TableOCENVCLM[[#This Row],[Study Package Code]]</f>
        <v>SUST5014</v>
      </c>
      <c r="B10" s="91">
        <f>TableOCENVCLM[[#This Row],[Ver]]</f>
        <v>1</v>
      </c>
      <c r="C10" s="91" t="str">
        <f>LEFT(TableOCENVCLM[[#This Row],[Structure Line]],(FIND(" ",TableOCENVCLM[[#This Row],[Structure Line]],1)-1))</f>
        <v>SCP544</v>
      </c>
      <c r="D10" s="62" t="str">
        <f>MID(TableOCENVCLM[[#This Row],[Structure Line]],FIND(" ",TableOCENVCLM[[#This Row],[Structure Line]])+1,256)</f>
        <v>Leadership in Sustainability</v>
      </c>
      <c r="E10" s="93">
        <f>TableOCENVCLM[[#This Row],[Credit Points]]</f>
        <v>25</v>
      </c>
      <c r="F10" s="62">
        <v>4</v>
      </c>
      <c r="G10" s="62" t="s">
        <v>51</v>
      </c>
      <c r="H10" s="62">
        <v>1</v>
      </c>
      <c r="I10" s="94"/>
      <c r="J10" s="62" t="s">
        <v>77</v>
      </c>
      <c r="K10" s="236">
        <v>1</v>
      </c>
      <c r="L10" s="62" t="s">
        <v>160</v>
      </c>
      <c r="M10" s="236">
        <v>25</v>
      </c>
      <c r="N10" s="237">
        <v>42005</v>
      </c>
      <c r="O10" s="237"/>
      <c r="Q10" t="s">
        <v>77</v>
      </c>
      <c r="R10">
        <v>1</v>
      </c>
    </row>
    <row r="11" spans="1:18" x14ac:dyDescent="0.25">
      <c r="A11" s="62" t="str">
        <f>TableOCENVCLM[[#This Row],[Study Package Code]]</f>
        <v>SUST5021</v>
      </c>
      <c r="B11" s="91">
        <f>TableOCENVCLM[[#This Row],[Ver]]</f>
        <v>1</v>
      </c>
      <c r="C11" s="91" t="str">
        <f>LEFT(TableOCENVCLM[[#This Row],[Structure Line]],(FIND(" ",TableOCENVCLM[[#This Row],[Structure Line]],1)-1))</f>
        <v>SCP549</v>
      </c>
      <c r="D11" s="62" t="str">
        <f>MID(TableOCENVCLM[[#This Row],[Structure Line]],FIND(" ",TableOCENVCLM[[#This Row],[Structure Line]])+1,256)</f>
        <v>Sustainability, Climate Change and Economics</v>
      </c>
      <c r="E11" s="93">
        <f>TableOCENVCLM[[#This Row],[Credit Points]]</f>
        <v>25</v>
      </c>
      <c r="F11" s="62">
        <v>4</v>
      </c>
      <c r="G11" s="62" t="s">
        <v>51</v>
      </c>
      <c r="H11" s="62">
        <v>1</v>
      </c>
      <c r="I11" s="94"/>
      <c r="J11" s="62" t="s">
        <v>80</v>
      </c>
      <c r="K11" s="236">
        <v>1</v>
      </c>
      <c r="L11" s="62" t="s">
        <v>161</v>
      </c>
      <c r="M11" s="236">
        <v>25</v>
      </c>
      <c r="N11" s="237">
        <v>42736</v>
      </c>
      <c r="O11" s="237"/>
      <c r="Q11" t="s">
        <v>80</v>
      </c>
      <c r="R11">
        <v>1</v>
      </c>
    </row>
    <row r="12" spans="1:18" x14ac:dyDescent="0.25">
      <c r="A12" s="62" t="str">
        <f>TableOCENVCLM[[#This Row],[Study Package Code]]</f>
        <v>URDE5015</v>
      </c>
      <c r="B12" s="91">
        <f>TableOCENVCLM[[#This Row],[Ver]]</f>
        <v>3</v>
      </c>
      <c r="C12" s="91" t="str">
        <f>LEFT(TableOCENVCLM[[#This Row],[Structure Line]],(FIND(" ",TableOCENVCLM[[#This Row],[Structure Line]],1)-1))</f>
        <v>URP530</v>
      </c>
      <c r="D12" s="62" t="str">
        <f>MID(TableOCENVCLM[[#This Row],[Structure Line]],FIND(" ",TableOCENVCLM[[#This Row],[Structure Line]])+1,256)</f>
        <v>Planning Theory and Context</v>
      </c>
      <c r="E12" s="93">
        <f>TableOCENVCLM[[#This Row],[Credit Points]]</f>
        <v>25</v>
      </c>
      <c r="F12" s="62">
        <v>4</v>
      </c>
      <c r="G12" s="62" t="s">
        <v>51</v>
      </c>
      <c r="H12" s="62">
        <v>1</v>
      </c>
      <c r="I12" s="94"/>
      <c r="J12" s="62" t="s">
        <v>95</v>
      </c>
      <c r="K12" s="236">
        <v>3</v>
      </c>
      <c r="L12" s="62" t="s">
        <v>162</v>
      </c>
      <c r="M12" s="236">
        <v>25</v>
      </c>
      <c r="N12" s="237">
        <v>44562</v>
      </c>
      <c r="O12" s="237"/>
      <c r="Q12" t="s">
        <v>95</v>
      </c>
      <c r="R12">
        <v>3</v>
      </c>
    </row>
    <row r="13" spans="1:18" x14ac:dyDescent="0.25">
      <c r="A13" s="62" t="str">
        <f>TableOCENVCLM[[#This Row],[Study Package Code]]</f>
        <v>URDE5016</v>
      </c>
      <c r="B13" s="91">
        <f>TableOCENVCLM[[#This Row],[Ver]]</f>
        <v>1</v>
      </c>
      <c r="C13" s="91" t="str">
        <f>LEFT(TableOCENVCLM[[#This Row],[Structure Line]],(FIND(" ",TableOCENVCLM[[#This Row],[Structure Line]],1)-1))</f>
        <v>URP500</v>
      </c>
      <c r="D13" s="62" t="str">
        <f>MID(TableOCENVCLM[[#This Row],[Structure Line]],FIND(" ",TableOCENVCLM[[#This Row],[Structure Line]])+1,256)</f>
        <v>Planning Law</v>
      </c>
      <c r="E13" s="93">
        <f>TableOCENVCLM[[#This Row],[Credit Points]]</f>
        <v>25</v>
      </c>
      <c r="F13" s="62">
        <v>4</v>
      </c>
      <c r="G13" s="62" t="s">
        <v>51</v>
      </c>
      <c r="H13" s="62">
        <v>1</v>
      </c>
      <c r="I13" s="94"/>
      <c r="J13" s="62" t="s">
        <v>96</v>
      </c>
      <c r="K13" s="236">
        <v>1</v>
      </c>
      <c r="L13" s="62" t="s">
        <v>163</v>
      </c>
      <c r="M13" s="236">
        <v>25</v>
      </c>
      <c r="N13" s="237">
        <v>42005</v>
      </c>
      <c r="O13" s="237"/>
      <c r="Q13" t="s">
        <v>96</v>
      </c>
      <c r="R13">
        <v>1</v>
      </c>
    </row>
    <row r="14" spans="1:18" x14ac:dyDescent="0.25">
      <c r="A14" s="62" t="str">
        <f>TableOCENVCLM[[#This Row],[Study Package Code]]</f>
        <v>URDE5017</v>
      </c>
      <c r="B14" s="91">
        <f>TableOCENVCLM[[#This Row],[Ver]]</f>
        <v>2</v>
      </c>
      <c r="C14" s="91" t="str">
        <f>LEFT(TableOCENVCLM[[#This Row],[Structure Line]],(FIND(" ",TableOCENVCLM[[#This Row],[Structure Line]],1)-1))</f>
        <v>URP510</v>
      </c>
      <c r="D14" s="62" t="str">
        <f>MID(TableOCENVCLM[[#This Row],[Structure Line]],FIND(" ",TableOCENVCLM[[#This Row],[Structure Line]])+1,256)</f>
        <v>Planning for Regions</v>
      </c>
      <c r="E14" s="93">
        <f>TableOCENVCLM[[#This Row],[Credit Points]]</f>
        <v>25</v>
      </c>
      <c r="F14" s="62">
        <v>4</v>
      </c>
      <c r="G14" s="62" t="s">
        <v>51</v>
      </c>
      <c r="H14" s="62">
        <v>1</v>
      </c>
      <c r="I14" s="94"/>
      <c r="J14" s="62" t="s">
        <v>97</v>
      </c>
      <c r="K14" s="236">
        <v>2</v>
      </c>
      <c r="L14" s="62" t="s">
        <v>164</v>
      </c>
      <c r="M14" s="236">
        <v>25</v>
      </c>
      <c r="N14" s="237">
        <v>44197</v>
      </c>
      <c r="O14" s="237"/>
      <c r="Q14" t="s">
        <v>97</v>
      </c>
      <c r="R14">
        <v>2</v>
      </c>
    </row>
    <row r="15" spans="1:18" x14ac:dyDescent="0.25">
      <c r="A15" s="62" t="str">
        <f>TableOCENVCLM[[#This Row],[Study Package Code]]</f>
        <v>URDE6004</v>
      </c>
      <c r="B15" s="91">
        <f>TableOCENVCLM[[#This Row],[Ver]]</f>
        <v>1</v>
      </c>
      <c r="C15" s="91" t="str">
        <f>LEFT(TableOCENVCLM[[#This Row],[Structure Line]],(FIND(" ",TableOCENVCLM[[#This Row],[Structure Line]],1)-1))</f>
        <v>URP640</v>
      </c>
      <c r="D15" s="62" t="str">
        <f>MID(TableOCENVCLM[[#This Row],[Structure Line]],FIND(" ",TableOCENVCLM[[#This Row],[Structure Line]])+1,256)</f>
        <v>Participatory Planning</v>
      </c>
      <c r="E15" s="93">
        <f>TableOCENVCLM[[#This Row],[Credit Points]]</f>
        <v>25</v>
      </c>
      <c r="F15" s="62">
        <v>4</v>
      </c>
      <c r="G15" s="62" t="s">
        <v>51</v>
      </c>
      <c r="H15" s="62">
        <v>1</v>
      </c>
      <c r="I15" s="94"/>
      <c r="J15" s="62" t="s">
        <v>98</v>
      </c>
      <c r="K15" s="236">
        <v>1</v>
      </c>
      <c r="L15" s="62" t="s">
        <v>165</v>
      </c>
      <c r="M15" s="236">
        <v>25</v>
      </c>
      <c r="N15" s="237">
        <v>42005</v>
      </c>
      <c r="O15" s="237"/>
      <c r="Q15" t="s">
        <v>98</v>
      </c>
      <c r="R15">
        <v>1</v>
      </c>
    </row>
    <row r="16" spans="1:18" x14ac:dyDescent="0.25">
      <c r="A16" s="62" t="str">
        <f>TableOCENVCLM[[#This Row],[Study Package Code]]</f>
        <v>URDE6007</v>
      </c>
      <c r="B16" s="91">
        <f>TableOCENVCLM[[#This Row],[Ver]]</f>
        <v>1</v>
      </c>
      <c r="C16" s="91" t="str">
        <f>LEFT(TableOCENVCLM[[#This Row],[Structure Line]],(FIND(" ",TableOCENVCLM[[#This Row],[Structure Line]],1)-1))</f>
        <v>DBE600</v>
      </c>
      <c r="D16" s="62" t="str">
        <f>MID(TableOCENVCLM[[#This Row],[Structure Line]],FIND(" ",TableOCENVCLM[[#This Row],[Structure Line]])+1,256)</f>
        <v>Design and Built Environment Research Methods</v>
      </c>
      <c r="E16" s="93">
        <f>TableOCENVCLM[[#This Row],[Credit Points]]</f>
        <v>25</v>
      </c>
      <c r="F16" s="62">
        <v>4</v>
      </c>
      <c r="G16" s="62" t="s">
        <v>51</v>
      </c>
      <c r="H16" s="62">
        <v>1</v>
      </c>
      <c r="I16" s="94"/>
      <c r="J16" s="62" t="s">
        <v>69</v>
      </c>
      <c r="K16" s="236">
        <v>1</v>
      </c>
      <c r="L16" s="62" t="s">
        <v>166</v>
      </c>
      <c r="M16" s="236">
        <v>25</v>
      </c>
      <c r="N16" s="237">
        <v>44562</v>
      </c>
      <c r="O16" s="237"/>
      <c r="Q16" t="s">
        <v>69</v>
      </c>
      <c r="R16">
        <v>1</v>
      </c>
    </row>
    <row r="17" spans="1:18" x14ac:dyDescent="0.25">
      <c r="A17" s="62" t="str">
        <f>TableOCENVCLM[[#This Row],[Study Package Code]]</f>
        <v>WORK5001</v>
      </c>
      <c r="B17" s="91">
        <f>TableOCENVCLM[[#This Row],[Ver]]</f>
        <v>1</v>
      </c>
      <c r="C17" s="91" t="str">
        <f>LEFT(TableOCENVCLM[[#This Row],[Structure Line]],(FIND(" ",TableOCENVCLM[[#This Row],[Structure Line]],1)-1))</f>
        <v>WBP500</v>
      </c>
      <c r="D17" s="62" t="str">
        <f>MID(TableOCENVCLM[[#This Row],[Structure Line]],FIND(" ",TableOCENVCLM[[#This Row],[Structure Line]])+1,256)</f>
        <v>Work Based Project</v>
      </c>
      <c r="E17" s="93">
        <f>TableOCENVCLM[[#This Row],[Credit Points]]</f>
        <v>25</v>
      </c>
      <c r="F17" s="62">
        <v>4</v>
      </c>
      <c r="G17" s="62" t="s">
        <v>51</v>
      </c>
      <c r="H17" s="62">
        <v>1</v>
      </c>
      <c r="I17" s="94"/>
      <c r="J17" s="62" t="s">
        <v>99</v>
      </c>
      <c r="K17" s="236">
        <v>1</v>
      </c>
      <c r="L17" s="62" t="s">
        <v>167</v>
      </c>
      <c r="M17" s="236">
        <v>25</v>
      </c>
      <c r="N17" s="237">
        <v>44287</v>
      </c>
      <c r="O17" s="237"/>
      <c r="Q17" t="s">
        <v>99</v>
      </c>
      <c r="R17">
        <v>1</v>
      </c>
    </row>
    <row r="18" spans="1:18" x14ac:dyDescent="0.25">
      <c r="A18" s="62"/>
      <c r="B18" s="91"/>
      <c r="C18" s="91"/>
      <c r="D18" s="62"/>
      <c r="E18" s="91"/>
      <c r="F18" s="62"/>
      <c r="G18" s="62"/>
      <c r="H18" s="62"/>
      <c r="I18" s="94"/>
      <c r="J18" s="62"/>
      <c r="K18" s="62"/>
      <c r="L18" s="62"/>
      <c r="M18" s="62"/>
    </row>
    <row r="19" spans="1:18" x14ac:dyDescent="0.25">
      <c r="F19" s="25"/>
      <c r="G19" s="89" t="s">
        <v>145</v>
      </c>
      <c r="H19" s="90">
        <v>44013</v>
      </c>
      <c r="J19" s="238" t="s">
        <v>61</v>
      </c>
      <c r="K19" s="68" t="s">
        <v>58</v>
      </c>
      <c r="L19" s="68" t="s">
        <v>60</v>
      </c>
      <c r="N19" s="234" t="s">
        <v>190</v>
      </c>
      <c r="O19" s="237">
        <v>45323</v>
      </c>
    </row>
    <row r="20" spans="1:18" x14ac:dyDescent="0.25">
      <c r="A20" s="62" t="s">
        <v>0</v>
      </c>
      <c r="B20" s="62" t="s">
        <v>53</v>
      </c>
      <c r="C20" s="62" t="s">
        <v>14</v>
      </c>
      <c r="D20" s="62" t="s">
        <v>3</v>
      </c>
      <c r="E20" s="92" t="s">
        <v>146</v>
      </c>
      <c r="F20" s="62" t="s">
        <v>147</v>
      </c>
      <c r="G20" s="62" t="s">
        <v>148</v>
      </c>
      <c r="H20" s="62" t="s">
        <v>149</v>
      </c>
      <c r="I20" s="62" t="s">
        <v>15</v>
      </c>
      <c r="J20" s="62" t="s">
        <v>150</v>
      </c>
      <c r="K20" s="62" t="s">
        <v>1</v>
      </c>
      <c r="L20" s="62" t="s">
        <v>43</v>
      </c>
      <c r="M20" s="62" t="s">
        <v>54</v>
      </c>
      <c r="N20" s="62" t="s">
        <v>191</v>
      </c>
      <c r="O20" s="62" t="s">
        <v>192</v>
      </c>
      <c r="Q20" t="s">
        <v>193</v>
      </c>
      <c r="R20" t="s">
        <v>1</v>
      </c>
    </row>
    <row r="21" spans="1:18" x14ac:dyDescent="0.25">
      <c r="A21" s="62" t="str">
        <f>TableOGENVCLM[[#This Row],[Study Package Code]]</f>
        <v>SUST5025</v>
      </c>
      <c r="B21" s="91">
        <f>TableOGENVCLM[[#This Row],[Ver]]</f>
        <v>1</v>
      </c>
      <c r="C21" s="91" t="str">
        <f>LEFT(TableOGENVCLM[[#This Row],[Structure Line]],(FIND(" ",TableOGENVCLM[[#This Row],[Structure Line]],1)-1))</f>
        <v>SCP530</v>
      </c>
      <c r="D21" s="62" t="str">
        <f>MID(TableOGENVCLM[[#This Row],[Structure Line]],FIND(" ",TableOGENVCLM[[#This Row],[Structure Line]])+1,256)</f>
        <v>Sustainable Waste Management</v>
      </c>
      <c r="E21" s="93">
        <f>TableOGENVCLM[[#This Row],[Credit Points]]</f>
        <v>25</v>
      </c>
      <c r="F21" s="62">
        <v>1</v>
      </c>
      <c r="G21" s="62" t="s">
        <v>151</v>
      </c>
      <c r="H21" s="62">
        <v>1</v>
      </c>
      <c r="I21" s="94" t="s">
        <v>152</v>
      </c>
      <c r="J21" s="62" t="s">
        <v>45</v>
      </c>
      <c r="K21" s="62">
        <v>1</v>
      </c>
      <c r="L21" s="62" t="s">
        <v>154</v>
      </c>
      <c r="M21" s="236">
        <v>25</v>
      </c>
      <c r="N21" s="237">
        <v>44197</v>
      </c>
      <c r="O21" s="237"/>
      <c r="Q21" t="s">
        <v>45</v>
      </c>
      <c r="R21">
        <v>1</v>
      </c>
    </row>
    <row r="22" spans="1:18" x14ac:dyDescent="0.25">
      <c r="A22" s="62" t="str">
        <f>TableOGENVCLM[[#This Row],[Study Package Code]]</f>
        <v>SUST5013</v>
      </c>
      <c r="B22" s="91">
        <f>TableOGENVCLM[[#This Row],[Ver]]</f>
        <v>2</v>
      </c>
      <c r="C22" s="91" t="str">
        <f>LEFT(TableOGENVCLM[[#This Row],[Structure Line]],(FIND(" ",TableOGENVCLM[[#This Row],[Structure Line]],1)-1))</f>
        <v>SCP543</v>
      </c>
      <c r="D22" s="62" t="str">
        <f>MID(TableOGENVCLM[[#This Row],[Structure Line]],FIND(" ",TableOGENVCLM[[#This Row],[Structure Line]])+1,256)</f>
        <v>Future Cities</v>
      </c>
      <c r="E22" s="93">
        <f>TableOGENVCLM[[#This Row],[Credit Points]]</f>
        <v>25</v>
      </c>
      <c r="F22" s="62">
        <v>2</v>
      </c>
      <c r="G22" s="62" t="s">
        <v>151</v>
      </c>
      <c r="H22" s="62">
        <v>1</v>
      </c>
      <c r="I22" s="94" t="s">
        <v>152</v>
      </c>
      <c r="J22" s="62" t="s">
        <v>47</v>
      </c>
      <c r="K22" s="62">
        <v>2</v>
      </c>
      <c r="L22" s="62" t="s">
        <v>153</v>
      </c>
      <c r="M22" s="236">
        <v>25</v>
      </c>
      <c r="N22" s="237">
        <v>44013</v>
      </c>
      <c r="O22" s="237"/>
      <c r="Q22" t="s">
        <v>47</v>
      </c>
      <c r="R22">
        <v>2</v>
      </c>
    </row>
    <row r="23" spans="1:18" x14ac:dyDescent="0.25">
      <c r="A23" s="62" t="str">
        <f>TableOGENVCLM[[#This Row],[Study Package Code]]</f>
        <v>SUST7001</v>
      </c>
      <c r="B23" s="91">
        <f>TableOGENVCLM[[#This Row],[Ver]]</f>
        <v>2</v>
      </c>
      <c r="C23" s="91" t="str">
        <f>LEFT(TableOGENVCLM[[#This Row],[Structure Line]],(FIND(" ",TableOGENVCLM[[#This Row],[Structure Line]],1)-1))</f>
        <v>SCP701</v>
      </c>
      <c r="D23" s="62" t="str">
        <f>MID(TableOGENVCLM[[#This Row],[Structure Line]],FIND(" ",TableOGENVCLM[[#This Row],[Structure Line]])+1,256)</f>
        <v>Introduction to Environment &amp; Climate Emergency</v>
      </c>
      <c r="E23" s="93">
        <f>TableOGENVCLM[[#This Row],[Credit Points]]</f>
        <v>25</v>
      </c>
      <c r="F23" s="62">
        <v>3</v>
      </c>
      <c r="G23" s="62" t="s">
        <v>151</v>
      </c>
      <c r="H23" s="62">
        <v>1</v>
      </c>
      <c r="I23" s="94" t="s">
        <v>152</v>
      </c>
      <c r="J23" s="62" t="s">
        <v>50</v>
      </c>
      <c r="K23" s="62">
        <v>2</v>
      </c>
      <c r="L23" s="62" t="s">
        <v>155</v>
      </c>
      <c r="M23" s="236">
        <v>25</v>
      </c>
      <c r="N23" s="237">
        <v>44013</v>
      </c>
      <c r="O23" s="237"/>
      <c r="Q23" t="s">
        <v>50</v>
      </c>
      <c r="R23">
        <v>2</v>
      </c>
    </row>
    <row r="24" spans="1:18" x14ac:dyDescent="0.25">
      <c r="A24" s="62" t="str">
        <f>TableOGENVCLM[[#This Row],[Study Package Code]]</f>
        <v>Option</v>
      </c>
      <c r="B24" s="91">
        <f>TableOGENVCLM[[#This Row],[Ver]]</f>
        <v>0</v>
      </c>
      <c r="C24" s="91"/>
      <c r="D24" s="62" t="str">
        <f>TableOGENVCLM[[#This Row],[Structure Line]]</f>
        <v>Choose your optional unit</v>
      </c>
      <c r="E24" s="93">
        <f>TableOGENVCLM[[#This Row],[Credit Points]]</f>
        <v>25</v>
      </c>
      <c r="F24" s="62">
        <v>4</v>
      </c>
      <c r="G24" s="62" t="s">
        <v>51</v>
      </c>
      <c r="H24" s="62">
        <v>1</v>
      </c>
      <c r="I24" s="94" t="s">
        <v>152</v>
      </c>
      <c r="J24" s="62" t="s">
        <v>51</v>
      </c>
      <c r="K24" s="62">
        <v>0</v>
      </c>
      <c r="L24" s="62" t="s">
        <v>156</v>
      </c>
      <c r="M24" s="236">
        <v>25</v>
      </c>
      <c r="N24" s="237"/>
      <c r="O24" s="237"/>
      <c r="Q24" t="s">
        <v>51</v>
      </c>
      <c r="R24">
        <v>0</v>
      </c>
    </row>
    <row r="25" spans="1:18" x14ac:dyDescent="0.25">
      <c r="A25" s="62" t="str">
        <f>TableOGENVCLM[[#This Row],[Study Package Code]]</f>
        <v>SUST5010</v>
      </c>
      <c r="B25" s="91">
        <f>TableOGENVCLM[[#This Row],[Ver]]</f>
        <v>2</v>
      </c>
      <c r="C25" s="91" t="str">
        <f>LEFT(TableOGENVCLM[[#This Row],[Structure Line]],(FIND(" ",TableOGENVCLM[[#This Row],[Structure Line]],1)-1))</f>
        <v>SCP522</v>
      </c>
      <c r="D25" s="62" t="str">
        <f>MID(TableOGENVCLM[[#This Row],[Structure Line]],FIND(" ",TableOGENVCLM[[#This Row],[Structure Line]])+1,256)</f>
        <v>Pathways to a Climate Resilient Society</v>
      </c>
      <c r="E25" s="93">
        <f>TableOGENVCLM[[#This Row],[Credit Points]]</f>
        <v>25</v>
      </c>
      <c r="F25" s="62">
        <v>5</v>
      </c>
      <c r="G25" s="62" t="s">
        <v>151</v>
      </c>
      <c r="H25" s="62">
        <v>1</v>
      </c>
      <c r="I25" s="94" t="s">
        <v>168</v>
      </c>
      <c r="J25" s="62" t="s">
        <v>52</v>
      </c>
      <c r="K25" s="62">
        <v>2</v>
      </c>
      <c r="L25" s="62" t="s">
        <v>169</v>
      </c>
      <c r="M25" s="236">
        <v>25</v>
      </c>
      <c r="N25" s="237">
        <v>44013</v>
      </c>
      <c r="O25" s="237"/>
      <c r="Q25" t="s">
        <v>52</v>
      </c>
      <c r="R25">
        <v>2</v>
      </c>
    </row>
    <row r="26" spans="1:18" x14ac:dyDescent="0.25">
      <c r="A26" s="62" t="str">
        <f>TableOGENVCLM[[#This Row],[Study Package Code]]</f>
        <v>SUST5016</v>
      </c>
      <c r="B26" s="91">
        <f>TableOGENVCLM[[#This Row],[Ver]]</f>
        <v>1</v>
      </c>
      <c r="C26" s="91" t="str">
        <f>LEFT(TableOGENVCLM[[#This Row],[Structure Line]],(FIND(" ",TableOGENVCLM[[#This Row],[Structure Line]],1)-1))</f>
        <v>SCP547</v>
      </c>
      <c r="D26" s="62" t="str">
        <f>MID(TableOGENVCLM[[#This Row],[Structure Line]],FIND(" ",TableOGENVCLM[[#This Row],[Structure Line]])+1,256)</f>
        <v>Climate Policy</v>
      </c>
      <c r="E26" s="93">
        <f>TableOGENVCLM[[#This Row],[Credit Points]]</f>
        <v>25</v>
      </c>
      <c r="F26" s="62">
        <v>6</v>
      </c>
      <c r="G26" s="62" t="s">
        <v>151</v>
      </c>
      <c r="H26" s="62">
        <v>1</v>
      </c>
      <c r="I26" s="94" t="s">
        <v>168</v>
      </c>
      <c r="J26" s="62" t="s">
        <v>63</v>
      </c>
      <c r="K26" s="62">
        <v>1</v>
      </c>
      <c r="L26" s="62" t="s">
        <v>170</v>
      </c>
      <c r="M26" s="236">
        <v>25</v>
      </c>
      <c r="N26" s="237">
        <v>42005</v>
      </c>
      <c r="O26" s="237"/>
      <c r="Q26" t="s">
        <v>63</v>
      </c>
      <c r="R26">
        <v>1</v>
      </c>
    </row>
    <row r="27" spans="1:18" x14ac:dyDescent="0.25">
      <c r="A27" s="62" t="str">
        <f>TableOGENVCLM[[#This Row],[Study Package Code]]</f>
        <v>SUST5019</v>
      </c>
      <c r="B27" s="91">
        <f>TableOGENVCLM[[#This Row],[Ver]]</f>
        <v>2</v>
      </c>
      <c r="C27" s="91" t="str">
        <f>LEFT(TableOGENVCLM[[#This Row],[Structure Line]],(FIND(" ",TableOGENVCLM[[#This Row],[Structure Line]],1)-1))</f>
        <v>SCP548</v>
      </c>
      <c r="D27" s="62" t="str">
        <f>MID(TableOGENVCLM[[#This Row],[Structure Line]],FIND(" ",TableOGENVCLM[[#This Row],[Structure Line]])+1,256)</f>
        <v>People and Planet</v>
      </c>
      <c r="E27" s="93">
        <f>TableOGENVCLM[[#This Row],[Credit Points]]</f>
        <v>25</v>
      </c>
      <c r="F27" s="62">
        <v>7</v>
      </c>
      <c r="G27" s="62" t="s">
        <v>151</v>
      </c>
      <c r="H27" s="62">
        <v>1</v>
      </c>
      <c r="I27" s="94" t="s">
        <v>168</v>
      </c>
      <c r="J27" s="62" t="s">
        <v>64</v>
      </c>
      <c r="K27" s="62">
        <v>2</v>
      </c>
      <c r="L27" s="62" t="s">
        <v>171</v>
      </c>
      <c r="M27" s="236">
        <v>25</v>
      </c>
      <c r="N27" s="237">
        <v>44013</v>
      </c>
      <c r="O27" s="237"/>
      <c r="Q27" t="s">
        <v>64</v>
      </c>
      <c r="R27">
        <v>2</v>
      </c>
    </row>
    <row r="28" spans="1:18" x14ac:dyDescent="0.25">
      <c r="A28" s="62" t="str">
        <f>TableOGENVCLM[[#This Row],[Study Package Code]]</f>
        <v>Option</v>
      </c>
      <c r="B28" s="91">
        <f>TableOGENVCLM[[#This Row],[Ver]]</f>
        <v>0</v>
      </c>
      <c r="C28" s="91"/>
      <c r="D28" s="62" t="str">
        <f>TableOGENVCLM[[#This Row],[Structure Line]]</f>
        <v>Choose your optional unit</v>
      </c>
      <c r="E28" s="93">
        <f>TableOGENVCLM[[#This Row],[Credit Points]]</f>
        <v>25</v>
      </c>
      <c r="F28" s="62">
        <v>8</v>
      </c>
      <c r="G28" s="62" t="s">
        <v>51</v>
      </c>
      <c r="H28" s="62">
        <v>1</v>
      </c>
      <c r="I28" s="94" t="s">
        <v>168</v>
      </c>
      <c r="J28" s="62" t="s">
        <v>51</v>
      </c>
      <c r="K28" s="62">
        <v>0</v>
      </c>
      <c r="L28" s="62" t="s">
        <v>156</v>
      </c>
      <c r="M28" s="236">
        <v>25</v>
      </c>
      <c r="N28" s="237"/>
      <c r="O28" s="237"/>
      <c r="Q28" t="s">
        <v>51</v>
      </c>
      <c r="R28">
        <v>0</v>
      </c>
    </row>
    <row r="29" spans="1:18" x14ac:dyDescent="0.25">
      <c r="A29" s="62" t="str">
        <f>TableOGENVCLM[[#This Row],[Study Package Code]]</f>
        <v>PRJM6013</v>
      </c>
      <c r="B29" s="91">
        <f>TableOGENVCLM[[#This Row],[Ver]]</f>
        <v>2</v>
      </c>
      <c r="C29" s="91" t="str">
        <f>LEFT(TableOGENVCLM[[#This Row],[Structure Line]],(FIND(" ",TableOGENVCLM[[#This Row],[Structure Line]],1)-1))</f>
        <v>PRM500</v>
      </c>
      <c r="D29" s="62" t="str">
        <f>MID(TableOGENVCLM[[#This Row],[Structure Line]],FIND(" ",TableOGENVCLM[[#This Row],[Structure Line]])+1,256)</f>
        <v>Project Management Overview</v>
      </c>
      <c r="E29" s="93">
        <f>TableOGENVCLM[[#This Row],[Credit Points]]</f>
        <v>25</v>
      </c>
      <c r="F29" s="62"/>
      <c r="G29" s="62" t="s">
        <v>51</v>
      </c>
      <c r="H29" s="62"/>
      <c r="I29" s="94"/>
      <c r="J29" s="62" t="s">
        <v>92</v>
      </c>
      <c r="K29" s="236">
        <v>2</v>
      </c>
      <c r="L29" s="62" t="s">
        <v>157</v>
      </c>
      <c r="M29" s="236">
        <v>25</v>
      </c>
      <c r="N29" s="237">
        <v>42917</v>
      </c>
      <c r="O29" s="237"/>
      <c r="Q29" t="s">
        <v>92</v>
      </c>
      <c r="R29">
        <v>2</v>
      </c>
    </row>
    <row r="30" spans="1:18" x14ac:dyDescent="0.25">
      <c r="A30" s="62" t="str">
        <f>TableOGENVCLM[[#This Row],[Study Package Code]]</f>
        <v>PRJM6015</v>
      </c>
      <c r="B30" s="91">
        <f>TableOGENVCLM[[#This Row],[Ver]]</f>
        <v>1</v>
      </c>
      <c r="C30" s="91" t="str">
        <f>LEFT(TableOGENVCLM[[#This Row],[Structure Line]],(FIND(" ",TableOGENVCLM[[#This Row],[Structure Line]],1)-1))</f>
        <v>PRM510</v>
      </c>
      <c r="D30" s="62" t="str">
        <f>MID(TableOGENVCLM[[#This Row],[Structure Line]],FIND(" ",TableOGENVCLM[[#This Row],[Structure Line]])+1,256)</f>
        <v>Project and People</v>
      </c>
      <c r="E30" s="93">
        <f>TableOGENVCLM[[#This Row],[Credit Points]]</f>
        <v>25</v>
      </c>
      <c r="F30" s="62"/>
      <c r="G30" s="62" t="s">
        <v>51</v>
      </c>
      <c r="H30" s="62"/>
      <c r="I30" s="94"/>
      <c r="J30" s="62" t="s">
        <v>93</v>
      </c>
      <c r="K30" s="236">
        <v>1</v>
      </c>
      <c r="L30" s="62" t="s">
        <v>158</v>
      </c>
      <c r="M30" s="236">
        <v>25</v>
      </c>
      <c r="N30" s="237">
        <v>42917</v>
      </c>
      <c r="O30" s="237"/>
      <c r="Q30" t="s">
        <v>93</v>
      </c>
      <c r="R30">
        <v>1</v>
      </c>
    </row>
    <row r="31" spans="1:18" x14ac:dyDescent="0.25">
      <c r="A31" s="62" t="str">
        <f>TableOGENVCLM[[#This Row],[Study Package Code]]</f>
        <v>SUST5011</v>
      </c>
      <c r="B31" s="91">
        <f>TableOGENVCLM[[#This Row],[Ver]]</f>
        <v>1</v>
      </c>
      <c r="C31" s="91" t="str">
        <f>LEFT(TableOGENVCLM[[#This Row],[Structure Line]],(FIND(" ",TableOGENVCLM[[#This Row],[Structure Line]],1)-1))</f>
        <v>SCP541</v>
      </c>
      <c r="D31" s="62" t="str">
        <f>MID(TableOGENVCLM[[#This Row],[Structure Line]],FIND(" ",TableOGENVCLM[[#This Row],[Structure Line]])+1,256)</f>
        <v>Urban Design for Sustainability</v>
      </c>
      <c r="E31" s="93">
        <f>TableOGENVCLM[[#This Row],[Credit Points]]</f>
        <v>25</v>
      </c>
      <c r="F31" s="62"/>
      <c r="G31" s="62" t="s">
        <v>51</v>
      </c>
      <c r="H31" s="62"/>
      <c r="I31" s="94"/>
      <c r="J31" s="62" t="s">
        <v>94</v>
      </c>
      <c r="K31" s="236">
        <v>1</v>
      </c>
      <c r="L31" s="62" t="s">
        <v>159</v>
      </c>
      <c r="M31" s="236">
        <v>25</v>
      </c>
      <c r="N31" s="237">
        <v>42005</v>
      </c>
      <c r="O31" s="237"/>
      <c r="Q31" t="s">
        <v>94</v>
      </c>
      <c r="R31">
        <v>1</v>
      </c>
    </row>
    <row r="32" spans="1:18" x14ac:dyDescent="0.25">
      <c r="A32" s="62" t="str">
        <f>TableOGENVCLM[[#This Row],[Study Package Code]]</f>
        <v>SUST5014</v>
      </c>
      <c r="B32" s="91">
        <f>TableOGENVCLM[[#This Row],[Ver]]</f>
        <v>1</v>
      </c>
      <c r="C32" s="91" t="str">
        <f>LEFT(TableOGENVCLM[[#This Row],[Structure Line]],(FIND(" ",TableOGENVCLM[[#This Row],[Structure Line]],1)-1))</f>
        <v>SCP544</v>
      </c>
      <c r="D32" s="62" t="str">
        <f>MID(TableOGENVCLM[[#This Row],[Structure Line]],FIND(" ",TableOGENVCLM[[#This Row],[Structure Line]])+1,256)</f>
        <v>Leadership in Sustainability</v>
      </c>
      <c r="E32" s="93">
        <f>TableOGENVCLM[[#This Row],[Credit Points]]</f>
        <v>25</v>
      </c>
      <c r="F32" s="62"/>
      <c r="G32" s="62" t="s">
        <v>51</v>
      </c>
      <c r="H32" s="62"/>
      <c r="I32" s="94"/>
      <c r="J32" s="62" t="s">
        <v>77</v>
      </c>
      <c r="K32" s="236">
        <v>1</v>
      </c>
      <c r="L32" s="62" t="s">
        <v>160</v>
      </c>
      <c r="M32" s="236">
        <v>25</v>
      </c>
      <c r="N32" s="237">
        <v>42005</v>
      </c>
      <c r="O32" s="237"/>
      <c r="Q32" t="s">
        <v>77</v>
      </c>
      <c r="R32">
        <v>1</v>
      </c>
    </row>
    <row r="33" spans="1:18" x14ac:dyDescent="0.25">
      <c r="A33" s="62" t="str">
        <f>TableOGENVCLM[[#This Row],[Study Package Code]]</f>
        <v>SUST5021</v>
      </c>
      <c r="B33" s="91">
        <f>TableOGENVCLM[[#This Row],[Ver]]</f>
        <v>1</v>
      </c>
      <c r="C33" s="91" t="str">
        <f>LEFT(TableOGENVCLM[[#This Row],[Structure Line]],(FIND(" ",TableOGENVCLM[[#This Row],[Structure Line]],1)-1))</f>
        <v>SCP549</v>
      </c>
      <c r="D33" s="62" t="str">
        <f>MID(TableOGENVCLM[[#This Row],[Structure Line]],FIND(" ",TableOGENVCLM[[#This Row],[Structure Line]])+1,256)</f>
        <v>Sustainability, Climate Change and Economics</v>
      </c>
      <c r="E33" s="93">
        <f>TableOGENVCLM[[#This Row],[Credit Points]]</f>
        <v>25</v>
      </c>
      <c r="F33" s="62"/>
      <c r="G33" s="62" t="s">
        <v>51</v>
      </c>
      <c r="H33" s="62"/>
      <c r="I33" s="94"/>
      <c r="J33" s="62" t="s">
        <v>80</v>
      </c>
      <c r="K33" s="236">
        <v>1</v>
      </c>
      <c r="L33" s="62" t="s">
        <v>161</v>
      </c>
      <c r="M33" s="236">
        <v>25</v>
      </c>
      <c r="N33" s="237">
        <v>42736</v>
      </c>
      <c r="O33" s="237"/>
      <c r="Q33" t="s">
        <v>80</v>
      </c>
      <c r="R33">
        <v>1</v>
      </c>
    </row>
    <row r="34" spans="1:18" x14ac:dyDescent="0.25">
      <c r="A34" s="62" t="str">
        <f>TableOGENVCLM[[#This Row],[Study Package Code]]</f>
        <v>URDE5015</v>
      </c>
      <c r="B34" s="91">
        <f>TableOGENVCLM[[#This Row],[Ver]]</f>
        <v>3</v>
      </c>
      <c r="C34" s="91" t="str">
        <f>LEFT(TableOGENVCLM[[#This Row],[Structure Line]],(FIND(" ",TableOGENVCLM[[#This Row],[Structure Line]],1)-1))</f>
        <v>URP530</v>
      </c>
      <c r="D34" s="62" t="str">
        <f>MID(TableOGENVCLM[[#This Row],[Structure Line]],FIND(" ",TableOGENVCLM[[#This Row],[Structure Line]])+1,256)</f>
        <v>Planning Theory and Context</v>
      </c>
      <c r="E34" s="93">
        <f>TableOGENVCLM[[#This Row],[Credit Points]]</f>
        <v>25</v>
      </c>
      <c r="F34" s="62"/>
      <c r="G34" s="62" t="s">
        <v>51</v>
      </c>
      <c r="H34" s="62"/>
      <c r="I34" s="94"/>
      <c r="J34" s="62" t="s">
        <v>95</v>
      </c>
      <c r="K34" s="236">
        <v>3</v>
      </c>
      <c r="L34" s="62" t="s">
        <v>162</v>
      </c>
      <c r="M34" s="236">
        <v>25</v>
      </c>
      <c r="N34" s="237">
        <v>44562</v>
      </c>
      <c r="O34" s="237"/>
      <c r="Q34" t="s">
        <v>95</v>
      </c>
      <c r="R34">
        <v>3</v>
      </c>
    </row>
    <row r="35" spans="1:18" x14ac:dyDescent="0.25">
      <c r="A35" s="62" t="str">
        <f>TableOGENVCLM[[#This Row],[Study Package Code]]</f>
        <v>URDE5016</v>
      </c>
      <c r="B35" s="91">
        <f>TableOGENVCLM[[#This Row],[Ver]]</f>
        <v>1</v>
      </c>
      <c r="C35" s="91" t="str">
        <f>LEFT(TableOGENVCLM[[#This Row],[Structure Line]],(FIND(" ",TableOGENVCLM[[#This Row],[Structure Line]],1)-1))</f>
        <v>URP500</v>
      </c>
      <c r="D35" s="62" t="str">
        <f>MID(TableOGENVCLM[[#This Row],[Structure Line]],FIND(" ",TableOGENVCLM[[#This Row],[Structure Line]])+1,256)</f>
        <v>Planning Law</v>
      </c>
      <c r="E35" s="93">
        <f>TableOGENVCLM[[#This Row],[Credit Points]]</f>
        <v>25</v>
      </c>
      <c r="F35" s="62"/>
      <c r="G35" s="62" t="s">
        <v>51</v>
      </c>
      <c r="H35" s="62"/>
      <c r="I35" s="94"/>
      <c r="J35" s="62" t="s">
        <v>96</v>
      </c>
      <c r="K35" s="236">
        <v>1</v>
      </c>
      <c r="L35" s="62" t="s">
        <v>163</v>
      </c>
      <c r="M35" s="236">
        <v>25</v>
      </c>
      <c r="N35" s="237">
        <v>42005</v>
      </c>
      <c r="O35" s="237"/>
      <c r="Q35" t="s">
        <v>96</v>
      </c>
      <c r="R35">
        <v>1</v>
      </c>
    </row>
    <row r="36" spans="1:18" x14ac:dyDescent="0.25">
      <c r="A36" s="62" t="str">
        <f>TableOGENVCLM[[#This Row],[Study Package Code]]</f>
        <v>URDE5017</v>
      </c>
      <c r="B36" s="91">
        <f>TableOGENVCLM[[#This Row],[Ver]]</f>
        <v>2</v>
      </c>
      <c r="C36" s="91" t="str">
        <f>LEFT(TableOGENVCLM[[#This Row],[Structure Line]],(FIND(" ",TableOGENVCLM[[#This Row],[Structure Line]],1)-1))</f>
        <v>URP510</v>
      </c>
      <c r="D36" s="62" t="str">
        <f>MID(TableOGENVCLM[[#This Row],[Structure Line]],FIND(" ",TableOGENVCLM[[#This Row],[Structure Line]])+1,256)</f>
        <v>Planning for Regions</v>
      </c>
      <c r="E36" s="93">
        <f>TableOGENVCLM[[#This Row],[Credit Points]]</f>
        <v>25</v>
      </c>
      <c r="F36" s="62"/>
      <c r="G36" s="62" t="s">
        <v>51</v>
      </c>
      <c r="H36" s="62"/>
      <c r="I36" s="94"/>
      <c r="J36" s="62" t="s">
        <v>97</v>
      </c>
      <c r="K36" s="236">
        <v>2</v>
      </c>
      <c r="L36" s="62" t="s">
        <v>164</v>
      </c>
      <c r="M36" s="236">
        <v>25</v>
      </c>
      <c r="N36" s="237">
        <v>44197</v>
      </c>
      <c r="O36" s="237"/>
      <c r="Q36" t="s">
        <v>97</v>
      </c>
      <c r="R36">
        <v>2</v>
      </c>
    </row>
    <row r="37" spans="1:18" x14ac:dyDescent="0.25">
      <c r="A37" s="62" t="str">
        <f>TableOGENVCLM[[#This Row],[Study Package Code]]</f>
        <v>URDE6004</v>
      </c>
      <c r="B37" s="91">
        <f>TableOGENVCLM[[#This Row],[Ver]]</f>
        <v>1</v>
      </c>
      <c r="C37" s="91" t="str">
        <f>LEFT(TableOGENVCLM[[#This Row],[Structure Line]],(FIND(" ",TableOGENVCLM[[#This Row],[Structure Line]],1)-1))</f>
        <v>URP640</v>
      </c>
      <c r="D37" s="62" t="str">
        <f>MID(TableOGENVCLM[[#This Row],[Structure Line]],FIND(" ",TableOGENVCLM[[#This Row],[Structure Line]])+1,256)</f>
        <v>Participatory Planning</v>
      </c>
      <c r="E37" s="93">
        <f>TableOGENVCLM[[#This Row],[Credit Points]]</f>
        <v>25</v>
      </c>
      <c r="F37" s="62"/>
      <c r="G37" s="62" t="s">
        <v>51</v>
      </c>
      <c r="H37" s="62"/>
      <c r="I37" s="94"/>
      <c r="J37" s="62" t="s">
        <v>98</v>
      </c>
      <c r="K37" s="236">
        <v>1</v>
      </c>
      <c r="L37" s="62" t="s">
        <v>165</v>
      </c>
      <c r="M37" s="236">
        <v>25</v>
      </c>
      <c r="N37" s="237">
        <v>42005</v>
      </c>
      <c r="O37" s="237"/>
      <c r="Q37" t="s">
        <v>98</v>
      </c>
      <c r="R37">
        <v>1</v>
      </c>
    </row>
    <row r="38" spans="1:18" x14ac:dyDescent="0.25">
      <c r="A38" s="62" t="str">
        <f>TableOGENVCLM[[#This Row],[Study Package Code]]</f>
        <v>URDE6007</v>
      </c>
      <c r="B38" s="91">
        <f>TableOGENVCLM[[#This Row],[Ver]]</f>
        <v>1</v>
      </c>
      <c r="C38" s="91" t="str">
        <f>LEFT(TableOGENVCLM[[#This Row],[Structure Line]],(FIND(" ",TableOGENVCLM[[#This Row],[Structure Line]],1)-1))</f>
        <v>DBE600</v>
      </c>
      <c r="D38" s="62" t="str">
        <f>MID(TableOGENVCLM[[#This Row],[Structure Line]],FIND(" ",TableOGENVCLM[[#This Row],[Structure Line]])+1,256)</f>
        <v>Design and Built Environment Research Methods</v>
      </c>
      <c r="E38" s="93">
        <f>TableOGENVCLM[[#This Row],[Credit Points]]</f>
        <v>25</v>
      </c>
      <c r="F38" s="62"/>
      <c r="G38" s="62" t="s">
        <v>51</v>
      </c>
      <c r="H38" s="62"/>
      <c r="I38" s="94"/>
      <c r="J38" s="62" t="s">
        <v>69</v>
      </c>
      <c r="K38" s="236">
        <v>1</v>
      </c>
      <c r="L38" s="62" t="s">
        <v>166</v>
      </c>
      <c r="M38" s="236">
        <v>25</v>
      </c>
      <c r="N38" s="237">
        <v>44562</v>
      </c>
      <c r="O38" s="237"/>
      <c r="Q38" t="s">
        <v>69</v>
      </c>
      <c r="R38">
        <v>1</v>
      </c>
    </row>
    <row r="39" spans="1:18" x14ac:dyDescent="0.25">
      <c r="A39" s="62" t="str">
        <f>TableOGENVCLM[[#This Row],[Study Package Code]]</f>
        <v>WORK5001</v>
      </c>
      <c r="B39" s="91">
        <f>TableOGENVCLM[[#This Row],[Ver]]</f>
        <v>1</v>
      </c>
      <c r="C39" s="91" t="str">
        <f>LEFT(TableOGENVCLM[[#This Row],[Structure Line]],(FIND(" ",TableOGENVCLM[[#This Row],[Structure Line]],1)-1))</f>
        <v>WBP500</v>
      </c>
      <c r="D39" s="62" t="str">
        <f>MID(TableOGENVCLM[[#This Row],[Structure Line]],FIND(" ",TableOGENVCLM[[#This Row],[Structure Line]])+1,256)</f>
        <v>Work Based Project</v>
      </c>
      <c r="E39" s="93">
        <f>TableOGENVCLM[[#This Row],[Credit Points]]</f>
        <v>25</v>
      </c>
      <c r="F39" s="62"/>
      <c r="G39" s="62" t="s">
        <v>51</v>
      </c>
      <c r="H39" s="62"/>
      <c r="I39" s="94"/>
      <c r="J39" s="62" t="s">
        <v>99</v>
      </c>
      <c r="K39" s="236">
        <v>1</v>
      </c>
      <c r="L39" s="62" t="s">
        <v>167</v>
      </c>
      <c r="M39" s="236">
        <v>25</v>
      </c>
      <c r="N39" s="237">
        <v>44287</v>
      </c>
      <c r="O39" s="237"/>
      <c r="Q39" t="s">
        <v>99</v>
      </c>
      <c r="R39">
        <v>1</v>
      </c>
    </row>
    <row r="40" spans="1:18" x14ac:dyDescent="0.25">
      <c r="A40" s="62"/>
      <c r="B40" s="91"/>
      <c r="C40" s="91"/>
      <c r="D40" s="62"/>
      <c r="E40" s="91"/>
      <c r="F40" s="62"/>
      <c r="G40" s="62"/>
      <c r="H40" s="62"/>
      <c r="I40" s="94"/>
      <c r="J40" s="62"/>
      <c r="K40" s="62"/>
      <c r="L40" s="62"/>
      <c r="M40" s="62"/>
    </row>
    <row r="41" spans="1:18" x14ac:dyDescent="0.25">
      <c r="F41" s="25"/>
      <c r="G41" s="89" t="s">
        <v>145</v>
      </c>
      <c r="H41" s="90">
        <v>44927</v>
      </c>
      <c r="J41" s="238" t="s">
        <v>66</v>
      </c>
      <c r="K41" s="68" t="s">
        <v>67</v>
      </c>
      <c r="L41" s="68" t="s">
        <v>65</v>
      </c>
      <c r="N41" s="234" t="s">
        <v>190</v>
      </c>
      <c r="O41" s="237">
        <v>45323</v>
      </c>
    </row>
    <row r="42" spans="1:18" x14ac:dyDescent="0.25">
      <c r="A42" s="62" t="s">
        <v>0</v>
      </c>
      <c r="B42" s="62" t="s">
        <v>53</v>
      </c>
      <c r="C42" s="62" t="s">
        <v>14</v>
      </c>
      <c r="D42" s="62" t="s">
        <v>3</v>
      </c>
      <c r="E42" s="92" t="s">
        <v>146</v>
      </c>
      <c r="F42" s="62" t="s">
        <v>147</v>
      </c>
      <c r="G42" s="62" t="s">
        <v>148</v>
      </c>
      <c r="H42" s="62" t="s">
        <v>149</v>
      </c>
      <c r="I42" s="62" t="s">
        <v>15</v>
      </c>
      <c r="J42" s="62" t="s">
        <v>150</v>
      </c>
      <c r="K42" s="62" t="s">
        <v>1</v>
      </c>
      <c r="L42" s="62" t="s">
        <v>43</v>
      </c>
      <c r="M42" s="62" t="s">
        <v>54</v>
      </c>
      <c r="N42" s="62" t="s">
        <v>191</v>
      </c>
      <c r="O42" s="62" t="s">
        <v>192</v>
      </c>
      <c r="Q42" t="s">
        <v>193</v>
      </c>
      <c r="R42" t="s">
        <v>1</v>
      </c>
    </row>
    <row r="43" spans="1:18" x14ac:dyDescent="0.25">
      <c r="A43" s="62" t="str">
        <f>TableOMENVCLM[[#This Row],[Study Package Code]]</f>
        <v>URDE6007</v>
      </c>
      <c r="B43" s="91">
        <f>TableOMENVCLM[[#This Row],[Ver]]</f>
        <v>1</v>
      </c>
      <c r="C43" s="91" t="str">
        <f>LEFT(TableOMENVCLM[[#This Row],[Structure Line]],(FIND(" ",TableOMENVCLM[[#This Row],[Structure Line]],1)-1))</f>
        <v>DBE600</v>
      </c>
      <c r="D43" s="62" t="str">
        <f>MID(TableOMENVCLM[[#This Row],[Structure Line]],FIND(" ",TableOMENVCLM[[#This Row],[Structure Line]])+1,256)</f>
        <v>Design and Built Environment Research Methods</v>
      </c>
      <c r="E43" s="93">
        <f>TableOMENVCLM[[#This Row],[Credit Points]]</f>
        <v>25</v>
      </c>
      <c r="F43" s="62">
        <v>1</v>
      </c>
      <c r="G43" s="62" t="s">
        <v>151</v>
      </c>
      <c r="H43" s="62">
        <v>1</v>
      </c>
      <c r="I43" s="62" t="s">
        <v>172</v>
      </c>
      <c r="J43" s="62" t="s">
        <v>69</v>
      </c>
      <c r="K43" s="62">
        <v>1</v>
      </c>
      <c r="L43" s="62" t="s">
        <v>166</v>
      </c>
      <c r="M43" s="236">
        <v>25</v>
      </c>
      <c r="N43" s="237">
        <v>44562</v>
      </c>
      <c r="O43" s="237"/>
      <c r="Q43" t="s">
        <v>69</v>
      </c>
      <c r="R43">
        <v>1</v>
      </c>
    </row>
    <row r="44" spans="1:18" x14ac:dyDescent="0.25">
      <c r="A44" s="62" t="str">
        <f>TableOMENVCLM[[#This Row],[Study Package Code]]</f>
        <v>SUST5010</v>
      </c>
      <c r="B44" s="91">
        <f>TableOMENVCLM[[#This Row],[Ver]]</f>
        <v>2</v>
      </c>
      <c r="C44" s="91" t="str">
        <f>LEFT(TableOMENVCLM[[#This Row],[Structure Line]],(FIND(" ",TableOMENVCLM[[#This Row],[Structure Line]],1)-1))</f>
        <v>SCP522</v>
      </c>
      <c r="D44" s="62" t="str">
        <f>MID(TableOMENVCLM[[#This Row],[Structure Line]],FIND(" ",TableOMENVCLM[[#This Row],[Structure Line]])+1,256)</f>
        <v>Pathways to a Climate Resilient Society</v>
      </c>
      <c r="E44" s="93">
        <f>TableOMENVCLM[[#This Row],[Credit Points]]</f>
        <v>25</v>
      </c>
      <c r="F44" s="62">
        <v>2</v>
      </c>
      <c r="G44" s="62" t="s">
        <v>151</v>
      </c>
      <c r="H44" s="62">
        <v>1</v>
      </c>
      <c r="I44" s="62" t="s">
        <v>172</v>
      </c>
      <c r="J44" s="62" t="s">
        <v>52</v>
      </c>
      <c r="K44" s="62">
        <v>2</v>
      </c>
      <c r="L44" s="62" t="s">
        <v>169</v>
      </c>
      <c r="M44" s="236">
        <v>25</v>
      </c>
      <c r="N44" s="237">
        <v>44013</v>
      </c>
      <c r="O44" s="237"/>
      <c r="Q44" t="s">
        <v>52</v>
      </c>
      <c r="R44">
        <v>2</v>
      </c>
    </row>
    <row r="45" spans="1:18" x14ac:dyDescent="0.25">
      <c r="A45" s="62" t="str">
        <f>TableOMENVCLM[[#This Row],[Study Package Code]]</f>
        <v>SUST5025</v>
      </c>
      <c r="B45" s="91">
        <f>TableOMENVCLM[[#This Row],[Ver]]</f>
        <v>1</v>
      </c>
      <c r="C45" s="91" t="str">
        <f>LEFT(TableOMENVCLM[[#This Row],[Structure Line]],(FIND(" ",TableOMENVCLM[[#This Row],[Structure Line]],1)-1))</f>
        <v>SCP530</v>
      </c>
      <c r="D45" s="62" t="str">
        <f>MID(TableOMENVCLM[[#This Row],[Structure Line]],FIND(" ",TableOMENVCLM[[#This Row],[Structure Line]])+1,256)</f>
        <v>Sustainable Waste Management</v>
      </c>
      <c r="E45" s="93">
        <f>TableOMENVCLM[[#This Row],[Credit Points]]</f>
        <v>25</v>
      </c>
      <c r="F45" s="62">
        <v>3</v>
      </c>
      <c r="G45" s="62" t="s">
        <v>151</v>
      </c>
      <c r="H45" s="62">
        <v>1</v>
      </c>
      <c r="I45" s="62" t="s">
        <v>172</v>
      </c>
      <c r="J45" s="62" t="s">
        <v>45</v>
      </c>
      <c r="K45" s="62">
        <v>1</v>
      </c>
      <c r="L45" s="62" t="s">
        <v>154</v>
      </c>
      <c r="M45" s="236">
        <v>25</v>
      </c>
      <c r="N45" s="237">
        <v>44197</v>
      </c>
      <c r="O45" s="237"/>
      <c r="Q45" t="s">
        <v>45</v>
      </c>
      <c r="R45">
        <v>1</v>
      </c>
    </row>
    <row r="46" spans="1:18" x14ac:dyDescent="0.25">
      <c r="A46" s="62" t="str">
        <f>TableOMENVCLM[[#This Row],[Study Package Code]]</f>
        <v>SUST5013</v>
      </c>
      <c r="B46" s="91">
        <f>TableOMENVCLM[[#This Row],[Ver]]</f>
        <v>2</v>
      </c>
      <c r="C46" s="91" t="str">
        <f>LEFT(TableOMENVCLM[[#This Row],[Structure Line]],(FIND(" ",TableOMENVCLM[[#This Row],[Structure Line]],1)-1))</f>
        <v>SCP543</v>
      </c>
      <c r="D46" s="62" t="str">
        <f>MID(TableOMENVCLM[[#This Row],[Structure Line]],FIND(" ",TableOMENVCLM[[#This Row],[Structure Line]])+1,256)</f>
        <v>Future Cities</v>
      </c>
      <c r="E46" s="93">
        <f>TableOMENVCLM[[#This Row],[Credit Points]]</f>
        <v>25</v>
      </c>
      <c r="F46" s="62">
        <v>4</v>
      </c>
      <c r="G46" s="62" t="s">
        <v>151</v>
      </c>
      <c r="H46" s="62">
        <v>1</v>
      </c>
      <c r="I46" s="62" t="s">
        <v>172</v>
      </c>
      <c r="J46" s="62" t="s">
        <v>47</v>
      </c>
      <c r="K46" s="62">
        <v>2</v>
      </c>
      <c r="L46" s="62" t="s">
        <v>153</v>
      </c>
      <c r="M46" s="236">
        <v>25</v>
      </c>
      <c r="N46" s="237">
        <v>44013</v>
      </c>
      <c r="O46" s="237"/>
      <c r="Q46" t="s">
        <v>47</v>
      </c>
      <c r="R46">
        <v>2</v>
      </c>
    </row>
    <row r="47" spans="1:18" x14ac:dyDescent="0.25">
      <c r="A47" s="62" t="str">
        <f>TableOMENVCLM[[#This Row],[Study Package Code]]</f>
        <v>SUST5016</v>
      </c>
      <c r="B47" s="91">
        <f>TableOMENVCLM[[#This Row],[Ver]]</f>
        <v>1</v>
      </c>
      <c r="C47" s="91" t="str">
        <f>LEFT(TableOMENVCLM[[#This Row],[Structure Line]],(FIND(" ",TableOMENVCLM[[#This Row],[Structure Line]],1)-1))</f>
        <v>SCP547</v>
      </c>
      <c r="D47" s="62" t="str">
        <f>MID(TableOMENVCLM[[#This Row],[Structure Line]],FIND(" ",TableOMENVCLM[[#This Row],[Structure Line]])+1,256)</f>
        <v>Climate Policy</v>
      </c>
      <c r="E47" s="93">
        <f>TableOMENVCLM[[#This Row],[Credit Points]]</f>
        <v>25</v>
      </c>
      <c r="F47" s="62">
        <v>5</v>
      </c>
      <c r="G47" s="62" t="s">
        <v>151</v>
      </c>
      <c r="H47" s="62">
        <v>1</v>
      </c>
      <c r="I47" s="62" t="s">
        <v>172</v>
      </c>
      <c r="J47" s="62" t="s">
        <v>63</v>
      </c>
      <c r="K47" s="62">
        <v>1</v>
      </c>
      <c r="L47" s="62" t="s">
        <v>170</v>
      </c>
      <c r="M47" s="236">
        <v>25</v>
      </c>
      <c r="N47" s="237">
        <v>42005</v>
      </c>
      <c r="O47" s="237"/>
      <c r="Q47" t="s">
        <v>63</v>
      </c>
      <c r="R47">
        <v>1</v>
      </c>
    </row>
    <row r="48" spans="1:18" x14ac:dyDescent="0.25">
      <c r="A48" s="62" t="str">
        <f>TableOMENVCLM[[#This Row],[Study Package Code]]</f>
        <v>SUST5019</v>
      </c>
      <c r="B48" s="91">
        <f>TableOMENVCLM[[#This Row],[Ver]]</f>
        <v>2</v>
      </c>
      <c r="C48" s="91" t="str">
        <f>LEFT(TableOMENVCLM[[#This Row],[Structure Line]],(FIND(" ",TableOMENVCLM[[#This Row],[Structure Line]],1)-1))</f>
        <v>SCP548</v>
      </c>
      <c r="D48" s="62" t="str">
        <f>MID(TableOMENVCLM[[#This Row],[Structure Line]],FIND(" ",TableOMENVCLM[[#This Row],[Structure Line]])+1,256)</f>
        <v>People and Planet</v>
      </c>
      <c r="E48" s="93">
        <f>TableOMENVCLM[[#This Row],[Credit Points]]</f>
        <v>25</v>
      </c>
      <c r="F48" s="62">
        <v>6</v>
      </c>
      <c r="G48" s="62" t="s">
        <v>151</v>
      </c>
      <c r="H48" s="62">
        <v>1</v>
      </c>
      <c r="I48" s="62" t="s">
        <v>172</v>
      </c>
      <c r="J48" s="62" t="s">
        <v>64</v>
      </c>
      <c r="K48" s="62">
        <v>2</v>
      </c>
      <c r="L48" s="62" t="s">
        <v>171</v>
      </c>
      <c r="M48" s="236">
        <v>25</v>
      </c>
      <c r="N48" s="237">
        <v>44013</v>
      </c>
      <c r="O48" s="237"/>
      <c r="Q48" t="s">
        <v>64</v>
      </c>
      <c r="R48">
        <v>2</v>
      </c>
    </row>
    <row r="49" spans="1:18" x14ac:dyDescent="0.25">
      <c r="A49" s="62" t="str">
        <f>TableOMENVCLM[[#This Row],[Study Package Code]]</f>
        <v>SUST7001</v>
      </c>
      <c r="B49" s="91">
        <f>TableOMENVCLM[[#This Row],[Ver]]</f>
        <v>2</v>
      </c>
      <c r="C49" s="91" t="str">
        <f>LEFT(TableOMENVCLM[[#This Row],[Structure Line]],(FIND(" ",TableOMENVCLM[[#This Row],[Structure Line]],1)-1))</f>
        <v>SCP701</v>
      </c>
      <c r="D49" s="62" t="str">
        <f>MID(TableOMENVCLM[[#This Row],[Structure Line]],FIND(" ",TableOMENVCLM[[#This Row],[Structure Line]])+1,256)</f>
        <v>Introduction to Environment &amp; Climate Emergency</v>
      </c>
      <c r="E49" s="93">
        <f>TableOMENVCLM[[#This Row],[Credit Points]]</f>
        <v>25</v>
      </c>
      <c r="F49" s="62">
        <v>7</v>
      </c>
      <c r="G49" s="62" t="s">
        <v>151</v>
      </c>
      <c r="H49" s="62">
        <v>1</v>
      </c>
      <c r="I49" s="62" t="s">
        <v>172</v>
      </c>
      <c r="J49" s="62" t="s">
        <v>50</v>
      </c>
      <c r="K49" s="62">
        <v>2</v>
      </c>
      <c r="L49" s="62" t="s">
        <v>155</v>
      </c>
      <c r="M49" s="236">
        <v>25</v>
      </c>
      <c r="N49" s="237">
        <v>44013</v>
      </c>
      <c r="O49" s="237"/>
      <c r="Q49" t="s">
        <v>50</v>
      </c>
      <c r="R49">
        <v>2</v>
      </c>
    </row>
    <row r="50" spans="1:18" x14ac:dyDescent="0.25">
      <c r="A50" s="62" t="str">
        <f>TableOMENVCLM[[#This Row],[Study Package Code]]</f>
        <v>SUST5014</v>
      </c>
      <c r="B50" s="91">
        <f>TableOMENVCLM[[#This Row],[Ver]]</f>
        <v>1</v>
      </c>
      <c r="C50" s="91" t="str">
        <f>LEFT(TableOMENVCLM[[#This Row],[Structure Line]],(FIND(" ",TableOMENVCLM[[#This Row],[Structure Line]],1)-1))</f>
        <v>SCP544</v>
      </c>
      <c r="D50" s="62" t="str">
        <f>MID(TableOMENVCLM[[#This Row],[Structure Line]],FIND(" ",TableOMENVCLM[[#This Row],[Structure Line]])+1,256)</f>
        <v>Leadership in Sustainability</v>
      </c>
      <c r="E50" s="93">
        <f>TableOMENVCLM[[#This Row],[Credit Points]]</f>
        <v>25</v>
      </c>
      <c r="F50" s="62">
        <v>8</v>
      </c>
      <c r="G50" s="62" t="s">
        <v>151</v>
      </c>
      <c r="H50" s="62">
        <v>2</v>
      </c>
      <c r="I50" s="62" t="s">
        <v>172</v>
      </c>
      <c r="J50" s="62" t="s">
        <v>77</v>
      </c>
      <c r="K50" s="62">
        <v>1</v>
      </c>
      <c r="L50" s="62" t="s">
        <v>160</v>
      </c>
      <c r="M50" s="236">
        <v>25</v>
      </c>
      <c r="N50" s="237">
        <v>42005</v>
      </c>
      <c r="O50" s="237"/>
      <c r="Q50" t="s">
        <v>77</v>
      </c>
      <c r="R50">
        <v>1</v>
      </c>
    </row>
    <row r="51" spans="1:18" x14ac:dyDescent="0.25">
      <c r="A51" s="62" t="str">
        <f>TableOMENVCLM[[#This Row],[Study Package Code]]</f>
        <v>SUST5021</v>
      </c>
      <c r="B51" s="91">
        <f>TableOMENVCLM[[#This Row],[Ver]]</f>
        <v>1</v>
      </c>
      <c r="C51" s="91" t="str">
        <f>LEFT(TableOMENVCLM[[#This Row],[Structure Line]],(FIND(" ",TableOMENVCLM[[#This Row],[Structure Line]],1)-1))</f>
        <v>SCP549</v>
      </c>
      <c r="D51" s="62" t="str">
        <f>MID(TableOMENVCLM[[#This Row],[Structure Line]],FIND(" ",TableOMENVCLM[[#This Row],[Structure Line]])+1,256)</f>
        <v>Sustainability, Climate Change and Economics</v>
      </c>
      <c r="E51" s="93">
        <f>TableOMENVCLM[[#This Row],[Credit Points]]</f>
        <v>25</v>
      </c>
      <c r="F51" s="62">
        <v>9</v>
      </c>
      <c r="G51" s="62" t="s">
        <v>151</v>
      </c>
      <c r="H51" s="62">
        <v>2</v>
      </c>
      <c r="I51" s="62" t="s">
        <v>172</v>
      </c>
      <c r="J51" s="62" t="s">
        <v>80</v>
      </c>
      <c r="K51" s="62">
        <v>1</v>
      </c>
      <c r="L51" s="62" t="s">
        <v>161</v>
      </c>
      <c r="M51" s="236">
        <v>25</v>
      </c>
      <c r="N51" s="237">
        <v>42736</v>
      </c>
      <c r="O51" s="237"/>
      <c r="Q51" t="s">
        <v>80</v>
      </c>
      <c r="R51">
        <v>1</v>
      </c>
    </row>
    <row r="52" spans="1:18" x14ac:dyDescent="0.25">
      <c r="A52" s="62" t="str">
        <f>TableOMENVCLM[[#This Row],[Study Package Code]]</f>
        <v>SUST6005</v>
      </c>
      <c r="B52" s="91">
        <f>TableOMENVCLM[[#This Row],[Ver]]</f>
        <v>1</v>
      </c>
      <c r="C52" s="91" t="str">
        <f>LEFT(TableOMENVCLM[[#This Row],[Structure Line]],(FIND(" ",TableOMENVCLM[[#This Row],[Structure Line]],1)-1))</f>
        <v>SCP680</v>
      </c>
      <c r="D52" s="62" t="str">
        <f>MID(TableOMENVCLM[[#This Row],[Structure Line]],FIND(" ",TableOMENVCLM[[#This Row],[Structure Line]])+1,256)</f>
        <v>Sustainability Dissertation 1</v>
      </c>
      <c r="E52" s="93">
        <f>TableOMENVCLM[[#This Row],[Credit Points]]</f>
        <v>25</v>
      </c>
      <c r="F52" s="62">
        <v>10</v>
      </c>
      <c r="G52" s="62" t="s">
        <v>151</v>
      </c>
      <c r="H52" s="62">
        <v>2</v>
      </c>
      <c r="I52" s="62" t="s">
        <v>172</v>
      </c>
      <c r="J52" s="62" t="s">
        <v>75</v>
      </c>
      <c r="K52" s="62">
        <v>1</v>
      </c>
      <c r="L52" s="62" t="s">
        <v>173</v>
      </c>
      <c r="M52" s="236">
        <v>25</v>
      </c>
      <c r="N52" s="237">
        <v>44562</v>
      </c>
      <c r="O52" s="237"/>
      <c r="Q52" t="s">
        <v>75</v>
      </c>
      <c r="R52">
        <v>1</v>
      </c>
    </row>
    <row r="53" spans="1:18" x14ac:dyDescent="0.25">
      <c r="A53" s="62" t="str">
        <f>TableOMENVCLM[[#This Row],[Study Package Code]]</f>
        <v>SUST6001</v>
      </c>
      <c r="B53" s="91">
        <f>TableOMENVCLM[[#This Row],[Ver]]</f>
        <v>2</v>
      </c>
      <c r="C53" s="91" t="str">
        <f>LEFT(TableOMENVCLM[[#This Row],[Structure Line]],(FIND(" ",TableOMENVCLM[[#This Row],[Structure Line]],1)-1))</f>
        <v>SCP691</v>
      </c>
      <c r="D53" s="62" t="str">
        <f>MID(TableOMENVCLM[[#This Row],[Structure Line]],FIND(" ",TableOMENVCLM[[#This Row],[Structure Line]])+1,256)</f>
        <v>Sustainability Dissertation 2</v>
      </c>
      <c r="E53" s="93">
        <f>TableOMENVCLM[[#This Row],[Credit Points]]</f>
        <v>50</v>
      </c>
      <c r="F53" s="62">
        <v>11</v>
      </c>
      <c r="G53" s="62" t="s">
        <v>151</v>
      </c>
      <c r="H53" s="62">
        <v>2</v>
      </c>
      <c r="I53" s="62" t="s">
        <v>172</v>
      </c>
      <c r="J53" s="62" t="s">
        <v>85</v>
      </c>
      <c r="K53" s="62">
        <v>2</v>
      </c>
      <c r="L53" s="62" t="s">
        <v>174</v>
      </c>
      <c r="M53" s="236">
        <v>50</v>
      </c>
      <c r="N53" s="237">
        <v>42370</v>
      </c>
      <c r="O53" s="237"/>
      <c r="Q53" t="s">
        <v>85</v>
      </c>
      <c r="R53">
        <v>2</v>
      </c>
    </row>
    <row r="54" spans="1:18" x14ac:dyDescent="0.25">
      <c r="A54" s="62" t="str">
        <f>TableOMENVCLM[[#This Row],[Study Package Code]]</f>
        <v>Option</v>
      </c>
      <c r="B54" s="91">
        <f>TableOMENVCLM[[#This Row],[Ver]]</f>
        <v>0</v>
      </c>
      <c r="C54" s="91"/>
      <c r="D54" s="62" t="str">
        <f>TableOMENVCLM[[#This Row],[Structure Line]]</f>
        <v>Choose Options</v>
      </c>
      <c r="E54" s="93">
        <f>TableOMENVCLM[[#This Row],[Credit Points]]</f>
        <v>25</v>
      </c>
      <c r="F54" s="62">
        <v>12</v>
      </c>
      <c r="G54" s="62" t="s">
        <v>51</v>
      </c>
      <c r="H54" s="62">
        <v>1</v>
      </c>
      <c r="I54" s="62" t="s">
        <v>172</v>
      </c>
      <c r="J54" s="62" t="s">
        <v>51</v>
      </c>
      <c r="K54" s="62">
        <v>0</v>
      </c>
      <c r="L54" s="62" t="s">
        <v>175</v>
      </c>
      <c r="M54" s="62">
        <v>25</v>
      </c>
      <c r="N54" s="237"/>
      <c r="O54" s="237"/>
      <c r="Q54" t="s">
        <v>51</v>
      </c>
      <c r="R54">
        <v>0</v>
      </c>
    </row>
    <row r="55" spans="1:18" x14ac:dyDescent="0.25">
      <c r="A55" s="62" t="str">
        <f>TableOMENVCLM[[#This Row],[Study Package Code]]</f>
        <v>Option</v>
      </c>
      <c r="B55" s="91">
        <f>TableOMENVCLM[[#This Row],[Ver]]</f>
        <v>0</v>
      </c>
      <c r="C55" s="91"/>
      <c r="D55" s="62" t="str">
        <f>TableOMENVCLM[[#This Row],[Structure Line]]</f>
        <v>Choose Options</v>
      </c>
      <c r="E55" s="93">
        <f>TableOMENVCLM[[#This Row],[Credit Points]]</f>
        <v>50</v>
      </c>
      <c r="F55" s="62">
        <v>13</v>
      </c>
      <c r="G55" s="62" t="s">
        <v>51</v>
      </c>
      <c r="H55" s="62">
        <v>2</v>
      </c>
      <c r="I55" s="62" t="s">
        <v>172</v>
      </c>
      <c r="J55" s="62" t="s">
        <v>51</v>
      </c>
      <c r="K55" s="62">
        <v>0</v>
      </c>
      <c r="L55" s="62" t="s">
        <v>175</v>
      </c>
      <c r="M55" s="62">
        <v>50</v>
      </c>
      <c r="N55" s="237"/>
      <c r="O55" s="237"/>
      <c r="Q55" t="s">
        <v>51</v>
      </c>
      <c r="R55">
        <v>0</v>
      </c>
    </row>
    <row r="56" spans="1:18" x14ac:dyDescent="0.25">
      <c r="A56" s="62" t="str">
        <f>TableOMENVCLM[[#This Row],[Study Package Code]]</f>
        <v>Elective</v>
      </c>
      <c r="B56" s="91">
        <f>TableOMENVCLM[[#This Row],[Ver]]</f>
        <v>0</v>
      </c>
      <c r="C56" s="91"/>
      <c r="D56" s="62" t="str">
        <f>TableOMENVCLM[[#This Row],[Structure Line]]</f>
        <v>Choose an Elective</v>
      </c>
      <c r="E56" s="93">
        <f>TableOMENVCLM[[#This Row],[Credit Points]]</f>
        <v>25</v>
      </c>
      <c r="F56" s="62">
        <v>14</v>
      </c>
      <c r="G56" s="62" t="s">
        <v>87</v>
      </c>
      <c r="H56" s="62">
        <v>2</v>
      </c>
      <c r="I56" s="62" t="s">
        <v>172</v>
      </c>
      <c r="J56" s="62" t="s">
        <v>87</v>
      </c>
      <c r="K56" s="62">
        <v>0</v>
      </c>
      <c r="L56" s="62" t="s">
        <v>176</v>
      </c>
      <c r="M56" s="62">
        <v>25</v>
      </c>
      <c r="N56" s="237"/>
      <c r="O56" s="237"/>
      <c r="Q56" t="s">
        <v>87</v>
      </c>
      <c r="R56">
        <v>0</v>
      </c>
    </row>
    <row r="57" spans="1:18" x14ac:dyDescent="0.25">
      <c r="A57" s="62" t="str">
        <f>TableOMENVCLM[[#This Row],[Study Package Code]]</f>
        <v>PRJM6013</v>
      </c>
      <c r="B57" s="91">
        <f>TableOMENVCLM[[#This Row],[Ver]]</f>
        <v>2</v>
      </c>
      <c r="C57" s="91" t="str">
        <f>LEFT(TableOMENVCLM[[#This Row],[Structure Line]],(FIND(" ",TableOMENVCLM[[#This Row],[Structure Line]],1)-1))</f>
        <v>PRM500</v>
      </c>
      <c r="D57" s="62" t="str">
        <f>MID(TableOMENVCLM[[#This Row],[Structure Line]],FIND(" ",TableOMENVCLM[[#This Row],[Structure Line]])+1,256)</f>
        <v>Project Management Overview</v>
      </c>
      <c r="E57" s="93">
        <f>TableOMENVCLM[[#This Row],[Credit Points]]</f>
        <v>25</v>
      </c>
      <c r="F57" s="62"/>
      <c r="G57" s="62" t="s">
        <v>51</v>
      </c>
      <c r="H57" s="62"/>
      <c r="I57" s="62"/>
      <c r="J57" s="62" t="s">
        <v>92</v>
      </c>
      <c r="K57" s="236">
        <v>2</v>
      </c>
      <c r="L57" s="62" t="s">
        <v>157</v>
      </c>
      <c r="M57" s="236">
        <v>25</v>
      </c>
      <c r="N57" s="237">
        <v>42917</v>
      </c>
      <c r="O57" s="237"/>
      <c r="Q57" t="s">
        <v>92</v>
      </c>
      <c r="R57">
        <v>2</v>
      </c>
    </row>
    <row r="58" spans="1:18" x14ac:dyDescent="0.25">
      <c r="A58" s="62" t="str">
        <f>TableOMENVCLM[[#This Row],[Study Package Code]]</f>
        <v>PRJM6015</v>
      </c>
      <c r="B58" s="91">
        <f>TableOMENVCLM[[#This Row],[Ver]]</f>
        <v>1</v>
      </c>
      <c r="C58" s="91" t="str">
        <f>LEFT(TableOMENVCLM[[#This Row],[Structure Line]],(FIND(" ",TableOMENVCLM[[#This Row],[Structure Line]],1)-1))</f>
        <v>PRM510</v>
      </c>
      <c r="D58" s="62" t="str">
        <f>MID(TableOMENVCLM[[#This Row],[Structure Line]],FIND(" ",TableOMENVCLM[[#This Row],[Structure Line]])+1,256)</f>
        <v>Project and People</v>
      </c>
      <c r="E58" s="93">
        <f>TableOMENVCLM[[#This Row],[Credit Points]]</f>
        <v>25</v>
      </c>
      <c r="F58" s="62"/>
      <c r="G58" s="62" t="s">
        <v>51</v>
      </c>
      <c r="H58" s="62"/>
      <c r="I58" s="62"/>
      <c r="J58" s="62" t="s">
        <v>93</v>
      </c>
      <c r="K58" s="236">
        <v>1</v>
      </c>
      <c r="L58" s="62" t="s">
        <v>158</v>
      </c>
      <c r="M58" s="236">
        <v>25</v>
      </c>
      <c r="N58" s="237">
        <v>42917</v>
      </c>
      <c r="O58" s="237"/>
      <c r="Q58" t="s">
        <v>93</v>
      </c>
      <c r="R58">
        <v>1</v>
      </c>
    </row>
    <row r="59" spans="1:18" x14ac:dyDescent="0.25">
      <c r="A59" s="62" t="str">
        <f>TableOMENVCLM[[#This Row],[Study Package Code]]</f>
        <v>SUST5011</v>
      </c>
      <c r="B59" s="91">
        <f>TableOMENVCLM[[#This Row],[Ver]]</f>
        <v>1</v>
      </c>
      <c r="C59" s="91" t="str">
        <f>LEFT(TableOMENVCLM[[#This Row],[Structure Line]],(FIND(" ",TableOMENVCLM[[#This Row],[Structure Line]],1)-1))</f>
        <v>SCP541</v>
      </c>
      <c r="D59" s="62" t="str">
        <f>MID(TableOMENVCLM[[#This Row],[Structure Line]],FIND(" ",TableOMENVCLM[[#This Row],[Structure Line]])+1,256)</f>
        <v>Urban Design for Sustainability</v>
      </c>
      <c r="E59" s="93">
        <f>TableOMENVCLM[[#This Row],[Credit Points]]</f>
        <v>25</v>
      </c>
      <c r="F59" s="62"/>
      <c r="G59" s="62" t="s">
        <v>51</v>
      </c>
      <c r="H59" s="62"/>
      <c r="I59" s="62"/>
      <c r="J59" s="62" t="s">
        <v>94</v>
      </c>
      <c r="K59" s="236">
        <v>1</v>
      </c>
      <c r="L59" s="62" t="s">
        <v>159</v>
      </c>
      <c r="M59" s="236">
        <v>25</v>
      </c>
      <c r="N59" s="237">
        <v>42005</v>
      </c>
      <c r="O59" s="237"/>
      <c r="Q59" t="s">
        <v>94</v>
      </c>
      <c r="R59">
        <v>1</v>
      </c>
    </row>
    <row r="60" spans="1:18" x14ac:dyDescent="0.25">
      <c r="A60" s="62" t="str">
        <f>TableOMENVCLM[[#This Row],[Study Package Code]]</f>
        <v>URDE5015</v>
      </c>
      <c r="B60" s="91">
        <f>TableOMENVCLM[[#This Row],[Ver]]</f>
        <v>3</v>
      </c>
      <c r="C60" s="91" t="str">
        <f>LEFT(TableOMENVCLM[[#This Row],[Structure Line]],(FIND(" ",TableOMENVCLM[[#This Row],[Structure Line]],1)-1))</f>
        <v>URP530</v>
      </c>
      <c r="D60" s="62" t="str">
        <f>MID(TableOMENVCLM[[#This Row],[Structure Line]],FIND(" ",TableOMENVCLM[[#This Row],[Structure Line]])+1,256)</f>
        <v>Planning Theory and Context</v>
      </c>
      <c r="E60" s="93">
        <f>TableOMENVCLM[[#This Row],[Credit Points]]</f>
        <v>25</v>
      </c>
      <c r="F60" s="62"/>
      <c r="G60" s="62" t="s">
        <v>51</v>
      </c>
      <c r="H60" s="62"/>
      <c r="I60" s="62"/>
      <c r="J60" s="62" t="s">
        <v>95</v>
      </c>
      <c r="K60" s="236">
        <v>3</v>
      </c>
      <c r="L60" s="62" t="s">
        <v>162</v>
      </c>
      <c r="M60" s="236">
        <v>25</v>
      </c>
      <c r="N60" s="237">
        <v>44562</v>
      </c>
      <c r="O60" s="237"/>
      <c r="Q60" t="s">
        <v>95</v>
      </c>
      <c r="R60">
        <v>3</v>
      </c>
    </row>
    <row r="61" spans="1:18" x14ac:dyDescent="0.25">
      <c r="A61" s="62" t="str">
        <f>TableOMENVCLM[[#This Row],[Study Package Code]]</f>
        <v>URDE5016</v>
      </c>
      <c r="B61" s="91">
        <f>TableOMENVCLM[[#This Row],[Ver]]</f>
        <v>1</v>
      </c>
      <c r="C61" s="91" t="str">
        <f>LEFT(TableOMENVCLM[[#This Row],[Structure Line]],(FIND(" ",TableOMENVCLM[[#This Row],[Structure Line]],1)-1))</f>
        <v>URP500</v>
      </c>
      <c r="D61" s="62" t="str">
        <f>MID(TableOMENVCLM[[#This Row],[Structure Line]],FIND(" ",TableOMENVCLM[[#This Row],[Structure Line]])+1,256)</f>
        <v>Planning Law</v>
      </c>
      <c r="E61" s="93">
        <f>TableOMENVCLM[[#This Row],[Credit Points]]</f>
        <v>25</v>
      </c>
      <c r="F61" s="62"/>
      <c r="G61" s="62" t="s">
        <v>51</v>
      </c>
      <c r="H61" s="62"/>
      <c r="I61" s="62"/>
      <c r="J61" s="62" t="s">
        <v>96</v>
      </c>
      <c r="K61" s="236">
        <v>1</v>
      </c>
      <c r="L61" s="62" t="s">
        <v>163</v>
      </c>
      <c r="M61" s="236">
        <v>25</v>
      </c>
      <c r="N61" s="237">
        <v>42005</v>
      </c>
      <c r="O61" s="237"/>
      <c r="Q61" t="s">
        <v>96</v>
      </c>
      <c r="R61">
        <v>1</v>
      </c>
    </row>
    <row r="62" spans="1:18" x14ac:dyDescent="0.25">
      <c r="A62" s="62" t="str">
        <f>TableOMENVCLM[[#This Row],[Study Package Code]]</f>
        <v>URDE5017</v>
      </c>
      <c r="B62" s="91">
        <f>TableOMENVCLM[[#This Row],[Ver]]</f>
        <v>2</v>
      </c>
      <c r="C62" s="91" t="str">
        <f>LEFT(TableOMENVCLM[[#This Row],[Structure Line]],(FIND(" ",TableOMENVCLM[[#This Row],[Structure Line]],1)-1))</f>
        <v>URP510</v>
      </c>
      <c r="D62" s="62" t="str">
        <f>MID(TableOMENVCLM[[#This Row],[Structure Line]],FIND(" ",TableOMENVCLM[[#This Row],[Structure Line]])+1,256)</f>
        <v>Planning for Regions</v>
      </c>
      <c r="E62" s="93">
        <f>TableOMENVCLM[[#This Row],[Credit Points]]</f>
        <v>25</v>
      </c>
      <c r="F62" s="62"/>
      <c r="G62" s="62" t="s">
        <v>51</v>
      </c>
      <c r="H62" s="62"/>
      <c r="I62" s="62"/>
      <c r="J62" s="62" t="s">
        <v>97</v>
      </c>
      <c r="K62" s="236">
        <v>2</v>
      </c>
      <c r="L62" s="62" t="s">
        <v>164</v>
      </c>
      <c r="M62" s="236">
        <v>25</v>
      </c>
      <c r="N62" s="237">
        <v>44197</v>
      </c>
      <c r="O62" s="237"/>
      <c r="Q62" t="s">
        <v>97</v>
      </c>
      <c r="R62">
        <v>2</v>
      </c>
    </row>
    <row r="63" spans="1:18" x14ac:dyDescent="0.25">
      <c r="A63" s="62" t="str">
        <f>TableOMENVCLM[[#This Row],[Study Package Code]]</f>
        <v>URDE6004</v>
      </c>
      <c r="B63" s="91">
        <f>TableOMENVCLM[[#This Row],[Ver]]</f>
        <v>1</v>
      </c>
      <c r="C63" s="91" t="str">
        <f>LEFT(TableOMENVCLM[[#This Row],[Structure Line]],(FIND(" ",TableOMENVCLM[[#This Row],[Structure Line]],1)-1))</f>
        <v>URP640</v>
      </c>
      <c r="D63" s="62" t="str">
        <f>MID(TableOMENVCLM[[#This Row],[Structure Line]],FIND(" ",TableOMENVCLM[[#This Row],[Structure Line]])+1,256)</f>
        <v>Participatory Planning</v>
      </c>
      <c r="E63" s="93">
        <f>TableOMENVCLM[[#This Row],[Credit Points]]</f>
        <v>25</v>
      </c>
      <c r="F63" s="62"/>
      <c r="G63" s="62" t="s">
        <v>51</v>
      </c>
      <c r="H63" s="62"/>
      <c r="I63" s="62"/>
      <c r="J63" s="62" t="s">
        <v>98</v>
      </c>
      <c r="K63" s="236">
        <v>1</v>
      </c>
      <c r="L63" s="62" t="s">
        <v>165</v>
      </c>
      <c r="M63" s="236">
        <v>25</v>
      </c>
      <c r="N63" s="237">
        <v>42005</v>
      </c>
      <c r="O63" s="237"/>
      <c r="Q63" t="s">
        <v>98</v>
      </c>
      <c r="R63">
        <v>1</v>
      </c>
    </row>
    <row r="64" spans="1:18" x14ac:dyDescent="0.25">
      <c r="A64" s="62" t="str">
        <f>TableOMENVCLM[[#This Row],[Study Package Code]]</f>
        <v>WORK5001</v>
      </c>
      <c r="B64" s="91">
        <f>TableOMENVCLM[[#This Row],[Ver]]</f>
        <v>1</v>
      </c>
      <c r="C64" s="91" t="str">
        <f>LEFT(TableOMENVCLM[[#This Row],[Structure Line]],(FIND(" ",TableOMENVCLM[[#This Row],[Structure Line]],1)-1))</f>
        <v>WBP500</v>
      </c>
      <c r="D64" s="62" t="str">
        <f>MID(TableOMENVCLM[[#This Row],[Structure Line]],FIND(" ",TableOMENVCLM[[#This Row],[Structure Line]])+1,256)</f>
        <v>Work Based Project</v>
      </c>
      <c r="E64" s="93">
        <f>TableOMENVCLM[[#This Row],[Credit Points]]</f>
        <v>25</v>
      </c>
      <c r="F64" s="63"/>
      <c r="G64" s="62" t="s">
        <v>51</v>
      </c>
      <c r="H64" s="62"/>
      <c r="I64" s="62"/>
      <c r="J64" s="62" t="s">
        <v>99</v>
      </c>
      <c r="K64" s="236">
        <v>1</v>
      </c>
      <c r="L64" s="62" t="s">
        <v>167</v>
      </c>
      <c r="M64" s="236">
        <v>25</v>
      </c>
      <c r="N64" s="237">
        <v>44287</v>
      </c>
      <c r="O64" s="237"/>
      <c r="Q64" t="s">
        <v>99</v>
      </c>
      <c r="R64">
        <v>1</v>
      </c>
    </row>
    <row r="65" spans="1:18" x14ac:dyDescent="0.25">
      <c r="A65" s="62"/>
      <c r="B65" s="91"/>
      <c r="C65" s="91"/>
      <c r="D65" s="62"/>
      <c r="E65" s="93"/>
      <c r="F65" s="63"/>
      <c r="G65" s="62"/>
      <c r="H65" s="62"/>
      <c r="I65" s="62"/>
      <c r="J65" s="62"/>
      <c r="K65" s="62"/>
      <c r="L65" s="62"/>
      <c r="M65" s="62"/>
      <c r="N65" s="237"/>
      <c r="O65" s="237"/>
      <c r="Q65" t="s">
        <v>91</v>
      </c>
      <c r="R65">
        <v>1</v>
      </c>
    </row>
  </sheetData>
  <conditionalFormatting sqref="Q2:R3">
    <cfRule type="expression" dxfId="61" priority="11">
      <formula>Q2&lt;&gt;J2</formula>
    </cfRule>
  </conditionalFormatting>
  <conditionalFormatting sqref="Q20:R21">
    <cfRule type="expression" dxfId="60" priority="9">
      <formula>Q20&lt;&gt;J20</formula>
    </cfRule>
  </conditionalFormatting>
  <conditionalFormatting sqref="Q4:R17">
    <cfRule type="expression" dxfId="59" priority="8">
      <formula>Q4&lt;&gt;J4</formula>
    </cfRule>
  </conditionalFormatting>
  <conditionalFormatting sqref="Q22:R39">
    <cfRule type="expression" dxfId="58" priority="7">
      <formula>Q22&lt;&gt;J22</formula>
    </cfRule>
  </conditionalFormatting>
  <conditionalFormatting sqref="Q42:R43">
    <cfRule type="expression" dxfId="57" priority="6">
      <formula>Q42&lt;&gt;J42</formula>
    </cfRule>
  </conditionalFormatting>
  <conditionalFormatting sqref="Q44:R65">
    <cfRule type="expression" dxfId="56" priority="4">
      <formula>Q44&lt;&gt;J44</formula>
    </cfRule>
  </conditionalFormatting>
  <conditionalFormatting sqref="O3:O17">
    <cfRule type="notContainsBlanks" dxfId="55" priority="3">
      <formula>LEN(TRIM(O3))&gt;0</formula>
    </cfRule>
  </conditionalFormatting>
  <conditionalFormatting sqref="O21:O39">
    <cfRule type="notContainsBlanks" dxfId="54" priority="2">
      <formula>LEN(TRIM(O21))&gt;0</formula>
    </cfRule>
  </conditionalFormatting>
  <conditionalFormatting sqref="O43:O65">
    <cfRule type="notContainsBlanks" dxfId="53" priority="1">
      <formula>LEN(TRIM(O43))&gt;0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2"/>
  <sheetViews>
    <sheetView workbookViewId="0">
      <selection activeCell="D6" sqref="D6"/>
    </sheetView>
  </sheetViews>
  <sheetFormatPr defaultRowHeight="15.75" x14ac:dyDescent="0.25"/>
  <cols>
    <col min="1" max="1" width="39.625" bestFit="1" customWidth="1"/>
    <col min="2" max="5" width="15.375" bestFit="1" customWidth="1"/>
    <col min="6" max="6" width="11.5" bestFit="1" customWidth="1"/>
    <col min="7" max="7" width="9.375" bestFit="1" customWidth="1"/>
  </cols>
  <sheetData>
    <row r="1" spans="1:7" x14ac:dyDescent="0.25">
      <c r="A1" t="s">
        <v>177</v>
      </c>
      <c r="F1" s="232" t="s">
        <v>190</v>
      </c>
      <c r="G1" s="233">
        <v>45323</v>
      </c>
    </row>
    <row r="3" spans="1:7" x14ac:dyDescent="0.25">
      <c r="A3" t="s">
        <v>178</v>
      </c>
      <c r="B3" t="s">
        <v>179</v>
      </c>
      <c r="C3" t="s">
        <v>180</v>
      </c>
      <c r="D3" t="s">
        <v>181</v>
      </c>
      <c r="E3" t="s">
        <v>182</v>
      </c>
    </row>
    <row r="4" spans="1:7" x14ac:dyDescent="0.25">
      <c r="A4" t="s">
        <v>92</v>
      </c>
      <c r="B4">
        <v>1</v>
      </c>
      <c r="D4">
        <v>1</v>
      </c>
    </row>
    <row r="5" spans="1:7" x14ac:dyDescent="0.25">
      <c r="A5" t="s">
        <v>93</v>
      </c>
      <c r="C5">
        <v>1</v>
      </c>
      <c r="E5">
        <v>1</v>
      </c>
    </row>
    <row r="6" spans="1:7" x14ac:dyDescent="0.25">
      <c r="A6" t="s">
        <v>52</v>
      </c>
      <c r="C6">
        <v>1</v>
      </c>
      <c r="E6">
        <v>1</v>
      </c>
    </row>
    <row r="7" spans="1:7" x14ac:dyDescent="0.25">
      <c r="A7" t="s">
        <v>94</v>
      </c>
      <c r="C7">
        <v>1</v>
      </c>
    </row>
    <row r="8" spans="1:7" x14ac:dyDescent="0.25">
      <c r="A8" t="s">
        <v>47</v>
      </c>
      <c r="C8">
        <v>1</v>
      </c>
      <c r="E8">
        <v>1</v>
      </c>
    </row>
    <row r="9" spans="1:7" x14ac:dyDescent="0.25">
      <c r="A9" t="s">
        <v>77</v>
      </c>
      <c r="C9">
        <v>1</v>
      </c>
    </row>
    <row r="10" spans="1:7" x14ac:dyDescent="0.25">
      <c r="A10" t="s">
        <v>63</v>
      </c>
      <c r="B10">
        <v>1</v>
      </c>
      <c r="D10">
        <v>1</v>
      </c>
    </row>
    <row r="11" spans="1:7" x14ac:dyDescent="0.25">
      <c r="A11" t="s">
        <v>64</v>
      </c>
      <c r="C11">
        <v>1</v>
      </c>
      <c r="E11">
        <v>1</v>
      </c>
    </row>
    <row r="12" spans="1:7" x14ac:dyDescent="0.25">
      <c r="A12" t="s">
        <v>80</v>
      </c>
      <c r="E12">
        <v>1</v>
      </c>
    </row>
    <row r="13" spans="1:7" x14ac:dyDescent="0.25">
      <c r="A13" t="s">
        <v>45</v>
      </c>
      <c r="B13">
        <v>1</v>
      </c>
      <c r="D13">
        <v>1</v>
      </c>
    </row>
    <row r="14" spans="1:7" x14ac:dyDescent="0.25">
      <c r="A14" t="s">
        <v>85</v>
      </c>
      <c r="B14">
        <v>1</v>
      </c>
      <c r="D14">
        <v>1</v>
      </c>
    </row>
    <row r="15" spans="1:7" x14ac:dyDescent="0.25">
      <c r="A15" t="s">
        <v>75</v>
      </c>
      <c r="B15">
        <v>1</v>
      </c>
      <c r="D15">
        <v>1</v>
      </c>
    </row>
    <row r="16" spans="1:7" x14ac:dyDescent="0.25">
      <c r="A16" t="s">
        <v>50</v>
      </c>
      <c r="B16">
        <v>1</v>
      </c>
      <c r="D16">
        <v>1</v>
      </c>
    </row>
    <row r="17" spans="1:5" x14ac:dyDescent="0.25">
      <c r="A17" t="s">
        <v>95</v>
      </c>
      <c r="C17">
        <v>1</v>
      </c>
      <c r="E17">
        <v>1</v>
      </c>
    </row>
    <row r="18" spans="1:5" x14ac:dyDescent="0.25">
      <c r="A18" t="s">
        <v>96</v>
      </c>
      <c r="B18">
        <v>1</v>
      </c>
      <c r="D18">
        <v>1</v>
      </c>
    </row>
    <row r="19" spans="1:5" x14ac:dyDescent="0.25">
      <c r="A19" t="s">
        <v>97</v>
      </c>
      <c r="C19">
        <v>1</v>
      </c>
      <c r="E19">
        <v>1</v>
      </c>
    </row>
    <row r="20" spans="1:5" x14ac:dyDescent="0.25">
      <c r="A20" t="s">
        <v>98</v>
      </c>
      <c r="C20">
        <v>1</v>
      </c>
      <c r="E20">
        <v>1</v>
      </c>
    </row>
    <row r="21" spans="1:5" x14ac:dyDescent="0.25">
      <c r="A21" t="s">
        <v>69</v>
      </c>
      <c r="B21">
        <v>1</v>
      </c>
      <c r="D21">
        <v>1</v>
      </c>
    </row>
    <row r="22" spans="1:5" x14ac:dyDescent="0.25">
      <c r="A22" s="75" t="s">
        <v>99</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ba69df13-0c3c-4942-8695-6ca01564010c"/>
    <ds:schemaRef ds:uri="http://schemas.microsoft.com/office/infopath/2007/PartnerControls"/>
    <ds:schemaRef ds:uri="2380bd5d-8f09-40a9-a9cb-2482ec2cd2c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4394A4E-A90F-41A6-8F17-44382C8289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Master of ECE</vt:lpstr>
      <vt:lpstr>GD of ECE</vt:lpstr>
      <vt:lpstr>GC of ECE</vt:lpstr>
      <vt:lpstr>Unitsets</vt:lpstr>
      <vt:lpstr>Handbook</vt:lpstr>
      <vt:lpstr>Structures</vt:lpstr>
      <vt:lpstr>Availabilities</vt:lpstr>
      <vt:lpstr>'GC of ECE'!Print_Area</vt:lpstr>
      <vt:lpstr>'GD of ECE'!Print_Area</vt:lpstr>
      <vt:lpstr>'Master of ECE'!Print_Area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2024-02-12T08:42:04Z</cp:lastPrinted>
  <dcterms:created xsi:type="dcterms:W3CDTF">2022-02-28T04:48:12Z</dcterms:created>
  <dcterms:modified xsi:type="dcterms:W3CDTF">2024-02-12T08:42:36Z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