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RsolLAzNV9oEg+wlHT7HBceZ5EFVdv1ZuBa7XMsQlLgY/uRb+pVIRR8w8697v7h6tD+afcPnrhPUTiKZ6Pjs/A==" workbookSaltValue="k8l4nNZxe7MXQL//R0sTzA==" workbookSpinCount="100000" lockStructure="1"/>
  <bookViews>
    <workbookView xWindow="0" yWindow="0" windowWidth="28800" windowHeight="13800"/>
  </bookViews>
  <sheets>
    <sheet name="Construction Management"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Handbook!$A$2:$I$2</definedName>
    <definedName name="_xlnm.Print_Area" localSheetId="0">'Construction Management'!$A$2:$L$71</definedName>
    <definedName name="RangeSpecSets">Unitsets!$J$43:$O$57</definedName>
    <definedName name="RangeUnitsets">Unitsets!$J$3:$AG$27</definedName>
    <definedName name="RangeUnitSetsY4">Unitsets!$J$31:$Y$39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5" l="1"/>
  <c r="A49" i="5" s="1"/>
  <c r="G5" i="5"/>
  <c r="L6" i="5"/>
  <c r="A20" i="5" s="1"/>
  <c r="A39" i="5" l="1"/>
  <c r="A34" i="5"/>
  <c r="A26" i="5"/>
  <c r="A35" i="5"/>
  <c r="A32" i="5"/>
  <c r="A44" i="5"/>
  <c r="A25" i="5"/>
  <c r="A28" i="5"/>
  <c r="A36" i="5"/>
  <c r="A29" i="5"/>
  <c r="A37" i="5"/>
  <c r="A22" i="5"/>
  <c r="A31" i="5"/>
  <c r="A38" i="5"/>
  <c r="A40" i="5"/>
  <c r="A23" i="5"/>
  <c r="A43" i="5"/>
  <c r="A41" i="5"/>
  <c r="A19" i="5"/>
  <c r="A50" i="5"/>
  <c r="A11" i="5"/>
  <c r="A10" i="5"/>
  <c r="A14" i="5"/>
  <c r="A45" i="5"/>
  <c r="A48" i="5"/>
  <c r="A13" i="5"/>
  <c r="A16" i="5"/>
  <c r="A46" i="5"/>
  <c r="A17" i="5"/>
  <c r="A47" i="5"/>
  <c r="G70" i="3" l="1"/>
  <c r="H70" i="3"/>
  <c r="I70" i="3"/>
  <c r="J70" i="3"/>
  <c r="G53" i="3"/>
  <c r="G54" i="3"/>
  <c r="G46" i="3"/>
  <c r="G49" i="3"/>
  <c r="G52" i="3"/>
  <c r="G69" i="3"/>
  <c r="G71" i="3"/>
  <c r="G73" i="3"/>
  <c r="H53" i="3"/>
  <c r="H54" i="3"/>
  <c r="H46" i="3"/>
  <c r="H49" i="3"/>
  <c r="H52" i="3"/>
  <c r="H69" i="3"/>
  <c r="H71" i="3"/>
  <c r="H73" i="3"/>
  <c r="I53" i="3"/>
  <c r="I54" i="3"/>
  <c r="I46" i="3"/>
  <c r="I49" i="3"/>
  <c r="I52" i="3"/>
  <c r="I69" i="3"/>
  <c r="I71" i="3"/>
  <c r="I73" i="3"/>
  <c r="J53" i="3"/>
  <c r="J54" i="3"/>
  <c r="J46" i="3"/>
  <c r="J49" i="3"/>
  <c r="J52" i="3"/>
  <c r="J69" i="3"/>
  <c r="J71" i="3"/>
  <c r="J73" i="3"/>
  <c r="D69" i="8"/>
  <c r="C69" i="8"/>
  <c r="D68" i="8"/>
  <c r="C68" i="8"/>
  <c r="D67" i="8"/>
  <c r="C67" i="8"/>
  <c r="D66" i="8"/>
  <c r="C66" i="8"/>
  <c r="D62" i="8"/>
  <c r="C62" i="8"/>
  <c r="D61" i="8"/>
  <c r="D60" i="8"/>
  <c r="D58" i="8"/>
  <c r="C58" i="8"/>
  <c r="G8" i="3"/>
  <c r="H8" i="3"/>
  <c r="I8" i="3"/>
  <c r="J8" i="3"/>
  <c r="G56" i="3"/>
  <c r="H56" i="3"/>
  <c r="I56" i="3"/>
  <c r="J56" i="3"/>
  <c r="G59" i="3"/>
  <c r="G61" i="3"/>
  <c r="H59" i="3"/>
  <c r="H61" i="3"/>
  <c r="I59" i="3"/>
  <c r="I61" i="3"/>
  <c r="J59" i="3"/>
  <c r="J61" i="3"/>
  <c r="A66" i="8" l="1"/>
  <c r="A67" i="8"/>
  <c r="A68" i="8"/>
  <c r="A69" i="8"/>
  <c r="B66" i="8"/>
  <c r="B67" i="8"/>
  <c r="B68" i="8"/>
  <c r="B69" i="8"/>
  <c r="E66" i="8"/>
  <c r="E67" i="8"/>
  <c r="E68" i="8"/>
  <c r="E69" i="8"/>
  <c r="J4" i="3" l="1"/>
  <c r="J5" i="3"/>
  <c r="J6" i="3"/>
  <c r="J7"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7" i="3"/>
  <c r="J48" i="3"/>
  <c r="J50" i="3"/>
  <c r="J51" i="3"/>
  <c r="J55" i="3"/>
  <c r="J57" i="3"/>
  <c r="J58" i="3"/>
  <c r="J60" i="3"/>
  <c r="J62" i="3"/>
  <c r="J63" i="3"/>
  <c r="J64" i="3"/>
  <c r="J65" i="3"/>
  <c r="J66" i="3"/>
  <c r="J67" i="3"/>
  <c r="J68" i="3"/>
  <c r="J72" i="3"/>
  <c r="I4" i="3"/>
  <c r="I5" i="3"/>
  <c r="I6" i="3"/>
  <c r="I7"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7" i="3"/>
  <c r="I48" i="3"/>
  <c r="I50" i="3"/>
  <c r="I51" i="3"/>
  <c r="I55" i="3"/>
  <c r="I57" i="3"/>
  <c r="I58" i="3"/>
  <c r="I60" i="3"/>
  <c r="I62" i="3"/>
  <c r="I63" i="3"/>
  <c r="I64" i="3"/>
  <c r="I65" i="3"/>
  <c r="I66" i="3"/>
  <c r="I67" i="3"/>
  <c r="I68" i="3"/>
  <c r="I72" i="3"/>
  <c r="H5" i="3"/>
  <c r="H6" i="3"/>
  <c r="H7"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7" i="3"/>
  <c r="H48" i="3"/>
  <c r="H50" i="3"/>
  <c r="H51" i="3"/>
  <c r="H55" i="3"/>
  <c r="H57" i="3"/>
  <c r="H58" i="3"/>
  <c r="H60" i="3"/>
  <c r="H62" i="3"/>
  <c r="H63" i="3"/>
  <c r="H64" i="3"/>
  <c r="H65" i="3"/>
  <c r="H66" i="3"/>
  <c r="H67" i="3"/>
  <c r="H68" i="3"/>
  <c r="H72" i="3"/>
  <c r="H4" i="3"/>
  <c r="G4" i="3"/>
  <c r="G5" i="3"/>
  <c r="G6" i="3"/>
  <c r="G7"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7" i="3"/>
  <c r="G48" i="3"/>
  <c r="G50" i="3"/>
  <c r="G51" i="3"/>
  <c r="G55" i="3"/>
  <c r="G57" i="3"/>
  <c r="G58" i="3"/>
  <c r="G60" i="3"/>
  <c r="G62" i="3"/>
  <c r="G63" i="3"/>
  <c r="G64" i="3"/>
  <c r="G65" i="3"/>
  <c r="G66" i="3"/>
  <c r="G67" i="3"/>
  <c r="G68" i="3"/>
  <c r="G72" i="3"/>
  <c r="A52" i="5" l="1"/>
  <c r="L4" i="5" l="1"/>
  <c r="L52" i="5"/>
  <c r="H47" i="5" l="1"/>
  <c r="A54" i="5"/>
  <c r="I54" i="5" s="1"/>
  <c r="A67" i="5"/>
  <c r="A64" i="5"/>
  <c r="A66" i="5"/>
  <c r="A63" i="5"/>
  <c r="A65" i="5"/>
  <c r="A62" i="5"/>
  <c r="A55" i="5"/>
  <c r="A56" i="5"/>
  <c r="A57" i="5"/>
  <c r="A58" i="5"/>
  <c r="A59" i="5"/>
  <c r="A60" i="5"/>
  <c r="A61" i="5"/>
  <c r="K47" i="5" l="1"/>
  <c r="J47" i="5"/>
  <c r="I47" i="5"/>
  <c r="J54" i="5"/>
  <c r="K54" i="5"/>
  <c r="H54" i="5"/>
  <c r="G63" i="5"/>
  <c r="I63" i="5"/>
  <c r="H63" i="5"/>
  <c r="F63" i="5"/>
  <c r="J63" i="5"/>
  <c r="C63" i="5"/>
  <c r="D63" i="5"/>
  <c r="B63" i="5"/>
  <c r="K63" i="5"/>
  <c r="I66" i="5"/>
  <c r="G66" i="5"/>
  <c r="D66" i="5"/>
  <c r="J66" i="5"/>
  <c r="B66" i="5"/>
  <c r="K66" i="5"/>
  <c r="F66" i="5"/>
  <c r="H66" i="5"/>
  <c r="C66" i="5"/>
  <c r="K65" i="5"/>
  <c r="D65" i="5"/>
  <c r="C65" i="5"/>
  <c r="G65" i="5"/>
  <c r="H65" i="5"/>
  <c r="J65" i="5"/>
  <c r="B65" i="5"/>
  <c r="F65" i="5"/>
  <c r="I65" i="5"/>
  <c r="D64" i="5"/>
  <c r="F64" i="5"/>
  <c r="C64" i="5"/>
  <c r="G64" i="5"/>
  <c r="J64" i="5"/>
  <c r="H64" i="5"/>
  <c r="B64" i="5"/>
  <c r="I64" i="5"/>
  <c r="K64" i="5"/>
  <c r="G67" i="5"/>
  <c r="I67" i="5"/>
  <c r="H67" i="5"/>
  <c r="J67" i="5"/>
  <c r="D67" i="5"/>
  <c r="F67" i="5"/>
  <c r="B67" i="5"/>
  <c r="K67" i="5"/>
  <c r="C67" i="5"/>
  <c r="J61" i="5"/>
  <c r="I61" i="5"/>
  <c r="K61" i="5"/>
  <c r="H61" i="5"/>
  <c r="J60" i="5"/>
  <c r="I60" i="5"/>
  <c r="K60" i="5"/>
  <c r="H60" i="5"/>
  <c r="J62" i="5"/>
  <c r="H62" i="5"/>
  <c r="K62" i="5"/>
  <c r="I62" i="5"/>
  <c r="J59" i="5"/>
  <c r="I59" i="5"/>
  <c r="H59" i="5"/>
  <c r="K59" i="5"/>
  <c r="H58" i="5"/>
  <c r="K58" i="5"/>
  <c r="J58" i="5"/>
  <c r="I58" i="5"/>
  <c r="J57" i="5"/>
  <c r="I57" i="5"/>
  <c r="K57" i="5"/>
  <c r="H57" i="5"/>
  <c r="J56" i="5"/>
  <c r="K56" i="5"/>
  <c r="I56" i="5"/>
  <c r="H56" i="5"/>
  <c r="J55" i="5"/>
  <c r="I55" i="5"/>
  <c r="K55" i="5"/>
  <c r="H55" i="5"/>
  <c r="K45" i="5"/>
  <c r="H45" i="5"/>
  <c r="I45" i="5"/>
  <c r="J45" i="5"/>
  <c r="K46" i="5"/>
  <c r="H46" i="5"/>
  <c r="J46" i="5"/>
  <c r="I46" i="5"/>
  <c r="H44" i="5"/>
  <c r="K44" i="5"/>
  <c r="J44" i="5"/>
  <c r="I44" i="5"/>
  <c r="K50" i="5"/>
  <c r="J50" i="5"/>
  <c r="H50" i="5"/>
  <c r="I50" i="5"/>
  <c r="K49" i="5"/>
  <c r="I49" i="5"/>
  <c r="H49" i="5"/>
  <c r="J49" i="5"/>
  <c r="K43" i="5"/>
  <c r="H43" i="5"/>
  <c r="I43" i="5"/>
  <c r="J43" i="5"/>
  <c r="K48" i="5"/>
  <c r="J48" i="5"/>
  <c r="I48" i="5"/>
  <c r="H48" i="5"/>
  <c r="H26" i="5"/>
  <c r="J26" i="5"/>
  <c r="I26" i="5"/>
  <c r="K26" i="5"/>
  <c r="K36" i="5"/>
  <c r="J36" i="5"/>
  <c r="I36" i="5"/>
  <c r="H36" i="5"/>
  <c r="I14" i="5"/>
  <c r="H14" i="5"/>
  <c r="K14" i="5"/>
  <c r="J14" i="5"/>
  <c r="J13" i="5"/>
  <c r="K13" i="5"/>
  <c r="I13" i="5"/>
  <c r="H13" i="5"/>
  <c r="I23" i="5"/>
  <c r="K23" i="5"/>
  <c r="J23" i="5"/>
  <c r="H23" i="5"/>
  <c r="K31" i="5"/>
  <c r="J31" i="5"/>
  <c r="H31" i="5"/>
  <c r="I31" i="5"/>
  <c r="I11" i="5"/>
  <c r="J11" i="5"/>
  <c r="K11" i="5"/>
  <c r="H11" i="5"/>
  <c r="K19" i="5"/>
  <c r="J19" i="5"/>
  <c r="I19" i="5"/>
  <c r="H19" i="5"/>
  <c r="K22" i="5"/>
  <c r="J22" i="5"/>
  <c r="H22" i="5"/>
  <c r="I22" i="5"/>
  <c r="K34" i="5"/>
  <c r="J34" i="5"/>
  <c r="H34" i="5"/>
  <c r="I34" i="5"/>
  <c r="K28" i="5"/>
  <c r="J28" i="5"/>
  <c r="I28" i="5"/>
  <c r="H28" i="5"/>
  <c r="K16" i="5"/>
  <c r="J16" i="5"/>
  <c r="H16" i="5"/>
  <c r="I16" i="5"/>
  <c r="J10" i="5"/>
  <c r="H10" i="5"/>
  <c r="I10" i="5"/>
  <c r="K10" i="5"/>
  <c r="H32" i="5"/>
  <c r="K32" i="5"/>
  <c r="J32" i="5"/>
  <c r="I32" i="5"/>
  <c r="I41" i="5"/>
  <c r="H41" i="5"/>
  <c r="J41" i="5"/>
  <c r="K41" i="5"/>
  <c r="K38" i="5"/>
  <c r="J38" i="5"/>
  <c r="H38" i="5"/>
  <c r="I38" i="5"/>
  <c r="I29" i="5"/>
  <c r="H29" i="5"/>
  <c r="K29" i="5"/>
  <c r="J29" i="5"/>
  <c r="K40" i="5"/>
  <c r="J40" i="5"/>
  <c r="I40" i="5"/>
  <c r="H40" i="5"/>
  <c r="J37" i="5"/>
  <c r="I37" i="5"/>
  <c r="H37" i="5"/>
  <c r="K37" i="5"/>
  <c r="H20" i="5"/>
  <c r="K20" i="5"/>
  <c r="J20" i="5"/>
  <c r="I20" i="5"/>
  <c r="I39" i="5"/>
  <c r="H39" i="5"/>
  <c r="K39" i="5"/>
  <c r="J39" i="5"/>
  <c r="J17" i="5"/>
  <c r="H17" i="5"/>
  <c r="K17" i="5"/>
  <c r="I17" i="5"/>
  <c r="K25" i="5"/>
  <c r="J25" i="5"/>
  <c r="H25" i="5"/>
  <c r="I25" i="5"/>
  <c r="I35" i="5"/>
  <c r="H35" i="5"/>
  <c r="K35" i="5"/>
  <c r="J35" i="5"/>
  <c r="G4" i="5" l="1"/>
  <c r="G6" i="5"/>
  <c r="D55" i="5" l="1"/>
  <c r="D59" i="5"/>
  <c r="G62" i="5"/>
  <c r="G58" i="5"/>
  <c r="C59" i="5" l="1"/>
  <c r="F59" i="5"/>
  <c r="B59" i="5"/>
  <c r="G59" i="5"/>
  <c r="B55" i="5"/>
  <c r="G55" i="5"/>
  <c r="F55" i="5"/>
  <c r="C55" i="5"/>
  <c r="G57" i="5"/>
  <c r="C58" i="5"/>
  <c r="D58" i="5"/>
  <c r="C57" i="5"/>
  <c r="F57" i="5"/>
  <c r="B58" i="5"/>
  <c r="D57" i="5"/>
  <c r="B62" i="5"/>
  <c r="D62" i="5"/>
  <c r="B57" i="5"/>
  <c r="F58" i="5"/>
  <c r="B56" i="5"/>
  <c r="G56" i="5"/>
  <c r="F56" i="5"/>
  <c r="F62" i="5"/>
  <c r="D56" i="5"/>
  <c r="C62" i="5"/>
  <c r="C56" i="5"/>
  <c r="B61" i="5"/>
  <c r="B60" i="5"/>
  <c r="D60" i="5"/>
  <c r="F61" i="5"/>
  <c r="G61" i="5"/>
  <c r="D61" i="5"/>
  <c r="C61" i="5"/>
  <c r="G60" i="5"/>
  <c r="F60" i="5"/>
  <c r="C60" i="5"/>
  <c r="D72" i="8" l="1"/>
  <c r="D73" i="8"/>
  <c r="D74" i="8"/>
  <c r="D75" i="8"/>
  <c r="D76" i="8"/>
  <c r="D77" i="8"/>
  <c r="D65" i="8" l="1"/>
  <c r="D64" i="8"/>
  <c r="D63" i="8"/>
  <c r="D59" i="8"/>
  <c r="D53" i="8"/>
  <c r="D54" i="8" l="1"/>
  <c r="D52" i="8"/>
  <c r="D50" i="8"/>
  <c r="D51" i="8"/>
  <c r="D55" i="8"/>
  <c r="C54" i="8"/>
  <c r="C52" i="8"/>
  <c r="C50" i="8"/>
  <c r="C51" i="8"/>
  <c r="C55" i="8"/>
  <c r="C72" i="8"/>
  <c r="C73" i="8"/>
  <c r="C74" i="8"/>
  <c r="C76" i="8"/>
  <c r="C77" i="8"/>
  <c r="C65" i="8"/>
  <c r="C59" i="8"/>
  <c r="C63" i="8"/>
  <c r="C64" i="8"/>
  <c r="D29" i="8"/>
  <c r="D28" i="8"/>
  <c r="D27" i="8"/>
  <c r="D26" i="8"/>
  <c r="D25" i="8"/>
  <c r="D41" i="8" l="1"/>
  <c r="D42" i="8"/>
  <c r="D43" i="8"/>
  <c r="D44" i="8"/>
  <c r="D45" i="8"/>
  <c r="D46" i="8"/>
  <c r="D47" i="8"/>
  <c r="C41" i="8"/>
  <c r="C42" i="8"/>
  <c r="C43" i="8"/>
  <c r="C44" i="8"/>
  <c r="C45" i="8"/>
  <c r="C46" i="8"/>
  <c r="C47" i="8"/>
  <c r="D32" i="8" l="1"/>
  <c r="D33" i="8"/>
  <c r="D34" i="8"/>
  <c r="D35" i="8"/>
  <c r="D36" i="8"/>
  <c r="D37" i="8"/>
  <c r="D38" i="8"/>
  <c r="C32" i="8"/>
  <c r="C33" i="8"/>
  <c r="C34" i="8"/>
  <c r="C35" i="8"/>
  <c r="C36" i="8"/>
  <c r="C37" i="8"/>
  <c r="C38" i="8"/>
  <c r="D24" i="8" l="1"/>
  <c r="D17" i="8"/>
  <c r="D3" i="8"/>
  <c r="D4" i="8"/>
  <c r="D5" i="8"/>
  <c r="D6" i="8"/>
  <c r="D7" i="8"/>
  <c r="D8" i="8"/>
  <c r="D9" i="8"/>
  <c r="D10" i="8"/>
  <c r="D11" i="8"/>
  <c r="D12" i="8"/>
  <c r="D13" i="8"/>
  <c r="D14" i="8"/>
  <c r="D15" i="8"/>
  <c r="D16" i="8"/>
  <c r="D18" i="8"/>
  <c r="D19" i="8"/>
  <c r="D20" i="8"/>
  <c r="D21" i="8"/>
  <c r="D22" i="8"/>
  <c r="D23" i="8"/>
  <c r="C3" i="8"/>
  <c r="C4" i="8"/>
  <c r="C5" i="8"/>
  <c r="C6" i="8"/>
  <c r="C7" i="8"/>
  <c r="C8" i="8"/>
  <c r="C9" i="8"/>
  <c r="C10" i="8"/>
  <c r="C11" i="8"/>
  <c r="C12" i="8"/>
  <c r="C13" i="8"/>
  <c r="C14" i="8"/>
  <c r="C15" i="8"/>
  <c r="C16" i="8"/>
  <c r="C18" i="8"/>
  <c r="C19" i="8"/>
  <c r="C20" i="8"/>
  <c r="C21" i="8"/>
  <c r="C22" i="8"/>
  <c r="C23" i="8"/>
  <c r="E47" i="8" l="1"/>
  <c r="B47" i="8"/>
  <c r="A47" i="8"/>
  <c r="E46" i="8"/>
  <c r="B46" i="8"/>
  <c r="A46" i="8"/>
  <c r="E45" i="8"/>
  <c r="B45" i="8"/>
  <c r="A45" i="8"/>
  <c r="E44" i="8"/>
  <c r="B44" i="8"/>
  <c r="A44" i="8"/>
  <c r="E43" i="8"/>
  <c r="B43" i="8"/>
  <c r="A43" i="8"/>
  <c r="E42" i="8"/>
  <c r="B42" i="8"/>
  <c r="A42" i="8"/>
  <c r="E41" i="8"/>
  <c r="B41" i="8"/>
  <c r="A41" i="8"/>
  <c r="A38" i="8"/>
  <c r="B38" i="8"/>
  <c r="E38" i="8"/>
  <c r="E37" i="8"/>
  <c r="B37" i="8"/>
  <c r="A37" i="8"/>
  <c r="E36" i="8"/>
  <c r="B36" i="8"/>
  <c r="A36" i="8"/>
  <c r="E35" i="8"/>
  <c r="B35" i="8"/>
  <c r="A35" i="8"/>
  <c r="E34" i="8"/>
  <c r="B34" i="8"/>
  <c r="A34" i="8"/>
  <c r="E33" i="8"/>
  <c r="B33" i="8"/>
  <c r="A33" i="8"/>
  <c r="E32" i="8"/>
  <c r="B32" i="8"/>
  <c r="A32" i="8"/>
  <c r="A51" i="8"/>
  <c r="M70" i="3" l="1"/>
  <c r="M53" i="3"/>
  <c r="M54" i="3"/>
  <c r="M46" i="3"/>
  <c r="M49" i="3"/>
  <c r="M52" i="3"/>
  <c r="M69" i="3"/>
  <c r="M71" i="3"/>
  <c r="M73" i="3"/>
  <c r="M8" i="3"/>
  <c r="M56" i="3"/>
  <c r="M59" i="3"/>
  <c r="M61" i="3"/>
  <c r="N70" i="3"/>
  <c r="N53" i="3"/>
  <c r="N54" i="3"/>
  <c r="N46" i="3"/>
  <c r="N49" i="3"/>
  <c r="N52" i="3"/>
  <c r="N69" i="3"/>
  <c r="N71" i="3"/>
  <c r="N73" i="3"/>
  <c r="N8" i="3"/>
  <c r="N56" i="3"/>
  <c r="N59" i="3"/>
  <c r="N61" i="3"/>
  <c r="N39" i="3"/>
  <c r="M34" i="3"/>
  <c r="M39" i="3"/>
  <c r="N34" i="3"/>
  <c r="N64" i="3"/>
  <c r="N16" i="3"/>
  <c r="N23" i="3"/>
  <c r="N27" i="3"/>
  <c r="N30" i="3"/>
  <c r="N42" i="3"/>
  <c r="N47" i="3"/>
  <c r="N11" i="3"/>
  <c r="N29" i="3"/>
  <c r="N15" i="3"/>
  <c r="N22" i="3"/>
  <c r="N68" i="3"/>
  <c r="N36" i="3"/>
  <c r="N43" i="3"/>
  <c r="N48" i="3"/>
  <c r="N41" i="3"/>
  <c r="N19" i="3"/>
  <c r="N14" i="3"/>
  <c r="N24" i="3"/>
  <c r="N6" i="3"/>
  <c r="N35" i="3"/>
  <c r="N44" i="3"/>
  <c r="N10" i="3"/>
  <c r="N17" i="3"/>
  <c r="N65" i="3"/>
  <c r="N60" i="3"/>
  <c r="N31" i="3"/>
  <c r="N7" i="3"/>
  <c r="N50" i="3"/>
  <c r="N62" i="3"/>
  <c r="N32" i="3"/>
  <c r="N51" i="3"/>
  <c r="N13" i="3"/>
  <c r="N38" i="3"/>
  <c r="N63" i="3"/>
  <c r="N18" i="3"/>
  <c r="N26" i="3"/>
  <c r="N45" i="3"/>
  <c r="N40" i="3"/>
  <c r="N21" i="3"/>
  <c r="N25" i="3"/>
  <c r="N55" i="3"/>
  <c r="N37" i="3"/>
  <c r="N72" i="3"/>
  <c r="N67" i="3"/>
  <c r="N12" i="3"/>
  <c r="N20" i="3"/>
  <c r="N28" i="3"/>
  <c r="N57" i="3"/>
  <c r="N33" i="3"/>
  <c r="N9" i="3"/>
  <c r="N66" i="3"/>
  <c r="N58" i="3"/>
  <c r="M64" i="3"/>
  <c r="M16" i="3"/>
  <c r="M23" i="3"/>
  <c r="M27" i="3"/>
  <c r="M30" i="3"/>
  <c r="M38" i="3"/>
  <c r="M63" i="3"/>
  <c r="M17" i="3"/>
  <c r="M44" i="3"/>
  <c r="M62" i="3"/>
  <c r="M50" i="3"/>
  <c r="M21" i="3"/>
  <c r="M32" i="3"/>
  <c r="M20" i="3"/>
  <c r="M37" i="3"/>
  <c r="M13" i="3"/>
  <c r="M33" i="3"/>
  <c r="M66" i="3"/>
  <c r="M15" i="3"/>
  <c r="M22" i="3"/>
  <c r="M68" i="3"/>
  <c r="M36" i="3"/>
  <c r="M42" i="3"/>
  <c r="M47" i="3"/>
  <c r="M11" i="3"/>
  <c r="M60" i="3"/>
  <c r="M10" i="3"/>
  <c r="M26" i="3"/>
  <c r="M7" i="3"/>
  <c r="M25" i="3"/>
  <c r="M45" i="3"/>
  <c r="M28" i="3"/>
  <c r="M72" i="3"/>
  <c r="M19" i="3"/>
  <c r="M58" i="3"/>
  <c r="M14" i="3"/>
  <c r="M24" i="3"/>
  <c r="M6" i="3"/>
  <c r="M43" i="3"/>
  <c r="M48" i="3"/>
  <c r="M41" i="3"/>
  <c r="M65" i="3"/>
  <c r="M35" i="3"/>
  <c r="M18" i="3"/>
  <c r="M31" i="3"/>
  <c r="M40" i="3"/>
  <c r="M55" i="3"/>
  <c r="M51" i="3"/>
  <c r="M12" i="3"/>
  <c r="M57" i="3"/>
  <c r="M67" i="3"/>
  <c r="M29" i="3"/>
  <c r="M9" i="3"/>
  <c r="M5" i="3"/>
  <c r="M4" i="3"/>
  <c r="N5" i="3"/>
  <c r="N4" i="3"/>
  <c r="A77" i="8" l="1"/>
  <c r="B77" i="8"/>
  <c r="E77" i="8"/>
  <c r="A76" i="8" l="1"/>
  <c r="B76" i="8"/>
  <c r="E76" i="8"/>
  <c r="A61" i="8" l="1"/>
  <c r="A59" i="8"/>
  <c r="A60" i="8"/>
  <c r="A63" i="8"/>
  <c r="A64" i="8"/>
  <c r="B59" i="8"/>
  <c r="B60" i="8"/>
  <c r="B63" i="8"/>
  <c r="B64" i="8"/>
  <c r="E59" i="8"/>
  <c r="E60" i="8"/>
  <c r="E63" i="8"/>
  <c r="E64" i="8"/>
  <c r="E31" i="5" l="1"/>
  <c r="E28" i="5"/>
  <c r="E25" i="5"/>
  <c r="E22" i="5"/>
  <c r="E16" i="5"/>
  <c r="E19" i="5"/>
  <c r="E13" i="5"/>
  <c r="E10" i="5"/>
  <c r="E20" i="5" l="1"/>
  <c r="E23" i="5"/>
  <c r="E29" i="5"/>
  <c r="E11" i="5"/>
  <c r="E17" i="5"/>
  <c r="E14" i="5"/>
  <c r="E75" i="8" l="1"/>
  <c r="B75" i="8"/>
  <c r="A75" i="8"/>
  <c r="E74" i="8"/>
  <c r="B74" i="8"/>
  <c r="A74" i="8"/>
  <c r="E73" i="8"/>
  <c r="B73" i="8"/>
  <c r="A73" i="8"/>
  <c r="E72" i="8"/>
  <c r="B72" i="8"/>
  <c r="A72" i="8"/>
  <c r="Q70" i="3" l="1"/>
  <c r="Q53" i="3"/>
  <c r="Q54" i="3"/>
  <c r="Q46" i="3"/>
  <c r="Q49" i="3"/>
  <c r="Q52" i="3"/>
  <c r="Q69" i="3"/>
  <c r="Q71" i="3"/>
  <c r="Q73" i="3"/>
  <c r="Q8" i="3"/>
  <c r="Q56" i="3"/>
  <c r="Q59" i="3"/>
  <c r="Q61" i="3"/>
  <c r="Q39" i="3"/>
  <c r="Q34" i="3"/>
  <c r="Q64" i="3"/>
  <c r="Q40" i="3"/>
  <c r="Q12" i="3"/>
  <c r="Q13" i="3"/>
  <c r="Q16" i="3"/>
  <c r="Q15" i="3"/>
  <c r="Q14" i="3"/>
  <c r="Q17" i="3"/>
  <c r="Q18" i="3"/>
  <c r="Q21" i="3"/>
  <c r="Q20" i="3"/>
  <c r="Q19" i="3"/>
  <c r="Q23" i="3"/>
  <c r="Q22" i="3"/>
  <c r="Q24" i="3"/>
  <c r="Q65" i="3"/>
  <c r="Q26" i="3"/>
  <c r="Q25" i="3"/>
  <c r="Q28" i="3"/>
  <c r="Q29" i="3"/>
  <c r="Q27" i="3"/>
  <c r="Q68" i="3"/>
  <c r="Q6" i="3"/>
  <c r="Q60" i="3"/>
  <c r="Q62" i="3"/>
  <c r="Q55" i="3"/>
  <c r="Q57" i="3"/>
  <c r="Q58" i="3"/>
  <c r="Q30" i="3"/>
  <c r="Q36" i="3"/>
  <c r="Q35" i="3"/>
  <c r="Q31" i="3"/>
  <c r="Q32" i="3"/>
  <c r="Q37" i="3"/>
  <c r="Q33" i="3"/>
  <c r="Q38" i="3"/>
  <c r="Q42" i="3"/>
  <c r="Q43" i="3"/>
  <c r="Q44" i="3"/>
  <c r="Q7" i="3"/>
  <c r="Q45" i="3"/>
  <c r="Q72" i="3"/>
  <c r="Q9" i="3"/>
  <c r="Q47" i="3"/>
  <c r="Q48" i="3"/>
  <c r="Q10" i="3"/>
  <c r="Q50" i="3"/>
  <c r="Q51" i="3"/>
  <c r="Q67" i="3"/>
  <c r="Q66" i="3"/>
  <c r="Q63" i="3"/>
  <c r="Q11" i="3"/>
  <c r="Q41" i="3"/>
  <c r="Q5" i="3"/>
  <c r="Q4" i="3"/>
  <c r="E32" i="5" l="1"/>
  <c r="E26" i="5"/>
  <c r="C45" i="5" l="1"/>
  <c r="F45" i="5"/>
  <c r="G45" i="5"/>
  <c r="D45" i="5"/>
  <c r="G47" i="5"/>
  <c r="F47" i="5"/>
  <c r="D47" i="5"/>
  <c r="C47" i="5"/>
  <c r="D44" i="5"/>
  <c r="C44" i="5"/>
  <c r="G44" i="5"/>
  <c r="F44" i="5"/>
  <c r="D49" i="5"/>
  <c r="C49" i="5"/>
  <c r="G49" i="5"/>
  <c r="F49" i="5"/>
  <c r="G46" i="5"/>
  <c r="F46" i="5"/>
  <c r="C46" i="5"/>
  <c r="D46" i="5"/>
  <c r="D48" i="5"/>
  <c r="C48" i="5"/>
  <c r="G48" i="5"/>
  <c r="F48" i="5"/>
  <c r="G43" i="5"/>
  <c r="C43" i="5"/>
  <c r="D43" i="5"/>
  <c r="F43" i="5"/>
  <c r="G50" i="5"/>
  <c r="C50" i="5"/>
  <c r="D50" i="5"/>
  <c r="F50" i="5"/>
  <c r="G54" i="5"/>
  <c r="C54" i="5" l="1"/>
  <c r="D54" i="5"/>
  <c r="F54" i="5"/>
  <c r="B54" i="5"/>
  <c r="E61" i="8" l="1"/>
  <c r="B61" i="8"/>
  <c r="E62" i="8"/>
  <c r="B62" i="8"/>
  <c r="A62" i="8"/>
  <c r="E58" i="8"/>
  <c r="B58" i="8"/>
  <c r="A58" i="8"/>
  <c r="E65" i="8"/>
  <c r="B65" i="8"/>
  <c r="A65" i="8"/>
  <c r="P70" i="3" l="1"/>
  <c r="P53" i="3"/>
  <c r="P54" i="3"/>
  <c r="P46" i="3"/>
  <c r="P49" i="3"/>
  <c r="P52" i="3"/>
  <c r="P69" i="3"/>
  <c r="P71" i="3"/>
  <c r="P73" i="3"/>
  <c r="P8" i="3"/>
  <c r="P56" i="3"/>
  <c r="P59" i="3"/>
  <c r="P61" i="3"/>
  <c r="P39" i="3"/>
  <c r="P34" i="3"/>
  <c r="P64" i="3"/>
  <c r="P40" i="3"/>
  <c r="P12" i="3"/>
  <c r="P13" i="3"/>
  <c r="P16" i="3"/>
  <c r="P15" i="3"/>
  <c r="P14" i="3"/>
  <c r="P17" i="3"/>
  <c r="P18" i="3"/>
  <c r="P21" i="3"/>
  <c r="P20" i="3"/>
  <c r="P19" i="3"/>
  <c r="P23" i="3"/>
  <c r="P22" i="3"/>
  <c r="P24" i="3"/>
  <c r="P65" i="3"/>
  <c r="P26" i="3"/>
  <c r="P25" i="3"/>
  <c r="P28" i="3"/>
  <c r="P29" i="3"/>
  <c r="P27" i="3"/>
  <c r="P68" i="3"/>
  <c r="P6" i="3"/>
  <c r="P60" i="3"/>
  <c r="P62" i="3"/>
  <c r="P55" i="3"/>
  <c r="P57" i="3"/>
  <c r="P58" i="3"/>
  <c r="P30" i="3"/>
  <c r="P36" i="3"/>
  <c r="P35" i="3"/>
  <c r="P31" i="3"/>
  <c r="P32" i="3"/>
  <c r="P37" i="3"/>
  <c r="P33" i="3"/>
  <c r="P38" i="3"/>
  <c r="P42" i="3"/>
  <c r="P43" i="3"/>
  <c r="P44" i="3"/>
  <c r="P7" i="3"/>
  <c r="P45" i="3"/>
  <c r="P72" i="3"/>
  <c r="P9" i="3"/>
  <c r="P47" i="3"/>
  <c r="P48" i="3"/>
  <c r="P10" i="3"/>
  <c r="P50" i="3"/>
  <c r="P51" i="3"/>
  <c r="P67" i="3"/>
  <c r="P66" i="3"/>
  <c r="P63" i="3"/>
  <c r="P11" i="3"/>
  <c r="P41" i="3"/>
  <c r="P5" i="3"/>
  <c r="P4" i="3"/>
  <c r="A25" i="8"/>
  <c r="A26" i="8"/>
  <c r="A27" i="8"/>
  <c r="A28" i="8"/>
  <c r="A29" i="8"/>
  <c r="B25" i="8"/>
  <c r="B26" i="8"/>
  <c r="B27" i="8"/>
  <c r="B28" i="8"/>
  <c r="B29" i="8"/>
  <c r="E25" i="8"/>
  <c r="E26" i="8"/>
  <c r="E27" i="8"/>
  <c r="E28" i="8"/>
  <c r="E29" i="8"/>
  <c r="A24" i="8"/>
  <c r="B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E7" i="8"/>
  <c r="E8" i="8"/>
  <c r="E9" i="8"/>
  <c r="E10" i="8"/>
  <c r="E11" i="8"/>
  <c r="E12" i="8"/>
  <c r="E13" i="8"/>
  <c r="E14" i="8"/>
  <c r="E15" i="8"/>
  <c r="E16" i="8"/>
  <c r="E17" i="8"/>
  <c r="E18" i="8"/>
  <c r="E19" i="8"/>
  <c r="E20" i="8"/>
  <c r="E21" i="8"/>
  <c r="E22" i="8"/>
  <c r="E23" i="8"/>
  <c r="L40" i="3" l="1"/>
  <c r="B50" i="8"/>
  <c r="E50" i="8"/>
  <c r="E51" i="8"/>
  <c r="E52" i="8"/>
  <c r="E53" i="8"/>
  <c r="E54" i="8"/>
  <c r="E55" i="8"/>
  <c r="B51" i="8"/>
  <c r="B52" i="8"/>
  <c r="B53" i="8"/>
  <c r="B54" i="8"/>
  <c r="B55" i="8"/>
  <c r="A50" i="8"/>
  <c r="A52" i="8"/>
  <c r="A53" i="8"/>
  <c r="A54" i="8"/>
  <c r="A55" i="8"/>
  <c r="E3" i="8"/>
  <c r="E4" i="8"/>
  <c r="E5" i="8"/>
  <c r="E6" i="8"/>
  <c r="B3" i="8"/>
  <c r="B4" i="8"/>
  <c r="B5" i="8"/>
  <c r="B6" i="8"/>
  <c r="A4" i="8"/>
  <c r="A5" i="8"/>
  <c r="A6" i="8"/>
  <c r="L70" i="3" l="1"/>
  <c r="L53" i="3"/>
  <c r="L54" i="3"/>
  <c r="L46" i="3"/>
  <c r="L49" i="3"/>
  <c r="L52" i="3"/>
  <c r="L69" i="3"/>
  <c r="L71" i="3"/>
  <c r="L73" i="3"/>
  <c r="L8" i="3"/>
  <c r="L56" i="3"/>
  <c r="L59" i="3"/>
  <c r="L61" i="3"/>
  <c r="O70" i="3"/>
  <c r="O53" i="3"/>
  <c r="O54" i="3"/>
  <c r="O46" i="3"/>
  <c r="O49" i="3"/>
  <c r="O52" i="3"/>
  <c r="O69" i="3"/>
  <c r="O71" i="3"/>
  <c r="O73" i="3"/>
  <c r="O8" i="3"/>
  <c r="O56" i="3"/>
  <c r="O59" i="3"/>
  <c r="O61" i="3"/>
  <c r="L39" i="3"/>
  <c r="O39" i="3"/>
  <c r="L34" i="3"/>
  <c r="L12" i="3"/>
  <c r="L13" i="3"/>
  <c r="O34" i="3"/>
  <c r="O64" i="3"/>
  <c r="O4" i="3"/>
  <c r="O5" i="3"/>
  <c r="O40" i="3"/>
  <c r="O12" i="3"/>
  <c r="O13" i="3"/>
  <c r="O16" i="3"/>
  <c r="O15" i="3"/>
  <c r="O14" i="3"/>
  <c r="O17" i="3"/>
  <c r="O18" i="3"/>
  <c r="O21" i="3"/>
  <c r="O20" i="3"/>
  <c r="O19" i="3"/>
  <c r="O23" i="3"/>
  <c r="O22" i="3"/>
  <c r="O24" i="3"/>
  <c r="O65" i="3"/>
  <c r="O26" i="3"/>
  <c r="O25" i="3"/>
  <c r="O28" i="3"/>
  <c r="O29" i="3"/>
  <c r="O27" i="3"/>
  <c r="O68" i="3"/>
  <c r="O6" i="3"/>
  <c r="O60" i="3"/>
  <c r="O62" i="3"/>
  <c r="O55" i="3"/>
  <c r="O57" i="3"/>
  <c r="O58" i="3"/>
  <c r="O30" i="3"/>
  <c r="O36" i="3"/>
  <c r="O35" i="3"/>
  <c r="O31" i="3"/>
  <c r="O32" i="3"/>
  <c r="O37" i="3"/>
  <c r="O33" i="3"/>
  <c r="O38" i="3"/>
  <c r="O42" i="3"/>
  <c r="O43" i="3"/>
  <c r="O44" i="3"/>
  <c r="O7" i="3"/>
  <c r="O45" i="3"/>
  <c r="O72" i="3"/>
  <c r="O9" i="3"/>
  <c r="O47" i="3"/>
  <c r="O48" i="3"/>
  <c r="O10" i="3"/>
  <c r="O50" i="3"/>
  <c r="O51" i="3"/>
  <c r="O67" i="3"/>
  <c r="O66" i="3"/>
  <c r="O63" i="3"/>
  <c r="O11" i="3"/>
  <c r="O41" i="3"/>
  <c r="L64" i="3"/>
  <c r="L17" i="3"/>
  <c r="L65" i="3"/>
  <c r="L60" i="3"/>
  <c r="L35" i="3"/>
  <c r="L44" i="3"/>
  <c r="L10" i="3"/>
  <c r="L62" i="3"/>
  <c r="L31" i="3"/>
  <c r="L7" i="3"/>
  <c r="L50" i="3"/>
  <c r="L33" i="3"/>
  <c r="L6" i="3"/>
  <c r="L18" i="3"/>
  <c r="L26" i="3"/>
  <c r="L21" i="3"/>
  <c r="L25" i="3"/>
  <c r="L55" i="3"/>
  <c r="L32" i="3"/>
  <c r="L45" i="3"/>
  <c r="L51" i="3"/>
  <c r="L19" i="3"/>
  <c r="L66" i="3"/>
  <c r="L43" i="3"/>
  <c r="L20" i="3"/>
  <c r="L28" i="3"/>
  <c r="L57" i="3"/>
  <c r="L37" i="3"/>
  <c r="L72" i="3"/>
  <c r="L67" i="3"/>
  <c r="L29" i="3"/>
  <c r="L58" i="3"/>
  <c r="L9" i="3"/>
  <c r="L48" i="3"/>
  <c r="L16" i="3"/>
  <c r="L23" i="3"/>
  <c r="L27" i="3"/>
  <c r="L30" i="3"/>
  <c r="L38" i="3"/>
  <c r="L63" i="3"/>
  <c r="L22" i="3"/>
  <c r="L68" i="3"/>
  <c r="L36" i="3"/>
  <c r="L42" i="3"/>
  <c r="L47" i="3"/>
  <c r="L11" i="3"/>
  <c r="L14" i="3"/>
  <c r="L24" i="3"/>
  <c r="L41" i="3"/>
  <c r="L15" i="3"/>
  <c r="L5" i="3"/>
  <c r="L4" i="3"/>
  <c r="G7" i="5"/>
  <c r="C39" i="5" l="1"/>
  <c r="F39" i="5"/>
  <c r="G39" i="5"/>
  <c r="B39" i="5"/>
  <c r="D39" i="5"/>
  <c r="B40" i="5"/>
  <c r="F40" i="5"/>
  <c r="G40" i="5"/>
  <c r="D40" i="5"/>
  <c r="C40" i="5"/>
  <c r="B36" i="5"/>
  <c r="C36" i="5"/>
  <c r="G36" i="5"/>
  <c r="F36" i="5"/>
  <c r="D36" i="5"/>
  <c r="D41" i="5"/>
  <c r="B41" i="5"/>
  <c r="C41" i="5"/>
  <c r="F41" i="5"/>
  <c r="G41" i="5"/>
  <c r="D38" i="5"/>
  <c r="B38" i="5"/>
  <c r="C38" i="5"/>
  <c r="F38" i="5"/>
  <c r="G38" i="5"/>
  <c r="C35" i="5"/>
  <c r="G35" i="5"/>
  <c r="D35" i="5"/>
  <c r="F35" i="5"/>
  <c r="B35" i="5"/>
  <c r="C37" i="5"/>
  <c r="G37" i="5"/>
  <c r="F37" i="5"/>
  <c r="B37" i="5"/>
  <c r="D37" i="5"/>
  <c r="D34" i="5"/>
  <c r="F34" i="5"/>
  <c r="B34" i="5"/>
  <c r="C34" i="5"/>
  <c r="G34" i="5"/>
  <c r="F25" i="5" l="1"/>
  <c r="C25" i="5"/>
  <c r="G25" i="5"/>
  <c r="D25" i="5"/>
  <c r="B25" i="5"/>
  <c r="G16" i="5"/>
  <c r="F16" i="5"/>
  <c r="D16" i="5"/>
  <c r="C16" i="5"/>
  <c r="B16" i="5"/>
  <c r="G22" i="5"/>
  <c r="F22" i="5"/>
  <c r="D22" i="5"/>
  <c r="C22" i="5"/>
  <c r="B22" i="5"/>
  <c r="G14" i="5"/>
  <c r="F14" i="5"/>
  <c r="D14" i="5"/>
  <c r="C14" i="5"/>
  <c r="B14" i="5"/>
  <c r="G32" i="5"/>
  <c r="F32" i="5"/>
  <c r="D32" i="5"/>
  <c r="C32" i="5"/>
  <c r="B32"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31" i="5"/>
  <c r="F31" i="5"/>
  <c r="D31" i="5"/>
  <c r="C31" i="5"/>
  <c r="B31" i="5"/>
  <c r="G20" i="5"/>
  <c r="F20" i="5"/>
  <c r="D20" i="5"/>
  <c r="C20" i="5"/>
  <c r="B20" i="5"/>
</calcChain>
</file>

<file path=xl/sharedStrings.xml><?xml version="1.0" encoding="utf-8"?>
<sst xmlns="http://schemas.openxmlformats.org/spreadsheetml/2006/main" count="1750" uniqueCount="419">
  <si>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</si>
  <si>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</si>
  <si>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</si>
  <si>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</si>
  <si>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</si>
  <si>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</si>
  <si>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</si>
  <si>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</si>
  <si>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</si>
  <si>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2024 Enrolment Planner</t>
  </si>
  <si>
    <t>Course:</t>
  </si>
  <si>
    <t>Bachelor of Applied Science (Construction Management) (OpenUnis)</t>
  </si>
  <si>
    <t>Specialisation:</t>
  </si>
  <si>
    <t>Animation and Game Architecture Design Specialisation (OpenUnis)</t>
  </si>
  <si>
    <t>Specialisation version:</t>
  </si>
  <si>
    <t>Commencing:</t>
  </si>
  <si>
    <t>Study Period 1 (February - May)</t>
  </si>
  <si>
    <t>Credits to Complete:</t>
  </si>
  <si>
    <t>2024 Availabilities</t>
  </si>
  <si>
    <t>Year 1</t>
  </si>
  <si>
    <t>OUA Code</t>
  </si>
  <si>
    <t>Study Period</t>
  </si>
  <si>
    <t>Pre Requisite(s)</t>
  </si>
  <si>
    <t>CP</t>
  </si>
  <si>
    <t>SP1</t>
  </si>
  <si>
    <t>SP2</t>
  </si>
  <si>
    <t>SP3</t>
  </si>
  <si>
    <t>SP4</t>
  </si>
  <si>
    <t>Progress</t>
  </si>
  <si>
    <t>Year 2</t>
  </si>
  <si>
    <t>Year 3</t>
  </si>
  <si>
    <t>Year 4</t>
  </si>
  <si>
    <t>Pre Requisites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</si>
  <si>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</si>
  <si>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</si>
  <si>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</si>
  <si>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</si>
  <si>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RangeUnitSets</t>
  </si>
  <si>
    <t>Y1SP1</t>
  </si>
  <si>
    <t>COMS1007</t>
  </si>
  <si>
    <t>Y1SP2</t>
  </si>
  <si>
    <t>BLDG1008</t>
  </si>
  <si>
    <t>Y1SP3</t>
  </si>
  <si>
    <t>Y1SP4</t>
  </si>
  <si>
    <t>TableCourses</t>
  </si>
  <si>
    <t>BLDG1005</t>
  </si>
  <si>
    <t>BLDG1009</t>
  </si>
  <si>
    <t>Choose your Construction Management Course (drop-down list)</t>
  </si>
  <si>
    <t>Version</t>
  </si>
  <si>
    <t>Credit Points</t>
  </si>
  <si>
    <t>Effective Date</t>
  </si>
  <si>
    <t>Akari Update</t>
  </si>
  <si>
    <t>800 credit points required</t>
  </si>
  <si>
    <t>SP1; SP2; SP3; SP4</t>
  </si>
  <si>
    <t>Bachelor of Applied Science (Construction Management) (OpenUnis) (Honours)</t>
  </si>
  <si>
    <t>BLDG1017</t>
  </si>
  <si>
    <t>ARCH1021</t>
  </si>
  <si>
    <t>BLDG1006</t>
  </si>
  <si>
    <t>BLDG1019</t>
  </si>
  <si>
    <t>TableStudyPeriod</t>
  </si>
  <si>
    <t>Choose your commencing study period (drop-down list)</t>
  </si>
  <si>
    <t>START</t>
  </si>
  <si>
    <t>Next</t>
  </si>
  <si>
    <t>Next2</t>
  </si>
  <si>
    <t>Next3</t>
  </si>
  <si>
    <t>Y2SP1</t>
  </si>
  <si>
    <t>BLDG2026</t>
  </si>
  <si>
    <t>Y2SP2</t>
  </si>
  <si>
    <t>BLDG2021</t>
  </si>
  <si>
    <t>Y2SP3</t>
  </si>
  <si>
    <t>Y2SP4</t>
  </si>
  <si>
    <t>Study Period 2 (May - August)</t>
  </si>
  <si>
    <t>Spec</t>
  </si>
  <si>
    <t>BLDG2034</t>
  </si>
  <si>
    <t>Study Period 3 (August - November)</t>
  </si>
  <si>
    <t>Study Period 4 (November - February)</t>
  </si>
  <si>
    <t>BLDG2027</t>
  </si>
  <si>
    <t>BLDG2016</t>
  </si>
  <si>
    <t>TableStream</t>
  </si>
  <si>
    <t>BLDG2028</t>
  </si>
  <si>
    <t>Honours Construction Management Stream (OUA)</t>
  </si>
  <si>
    <t>OUSH-CONMN</t>
  </si>
  <si>
    <t>v.2</t>
  </si>
  <si>
    <t>200 credit points</t>
  </si>
  <si>
    <t>Construction Management Fourth Year Stream (OUA)</t>
  </si>
  <si>
    <t>OUSU-CONMN</t>
  </si>
  <si>
    <t>Y3SP1</t>
  </si>
  <si>
    <t>BLDG3035</t>
  </si>
  <si>
    <t>Y3SP2</t>
  </si>
  <si>
    <t>BLDG3026</t>
  </si>
  <si>
    <t>Y3SP3</t>
  </si>
  <si>
    <t>Y3SP4</t>
  </si>
  <si>
    <t>BLDG3029</t>
  </si>
  <si>
    <t>TableSpecialisations</t>
  </si>
  <si>
    <t>Choose your Specialisation (drop-down list)</t>
  </si>
  <si>
    <t>OSCU-ANGAD</t>
  </si>
  <si>
    <t>v.1</t>
  </si>
  <si>
    <t>100 credit points</t>
  </si>
  <si>
    <t>BLDG3033</t>
  </si>
  <si>
    <t>BLDG3031</t>
  </si>
  <si>
    <t>Interior Architecture Specialisation (OpenUnis)</t>
  </si>
  <si>
    <t>OSCU-INARS</t>
  </si>
  <si>
    <t>v.3</t>
  </si>
  <si>
    <t>URDE3011</t>
  </si>
  <si>
    <t>Planning and Geography Specialisation (OpenUnis)</t>
  </si>
  <si>
    <t>OSCU-PLGEO</t>
  </si>
  <si>
    <t>Y4SP1</t>
  </si>
  <si>
    <t>Y4SP2</t>
  </si>
  <si>
    <t>Y4SP3</t>
  </si>
  <si>
    <t>Y4SP4</t>
  </si>
  <si>
    <t>BLDG4029</t>
  </si>
  <si>
    <t>BLDG4035</t>
  </si>
  <si>
    <t>BLDG4017</t>
  </si>
  <si>
    <t>15/01/2024 - Structures updated</t>
  </si>
  <si>
    <t>BLDG4020</t>
  </si>
  <si>
    <t>BLDG4024</t>
  </si>
  <si>
    <t>15/01/2024 - Availabilities updated</t>
  </si>
  <si>
    <t>BLDG4025</t>
  </si>
  <si>
    <t>16/01/2024 - Pre Requisites updated</t>
  </si>
  <si>
    <t>BLDG4002</t>
  </si>
  <si>
    <t>16/01/2024 - Handbook updated</t>
  </si>
  <si>
    <t>BLDG4033</t>
  </si>
  <si>
    <t>BLDG4003</t>
  </si>
  <si>
    <t>16/01/2024 - Need to Review Handbook notes and Sequences</t>
  </si>
  <si>
    <t>-</t>
  </si>
  <si>
    <t>50CP Unit</t>
  </si>
  <si>
    <t>RangeSpecSets</t>
  </si>
  <si>
    <t>Spec1</t>
  </si>
  <si>
    <t>GRDE1022</t>
  </si>
  <si>
    <t>URDE1007</t>
  </si>
  <si>
    <t>Spec2</t>
  </si>
  <si>
    <t>GRDE2036</t>
  </si>
  <si>
    <t>INAR1011</t>
  </si>
  <si>
    <t>URDE1008</t>
  </si>
  <si>
    <t>Spec3</t>
  </si>
  <si>
    <t>GRDE2042</t>
  </si>
  <si>
    <t>INAR1015</t>
  </si>
  <si>
    <t>PHGY3001</t>
  </si>
  <si>
    <t>Spec4</t>
  </si>
  <si>
    <t>AND</t>
  </si>
  <si>
    <t>AND BOTH</t>
  </si>
  <si>
    <t>Spec5</t>
  </si>
  <si>
    <t>AltCoreANGAD</t>
  </si>
  <si>
    <t>INAR2023</t>
  </si>
  <si>
    <t>AltCorePLGEO</t>
  </si>
  <si>
    <t>Spec6</t>
  </si>
  <si>
    <t>GRDE3033</t>
  </si>
  <si>
    <t>INAR3021</t>
  </si>
  <si>
    <t>GEOG3002</t>
  </si>
  <si>
    <t>Spec7</t>
  </si>
  <si>
    <t>WORK3002</t>
  </si>
  <si>
    <t>Spec8</t>
  </si>
  <si>
    <t>Spec9</t>
  </si>
  <si>
    <t>INAR2015</t>
  </si>
  <si>
    <t>Spec10</t>
  </si>
  <si>
    <t>INAR2025</t>
  </si>
  <si>
    <t>Spec11</t>
  </si>
  <si>
    <t>WORK2006</t>
  </si>
  <si>
    <t>Spec12</t>
  </si>
  <si>
    <t>WORK2007</t>
  </si>
  <si>
    <t>Spec13</t>
  </si>
  <si>
    <t>Spec14</t>
  </si>
  <si>
    <t>WORK3009</t>
  </si>
  <si>
    <t>Pre Req Issues</t>
  </si>
  <si>
    <t>Title</t>
  </si>
  <si>
    <t>Notes</t>
  </si>
  <si>
    <t>OB-CONMN</t>
  </si>
  <si>
    <t>Please note this is a double subject</t>
  </si>
  <si>
    <t>--</t>
  </si>
  <si>
    <t>Not relevant to this study sequence</t>
  </si>
  <si>
    <t>4th Year Stream</t>
  </si>
  <si>
    <t>Alternate Cores for OUSU-CONMN Construction Management Fourth Year Stream (OpenUnis)</t>
  </si>
  <si>
    <t>Study either DIG39 or WBP300</t>
  </si>
  <si>
    <t>See below</t>
  </si>
  <si>
    <t>Study either BIA140 or BIA170</t>
  </si>
  <si>
    <t>AltCoreINARS1.PO</t>
  </si>
  <si>
    <t>Study either BIA100 or BIA140</t>
  </si>
  <si>
    <t>Removed from Specialisation in v.3</t>
  </si>
  <si>
    <t>AltCoreINARS2.PO</t>
  </si>
  <si>
    <t>Study either BIA250 or WBP300</t>
  </si>
  <si>
    <t>Study either GPH320 or WBP300</t>
  </si>
  <si>
    <t>BAS145</t>
  </si>
  <si>
    <t>Architecture and Interior Architecture Methods 1B - Digital Literacy</t>
  </si>
  <si>
    <t>None</t>
  </si>
  <si>
    <t>CME101</t>
  </si>
  <si>
    <t>Low Rise Construction</t>
  </si>
  <si>
    <t>CME106</t>
  </si>
  <si>
    <t>High-rise Construction</t>
  </si>
  <si>
    <t>CME104</t>
  </si>
  <si>
    <t>Structures</t>
  </si>
  <si>
    <t>CME103</t>
  </si>
  <si>
    <t>Introduction to Management in Construction</t>
  </si>
  <si>
    <t>CME180</t>
  </si>
  <si>
    <t>Building Construction Measurement</t>
  </si>
  <si>
    <t>CME190</t>
  </si>
  <si>
    <t>Health, Safety and Quality in the Built Environment</t>
  </si>
  <si>
    <t>CME204</t>
  </si>
  <si>
    <t>Building Services</t>
  </si>
  <si>
    <t>CME203</t>
  </si>
  <si>
    <t>Specialised Construction</t>
  </si>
  <si>
    <t>CME202</t>
  </si>
  <si>
    <t>Construction Plant and Equipment</t>
  </si>
  <si>
    <t>CME206</t>
  </si>
  <si>
    <t>Building Surveying</t>
  </si>
  <si>
    <t>CME205</t>
  </si>
  <si>
    <t>Building Information Management and Modelling</t>
  </si>
  <si>
    <t>CME215</t>
  </si>
  <si>
    <t>Construction Estimating and Cost Planning</t>
  </si>
  <si>
    <t>CME180 or CME201</t>
  </si>
  <si>
    <t>CME307</t>
  </si>
  <si>
    <t>CME208 or CME215</t>
  </si>
  <si>
    <t>CME306</t>
  </si>
  <si>
    <t>CME390</t>
  </si>
  <si>
    <t>SP2/SP4 - First delivery 2025</t>
  </si>
  <si>
    <t>CME315</t>
  </si>
  <si>
    <t>CME205 + CME306</t>
  </si>
  <si>
    <t>SP1/SP3 - First delivery 2025</t>
  </si>
  <si>
    <t>CME325</t>
  </si>
  <si>
    <t>CME408</t>
  </si>
  <si>
    <t>Building Dissertation 1 (details coming)</t>
  </si>
  <si>
    <t>CME409</t>
  </si>
  <si>
    <t>Building Dissertation 2 (details coming)</t>
  </si>
  <si>
    <t>CME404</t>
  </si>
  <si>
    <t>Facilities and Asset Management (details coming)</t>
  </si>
  <si>
    <t>CME405</t>
  </si>
  <si>
    <t>Professional Practice in Construction (details coming)</t>
  </si>
  <si>
    <t>New Version &amp; Title</t>
  </si>
  <si>
    <t>CME403</t>
  </si>
  <si>
    <t>Integrated Construction Project 1 (details coming)</t>
  </si>
  <si>
    <t>CME402</t>
  </si>
  <si>
    <t>Project Risk and Development Appraisal (details coming)</t>
  </si>
  <si>
    <t>CME415</t>
  </si>
  <si>
    <t>Contract Administration (details coming)</t>
  </si>
  <si>
    <t>BLDG4031.PO</t>
  </si>
  <si>
    <t>CME416</t>
  </si>
  <si>
    <t>Quality in Construction</t>
  </si>
  <si>
    <t>Deactivation due 30/06/2024</t>
  </si>
  <si>
    <t>CME417</t>
  </si>
  <si>
    <t>Integrated Construction Project 2 (details coming)</t>
  </si>
  <si>
    <t>CME425</t>
  </si>
  <si>
    <t>Engineering Measurement (details coming)</t>
  </si>
  <si>
    <t>New Unit</t>
  </si>
  <si>
    <t>APC100</t>
  </si>
  <si>
    <t>Academic and Professional Communications</t>
  </si>
  <si>
    <t>GPH320</t>
  </si>
  <si>
    <t>Urban Geographies</t>
  </si>
  <si>
    <t>DIG10</t>
  </si>
  <si>
    <t>Game Design Introduction</t>
  </si>
  <si>
    <t>DIG230</t>
  </si>
  <si>
    <t>Introduction to 3D Modelling and Rendering</t>
  </si>
  <si>
    <t>DIG10 or DIG100</t>
  </si>
  <si>
    <t>DIG28</t>
  </si>
  <si>
    <t>Animation and Motion Graphics Design</t>
  </si>
  <si>
    <t>DIG39</t>
  </si>
  <si>
    <t>Industry Project Development</t>
  </si>
  <si>
    <t>DIG31 or DIG371 or DIG38</t>
  </si>
  <si>
    <t>OB-CONMN students can't do Pre Reqs</t>
  </si>
  <si>
    <t>BIA140</t>
  </si>
  <si>
    <t>Interior Architecture Studio - Foundation</t>
  </si>
  <si>
    <t>INAR1011.PO</t>
  </si>
  <si>
    <t>Interior Design Studio - City</t>
  </si>
  <si>
    <t>Phasing Out</t>
  </si>
  <si>
    <t>BIA170</t>
  </si>
  <si>
    <t>History of the Interior</t>
  </si>
  <si>
    <t>BIA250</t>
  </si>
  <si>
    <t>Interior Architecture Studio – Community</t>
  </si>
  <si>
    <t>INAR2015.PO</t>
  </si>
  <si>
    <t>Interior Design Studio - Community</t>
  </si>
  <si>
    <t>BIA210 or BAS200</t>
  </si>
  <si>
    <t>BIA280</t>
  </si>
  <si>
    <t>Philosophy and Practice</t>
  </si>
  <si>
    <t>BIA290</t>
  </si>
  <si>
    <t>Design Fabrication</t>
  </si>
  <si>
    <t>BIA390</t>
  </si>
  <si>
    <t>Furniture Design (details coming)</t>
  </si>
  <si>
    <t>Study one OPTION subject from the list below</t>
  </si>
  <si>
    <t/>
  </si>
  <si>
    <t>Pre Req issue for 1 unit</t>
  </si>
  <si>
    <t>New Version</t>
  </si>
  <si>
    <t>OSCU-INARS.PO</t>
  </si>
  <si>
    <t>OUSH-CONMN.PO</t>
  </si>
  <si>
    <t>OUSU-CONMN.PO</t>
  </si>
  <si>
    <t>GPH311</t>
  </si>
  <si>
    <t>Cultural Landscapes</t>
  </si>
  <si>
    <t>Study one subject from your chosen specialisation (see below)</t>
  </si>
  <si>
    <t>Specialisation</t>
  </si>
  <si>
    <t>Choose a Specialisation. You should enrol two units in Year 2 and two units in Year 3 of the selected specialisation</t>
  </si>
  <si>
    <t>URP100</t>
  </si>
  <si>
    <t>Governance for Planning</t>
  </si>
  <si>
    <t>URP110</t>
  </si>
  <si>
    <t>Introduction to Planning</t>
  </si>
  <si>
    <t>DBE300</t>
  </si>
  <si>
    <t>SP2/SP4 - First delivery 2025 (Also in IA, check!)</t>
  </si>
  <si>
    <t>GOL200</t>
  </si>
  <si>
    <t>Sustainability and Innovation Foundations (with approval)</t>
  </si>
  <si>
    <t>Contact Course Coordinator</t>
  </si>
  <si>
    <t>WORK2006.PO</t>
  </si>
  <si>
    <t>Phasing Out, still in structure</t>
  </si>
  <si>
    <t>GOL210</t>
  </si>
  <si>
    <t>Regional Industry Placement 2 (with approval)</t>
  </si>
  <si>
    <t>WBP300</t>
  </si>
  <si>
    <t>Work Based Project (with approval)</t>
  </si>
  <si>
    <t>GOG300</t>
  </si>
  <si>
    <t>Go Global - Internship 4 (with approval)</t>
  </si>
  <si>
    <t>Effective:</t>
  </si>
  <si>
    <t>Downloaded:</t>
  </si>
  <si>
    <t>V</t>
  </si>
  <si>
    <t>CPs</t>
  </si>
  <si>
    <t>No.</t>
  </si>
  <si>
    <t>Component Type</t>
  </si>
  <si>
    <t>Year Level</t>
  </si>
  <si>
    <t>Study Package Code</t>
  </si>
  <si>
    <t>Structure Line</t>
  </si>
  <si>
    <t>Effective</t>
  </si>
  <si>
    <t>Discont.</t>
  </si>
  <si>
    <t>Column1</t>
  </si>
  <si>
    <t>Column2</t>
  </si>
  <si>
    <t>Core</t>
  </si>
  <si>
    <t>NA</t>
  </si>
  <si>
    <t>APC100 - Academic and Professional Communications</t>
  </si>
  <si>
    <t>BAS145 Architecture and Interior Architecture Methods 1B - Digital Literacy</t>
  </si>
  <si>
    <t>CME101 Low Rise Construction</t>
  </si>
  <si>
    <t>CME103 Introduction to Management in Construction</t>
  </si>
  <si>
    <t>CME104 Structures</t>
  </si>
  <si>
    <t>CME106 High-rise Construction</t>
  </si>
  <si>
    <t>CME180 Building Construction Measurement</t>
  </si>
  <si>
    <t>CME190 Health, Safety and Quality in the Built Environment</t>
  </si>
  <si>
    <t>CME202 Construction Plant and Equipment</t>
  </si>
  <si>
    <t>CME203 Specialised Construction</t>
  </si>
  <si>
    <t>CME204 Building Services</t>
  </si>
  <si>
    <t>CME205 Building Information Management and Modelling</t>
  </si>
  <si>
    <t>CME206 Building Surveying</t>
  </si>
  <si>
    <t>CME215 Construction Estimating and Cost Planning</t>
  </si>
  <si>
    <t>Option</t>
  </si>
  <si>
    <t>CME306 Construction Planning and Scheduling</t>
  </si>
  <si>
    <t>CME307 Cost Management</t>
  </si>
  <si>
    <t>CME315 Virtual Design and Construction</t>
  </si>
  <si>
    <t>CME325 Sustainable Construction Practices in Building and Infrastructure</t>
  </si>
  <si>
    <t>CME390 Construction Contracts and Procurement</t>
  </si>
  <si>
    <t>DBE300 Design and Built Environment Research Methods</t>
  </si>
  <si>
    <t>AltCore</t>
  </si>
  <si>
    <t>Not Listed in SM</t>
  </si>
  <si>
    <t>CME408 Building Dissertation 1</t>
  </si>
  <si>
    <t>CME415 Contract Administration</t>
  </si>
  <si>
    <t>CME403 Integrated Construction Project 1</t>
  </si>
  <si>
    <t>CME402 Project Development and Appraisal</t>
  </si>
  <si>
    <t>CME409 Building Dissertation 2</t>
  </si>
  <si>
    <t>CME404 Facilities and Asset Management</t>
  </si>
  <si>
    <t>CME425 Engineering Measurement</t>
  </si>
  <si>
    <t>BLDG4031</t>
  </si>
  <si>
    <t>CME405 Research in Professional Practice in Construction</t>
  </si>
  <si>
    <t>CME417 Integrated Construction Project 2</t>
  </si>
  <si>
    <t>DIG10 Game Design Introduction</t>
  </si>
  <si>
    <t>DIG230 Introduction to 3D Modelling and Rendering</t>
  </si>
  <si>
    <t>DIG28 Animation and Motion Graphics Design</t>
  </si>
  <si>
    <t>Choose GRDE3033 or WORK3002</t>
  </si>
  <si>
    <t>DIG39 Industry Project Development</t>
  </si>
  <si>
    <t>WBP300 Work Based Project</t>
  </si>
  <si>
    <t>BIA280 Philosophy and Practice</t>
  </si>
  <si>
    <t>AltCoreINARS1</t>
  </si>
  <si>
    <t>BIA390 Furniture Design</t>
  </si>
  <si>
    <t>INAR1005</t>
  </si>
  <si>
    <t>Choose INAR1011 BIA140 or INAR1015 BIA170</t>
  </si>
  <si>
    <t>Choose an Option</t>
  </si>
  <si>
    <t>BIA140 Interior Architecture Studio - Foundation</t>
  </si>
  <si>
    <t>AltCoreINARS2</t>
  </si>
  <si>
    <t>BIA170 History of the Interior</t>
  </si>
  <si>
    <t>BIA250 Interior Architecture Studio – Community</t>
  </si>
  <si>
    <t>BIA290 Design Fabrication</t>
  </si>
  <si>
    <t>GOL200 Sustainability and Innovation Foundations</t>
  </si>
  <si>
    <t>GOL210 Regional Industry Placement 2</t>
  </si>
  <si>
    <t>GOG300 Go Global - Internship 4</t>
  </si>
  <si>
    <t>URP110 Introduction to Planning</t>
  </si>
  <si>
    <t>URP100 Governance for Planning</t>
  </si>
  <si>
    <t>GPH311 Cultural Landscapes</t>
  </si>
  <si>
    <t>Choose WORK3002 or GEOG3002</t>
  </si>
  <si>
    <t>GPH320 Urban Geographies</t>
  </si>
  <si>
    <t>Count of Availability Available to Students Flag</t>
  </si>
  <si>
    <t>Row Labels</t>
  </si>
  <si>
    <t>OpenUnis SP 1</t>
  </si>
  <si>
    <t>OpenUnis SP 2</t>
  </si>
  <si>
    <t>OpenUnis SP 3</t>
  </si>
  <si>
    <t>OpenUnis SP 4</t>
  </si>
  <si>
    <t>Cost Management (details coming)</t>
  </si>
  <si>
    <t>Construction Planning and Scheduling (details coming)</t>
  </si>
  <si>
    <t>Design and Built Environment Research Methods (details coming)</t>
  </si>
  <si>
    <t>Construction Contracts and Procurement (details coming)</t>
  </si>
  <si>
    <t>Virtual Design and Construction (details coming)</t>
  </si>
  <si>
    <t>Sustainable Construction Practices in Building and Infrastructure (details coming)</t>
  </si>
  <si>
    <t>Student ID:</t>
  </si>
  <si>
    <t>Student Name:</t>
  </si>
  <si>
    <t>RangeUnitSetsY4</t>
  </si>
  <si>
    <t>OSCU-ANGADSP1</t>
  </si>
  <si>
    <t>OSCU-ANGADSP2</t>
  </si>
  <si>
    <t>OSCU-ANGADSP3</t>
  </si>
  <si>
    <t>OSCU-ANGADSP4</t>
  </si>
  <si>
    <t>Stream:</t>
  </si>
  <si>
    <t>OUSU-CONMNSP1</t>
  </si>
  <si>
    <t>OUSU-CONMNSP2</t>
  </si>
  <si>
    <t>OUSU-CONMNSP3</t>
  </si>
  <si>
    <t>OUSU-CONMNSP4</t>
  </si>
  <si>
    <t>OUSH-CONMNSP1</t>
  </si>
  <si>
    <t>OUSH-CONMNSP2</t>
  </si>
  <si>
    <t>OUSH-CONMNSP3</t>
  </si>
  <si>
    <t>OUSH-CONMNSP4</t>
  </si>
  <si>
    <t>OSCU-INARSSP1</t>
  </si>
  <si>
    <t>OSCU-INARSSP2</t>
  </si>
  <si>
    <t>OSCU-INARSSP3</t>
  </si>
  <si>
    <t>OSCU-INARSSP4</t>
  </si>
  <si>
    <t>OSCU-PLGEOSP1</t>
  </si>
  <si>
    <t>OSCU-PLGEOSP2</t>
  </si>
  <si>
    <t>OSCU-PLGEOSP3</t>
  </si>
  <si>
    <t>OSCU-PLGEOSP4</t>
  </si>
  <si>
    <t>Choose your Stream (drop-down list)</t>
  </si>
  <si>
    <t>AC-ANGAD</t>
  </si>
  <si>
    <t>AC-INARS</t>
  </si>
  <si>
    <t>AC-PLGEO</t>
  </si>
  <si>
    <t>Opt-INARS</t>
  </si>
  <si>
    <t>6/02/2024 - Looks OK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</si>
</sst>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i/>
      <sz val="8"/>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b/>
      <sz val="10"/>
      <color theme="0"/>
      <name val="Arial"/>
      <family val="2"/>
    </font>
    <font>
      <i/>
      <sz val="10"/>
      <color theme="0" tint="-0.34998626667073579"/>
      <name val="Arial"/>
      <family val="2"/>
    </font>
    <font>
      <sz val="12"/>
      <color rgb="FFFF0000"/>
      <name val="Calibri"/>
      <family val="2"/>
      <scheme val="minor"/>
    </font>
    <font>
      <b/>
      <sz val="10"/>
      <color theme="0"/>
      <name val="Segoe UI"/>
      <family val="2"/>
    </font>
    <font>
      <b/>
      <i/>
      <sz val="12"/>
      <color theme="0"/>
      <name val="Segoe UI"/>
      <family val="2"/>
    </font>
    <font>
      <b/>
      <sz val="16"/>
      <color theme="1"/>
      <name val="Segoe UI"/>
      <family val="2"/>
    </font>
    <font>
      <i/>
      <sz val="9"/>
      <color theme="1"/>
      <name val="Segoe UI"/>
      <family val="2"/>
    </font>
    <font>
      <i/>
      <sz val="8"/>
      <color theme="1"/>
      <name val="Segoe UI"/>
      <family val="2"/>
    </font>
    <font>
      <sz val="10"/>
      <color rgb="FFFFC000"/>
      <name val="Arial"/>
      <family val="2"/>
    </font>
    <font>
      <b/>
      <sz val="11"/>
      <color theme="8"/>
      <name val="Calibri"/>
      <family val="2"/>
      <scheme val="minor"/>
    </font>
    <font>
      <b/>
      <i/>
      <sz val="10"/>
      <color theme="0" tint="-0.34998626667073579"/>
      <name val="Arial"/>
      <family val="2"/>
    </font>
    <font>
      <strike/>
      <sz val="12"/>
      <color theme="1"/>
      <name val="Calibri"/>
      <family val="2"/>
      <scheme val="minor"/>
    </font>
    <font>
      <b/>
      <sz val="16"/>
      <color theme="1"/>
      <name val="Calibri"/>
      <family val="2"/>
      <scheme val="minor"/>
    </font>
    <font>
      <sz val="16"/>
      <color theme="1"/>
      <name val="Calibri"/>
      <family val="2"/>
      <scheme val="minor"/>
    </font>
    <font>
      <b/>
      <sz val="11"/>
      <name val="Segoe UI"/>
      <family val="2"/>
    </font>
    <font>
      <b/>
      <sz val="9"/>
      <color rgb="FFFF0000"/>
      <name val="Segoe UI"/>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00"/>
        <bgColor indexed="64"/>
      </patternFill>
    </fill>
    <fill>
      <patternFill patternType="solid">
        <fgColor theme="1"/>
        <bgColor theme="1"/>
      </patternFill>
    </fill>
    <fill>
      <patternFill patternType="solid">
        <fgColor rgb="FFFFC000"/>
        <bgColor indexed="64"/>
      </patternFill>
    </fill>
    <fill>
      <patternFill patternType="solid">
        <fgColor theme="8"/>
        <bgColor indexed="64"/>
      </patternFill>
    </fill>
    <fill>
      <patternFill patternType="solid">
        <fgColor theme="0" tint="-0.34998626667073579"/>
        <bgColor indexed="64"/>
      </patternFill>
    </fill>
    <fill>
      <patternFill patternType="solid">
        <fgColor theme="9" tint="0.79998168889431442"/>
        <bgColor theme="9" tint="0.79998168889431442"/>
      </patternFill>
    </fill>
    <fill>
      <patternFill patternType="solid">
        <fgColor rgb="FF92D050"/>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thin">
        <color theme="0" tint="-0.14990691854609822"/>
      </right>
      <top/>
      <bottom style="thin">
        <color theme="0" tint="-0.14993743705557422"/>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right/>
      <top style="thin">
        <color theme="1"/>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1" fillId="0" borderId="0"/>
    <xf numFmtId="0" fontId="28" fillId="0" borderId="0" applyNumberFormat="0" applyFill="0" applyBorder="0" applyAlignment="0" applyProtection="0"/>
  </cellStyleXfs>
  <cellXfs count="272">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5" fillId="0" borderId="0" xfId="0" applyFont="1" applyAlignment="1">
      <alignment horizontal="right"/>
    </xf>
    <xf numFmtId="0" fontId="6" fillId="0" borderId="0" xfId="0" applyFont="1" applyAlignment="1">
      <alignment horizontal="right"/>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7" fillId="0" borderId="0" xfId="0" applyFont="1" applyAlignment="1">
      <alignment horizontal="center"/>
    </xf>
    <xf numFmtId="0" fontId="16" fillId="0" borderId="0" xfId="0" applyFont="1"/>
    <xf numFmtId="0" fontId="4" fillId="0" borderId="5" xfId="0" applyFont="1" applyBorder="1" applyAlignment="1">
      <alignment horizontal="center" vertic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7" fillId="0" borderId="0" xfId="0" applyFont="1"/>
    <xf numFmtId="0" fontId="9" fillId="0" borderId="0" xfId="0" applyFont="1" applyAlignment="1">
      <alignment horizontal="left" vertical="center"/>
    </xf>
    <xf numFmtId="0" fontId="39" fillId="0" borderId="0" xfId="0" applyFont="1" applyAlignment="1">
      <alignment horizontal="left" vertical="center"/>
    </xf>
    <xf numFmtId="0" fontId="2" fillId="3" borderId="1" xfId="0" applyFont="1" applyFill="1" applyBorder="1" applyAlignment="1">
      <alignment horizontal="right" vertical="center"/>
    </xf>
    <xf numFmtId="0" fontId="5" fillId="4" borderId="11" xfId="0" applyFont="1" applyFill="1" applyBorder="1" applyAlignment="1">
      <alignment horizontal="left"/>
    </xf>
    <xf numFmtId="0" fontId="5" fillId="4" borderId="1" xfId="0" applyFont="1" applyFill="1" applyBorder="1" applyAlignment="1">
      <alignment horizontal="left"/>
    </xf>
    <xf numFmtId="0" fontId="5" fillId="4" borderId="3" xfId="0" applyFont="1" applyFill="1" applyBorder="1" applyAlignment="1">
      <alignment horizontal="left"/>
    </xf>
    <xf numFmtId="0" fontId="5" fillId="4" borderId="2" xfId="0" applyFont="1" applyFill="1" applyBorder="1" applyAlignment="1">
      <alignment horizontal="left"/>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5" fillId="0" borderId="0" xfId="0" applyFont="1"/>
    <xf numFmtId="0" fontId="45" fillId="0" borderId="0" xfId="0" applyFont="1" applyAlignment="1">
      <alignment horizontal="right"/>
    </xf>
    <xf numFmtId="14" fontId="45" fillId="0" borderId="0" xfId="0" applyNumberFormat="1" applyFont="1"/>
    <xf numFmtId="0" fontId="45" fillId="0" borderId="0" xfId="0" applyFont="1" applyAlignment="1">
      <alignment horizontal="center"/>
    </xf>
    <xf numFmtId="0" fontId="0" fillId="0" borderId="25" xfId="0" applyBorder="1" applyAlignment="1">
      <alignment horizontal="center"/>
    </xf>
    <xf numFmtId="14" fontId="6" fillId="0" borderId="0" xfId="0" applyNumberFormat="1" applyFont="1"/>
    <xf numFmtId="0" fontId="10" fillId="0" borderId="0" xfId="0" applyFont="1" applyAlignment="1">
      <alignment horizontal="center"/>
    </xf>
    <xf numFmtId="0" fontId="3" fillId="0" borderId="9" xfId="0" applyFont="1" applyBorder="1" applyAlignment="1">
      <alignment horizontal="center" vertical="center"/>
    </xf>
    <xf numFmtId="0" fontId="4"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6" xfId="0" applyFont="1" applyFill="1" applyBorder="1" applyAlignment="1">
      <alignment horizontal="right"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7" borderId="8" xfId="0" applyFont="1" applyFill="1" applyBorder="1" applyAlignment="1">
      <alignment horizontal="center" vertical="center"/>
    </xf>
    <xf numFmtId="0" fontId="5" fillId="4" borderId="11" xfId="0" applyFont="1" applyFill="1" applyBorder="1" applyAlignment="1">
      <alignment horizontal="left" textRotation="90"/>
    </xf>
    <xf numFmtId="0" fontId="10" fillId="5" borderId="27" xfId="0" applyFont="1" applyFill="1" applyBorder="1" applyAlignment="1">
      <alignment horizontal="center"/>
    </xf>
    <xf numFmtId="0" fontId="10" fillId="5" borderId="28" xfId="0" applyFont="1" applyFill="1" applyBorder="1" applyAlignment="1">
      <alignment horizontal="center"/>
    </xf>
    <xf numFmtId="0" fontId="4" fillId="8" borderId="0" xfId="0" applyFont="1" applyFill="1" applyAlignment="1">
      <alignment horizontal="center" vertical="center"/>
    </xf>
    <xf numFmtId="0" fontId="10" fillId="6" borderId="0" xfId="0" applyFont="1" applyFill="1" applyAlignment="1">
      <alignment wrapText="1"/>
    </xf>
    <xf numFmtId="0" fontId="46" fillId="0" borderId="0" xfId="0" applyFont="1"/>
    <xf numFmtId="0" fontId="10" fillId="0" borderId="29" xfId="0" applyFont="1" applyBorder="1"/>
    <xf numFmtId="0" fontId="10" fillId="5" borderId="30" xfId="0" applyFont="1" applyFill="1" applyBorder="1" applyAlignment="1">
      <alignment horizontal="center"/>
    </xf>
    <xf numFmtId="0" fontId="10" fillId="5" borderId="31" xfId="0" applyFont="1" applyFill="1" applyBorder="1" applyAlignment="1">
      <alignment horizontal="center"/>
    </xf>
    <xf numFmtId="0" fontId="10" fillId="5" borderId="1" xfId="0" applyFont="1" applyFill="1" applyBorder="1" applyAlignment="1">
      <alignment horizontal="center"/>
    </xf>
    <xf numFmtId="0" fontId="6" fillId="5" borderId="3" xfId="0" applyFont="1" applyFill="1" applyBorder="1" applyAlignment="1">
      <alignment horizontal="center"/>
    </xf>
    <xf numFmtId="0" fontId="10" fillId="5" borderId="2" xfId="0" applyFont="1" applyFill="1" applyBorder="1" applyAlignment="1">
      <alignment horizontal="center"/>
    </xf>
    <xf numFmtId="0" fontId="47" fillId="10" borderId="0" xfId="0" applyFont="1" applyFill="1"/>
    <xf numFmtId="0" fontId="47" fillId="10" borderId="0" xfId="0" applyFont="1" applyFill="1" applyAlignment="1">
      <alignment horizontal="left"/>
    </xf>
    <xf numFmtId="0" fontId="48" fillId="0" borderId="0" xfId="0" applyFont="1" applyAlignment="1">
      <alignment horizontal="right"/>
    </xf>
    <xf numFmtId="0" fontId="49" fillId="0" borderId="0" xfId="0" applyFont="1"/>
    <xf numFmtId="0" fontId="10" fillId="5" borderId="4" xfId="0" applyFont="1" applyFill="1" applyBorder="1" applyAlignment="1">
      <alignment horizontal="center"/>
    </xf>
    <xf numFmtId="0" fontId="10" fillId="5" borderId="5" xfId="0" applyFont="1" applyFill="1" applyBorder="1" applyAlignment="1">
      <alignment horizontal="center"/>
    </xf>
    <xf numFmtId="0" fontId="6" fillId="5" borderId="5" xfId="0" applyFont="1" applyFill="1" applyBorder="1" applyAlignment="1">
      <alignment horizontal="center"/>
    </xf>
    <xf numFmtId="0" fontId="10" fillId="5" borderId="6" xfId="0" applyFont="1" applyFill="1" applyBorder="1" applyAlignment="1">
      <alignment horizont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3" fillId="7" borderId="9" xfId="0" applyFont="1" applyFill="1" applyBorder="1" applyAlignment="1">
      <alignment horizontal="center" vertical="center"/>
    </xf>
    <xf numFmtId="0" fontId="7" fillId="6" borderId="0" xfId="0" applyFont="1" applyFill="1" applyAlignment="1">
      <alignment wrapText="1"/>
    </xf>
    <xf numFmtId="0" fontId="9" fillId="9" borderId="0" xfId="0" applyFont="1" applyFill="1" applyAlignment="1">
      <alignment horizontal="center" vertical="center"/>
    </xf>
    <xf numFmtId="0" fontId="3" fillId="0" borderId="8" xfId="0" applyFont="1" applyBorder="1" applyAlignment="1">
      <alignment horizontal="center" vertical="center"/>
    </xf>
    <xf numFmtId="0" fontId="10" fillId="5" borderId="7" xfId="0" applyFont="1" applyFill="1" applyBorder="1" applyAlignment="1">
      <alignment horizontal="center"/>
    </xf>
    <xf numFmtId="0" fontId="10" fillId="5" borderId="0" xfId="0" applyFont="1" applyFill="1" applyAlignment="1">
      <alignment horizontal="center"/>
    </xf>
    <xf numFmtId="0" fontId="6" fillId="5" borderId="0" xfId="0" applyFont="1" applyFill="1" applyAlignment="1">
      <alignment horizontal="center"/>
    </xf>
    <xf numFmtId="0" fontId="10" fillId="5" borderId="8" xfId="0" applyFont="1" applyFill="1" applyBorder="1" applyAlignment="1">
      <alignment horizontal="center"/>
    </xf>
    <xf numFmtId="0" fontId="9" fillId="0" borderId="0" xfId="0" applyFont="1" applyAlignment="1">
      <alignment horizontal="center" vertical="center"/>
    </xf>
    <xf numFmtId="0" fontId="4" fillId="11" borderId="8" xfId="0" applyFont="1" applyFill="1" applyBorder="1" applyAlignment="1">
      <alignment horizontal="center" vertical="center"/>
    </xf>
    <xf numFmtId="0" fontId="3" fillId="11" borderId="9" xfId="0" applyFont="1" applyFill="1" applyBorder="1" applyAlignment="1">
      <alignment horizontal="center" vertical="center"/>
    </xf>
    <xf numFmtId="0" fontId="2" fillId="3" borderId="3"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9" fillId="13" borderId="0" xfId="2" applyFont="1" applyFill="1" applyAlignment="1" applyProtection="1">
      <alignment vertical="center"/>
    </xf>
    <xf numFmtId="0" fontId="28" fillId="13" borderId="0" xfId="2" applyFill="1" applyAlignment="1" applyProtection="1">
      <alignment vertical="center"/>
    </xf>
    <xf numFmtId="0" fontId="28" fillId="13" borderId="0" xfId="2" applyFill="1" applyAlignment="1" applyProtection="1">
      <alignment horizontal="center" vertical="center"/>
    </xf>
    <xf numFmtId="0" fontId="55" fillId="0" borderId="0" xfId="0" applyFont="1"/>
    <xf numFmtId="0" fontId="55" fillId="0" borderId="0" xfId="0" applyFont="1" applyAlignment="1">
      <alignment horizontal="center"/>
    </xf>
    <xf numFmtId="0" fontId="44" fillId="2" borderId="0" xfId="1" applyFont="1" applyFill="1" applyAlignment="1" applyProtection="1">
      <alignment vertical="center"/>
      <protection locked="0"/>
    </xf>
    <xf numFmtId="0" fontId="44" fillId="5" borderId="0" xfId="1" applyFont="1" applyFill="1" applyAlignment="1" applyProtection="1">
      <alignment vertical="center"/>
      <protection locked="0"/>
    </xf>
    <xf numFmtId="0" fontId="20" fillId="2" borderId="0" xfId="1" applyFont="1" applyFill="1" applyAlignment="1" applyProtection="1">
      <alignment vertical="center"/>
      <protection locked="0"/>
    </xf>
    <xf numFmtId="0" fontId="49" fillId="14" borderId="0" xfId="0" applyFont="1" applyFill="1"/>
    <xf numFmtId="0" fontId="0" fillId="0" borderId="0" xfId="0" applyAlignment="1">
      <alignment horizontal="left" textRotation="90"/>
    </xf>
    <xf numFmtId="0" fontId="45" fillId="0" borderId="0" xfId="0" applyFont="1" applyAlignment="1">
      <alignment horizontal="left"/>
    </xf>
    <xf numFmtId="0" fontId="45" fillId="15" borderId="0" xfId="0" applyFont="1" applyFill="1" applyAlignment="1">
      <alignment horizontal="left"/>
    </xf>
    <xf numFmtId="0" fontId="46" fillId="0" borderId="0" xfId="0" applyFont="1" applyAlignment="1">
      <alignment horizontal="right"/>
    </xf>
    <xf numFmtId="14" fontId="46" fillId="0" borderId="0" xfId="0" applyNumberFormat="1" applyFont="1" applyAlignment="1">
      <alignment horizontal="left"/>
    </xf>
    <xf numFmtId="0" fontId="57" fillId="0" borderId="0" xfId="0" applyFont="1" applyAlignment="1">
      <alignment horizontal="left"/>
    </xf>
    <xf numFmtId="0" fontId="57" fillId="0" borderId="0" xfId="0" applyFont="1" applyAlignment="1">
      <alignment horizontal="right"/>
    </xf>
    <xf numFmtId="14" fontId="10" fillId="0" borderId="0" xfId="0" applyNumberFormat="1" applyFont="1" applyAlignment="1">
      <alignment horizontal="center"/>
    </xf>
    <xf numFmtId="0" fontId="10" fillId="0" borderId="0" xfId="0" applyFont="1" applyAlignment="1">
      <alignment horizontal="left" wrapText="1"/>
    </xf>
    <xf numFmtId="14" fontId="46" fillId="0" borderId="0" xfId="0" applyNumberFormat="1" applyFont="1"/>
    <xf numFmtId="14" fontId="10" fillId="15" borderId="0" xfId="0" applyNumberFormat="1" applyFont="1" applyFill="1" applyAlignment="1">
      <alignment horizontal="center"/>
    </xf>
    <xf numFmtId="0" fontId="6" fillId="0" borderId="29" xfId="0" applyFont="1" applyBorder="1" applyAlignment="1">
      <alignment horizontal="center"/>
    </xf>
    <xf numFmtId="14" fontId="6" fillId="15" borderId="0" xfId="0" applyNumberFormat="1" applyFont="1" applyFill="1" applyAlignment="1">
      <alignment horizontal="center"/>
    </xf>
    <xf numFmtId="14" fontId="6" fillId="15" borderId="29" xfId="0" applyNumberFormat="1" applyFont="1" applyFill="1" applyBorder="1" applyAlignment="1">
      <alignment horizontal="center"/>
    </xf>
    <xf numFmtId="0" fontId="6" fillId="15" borderId="29" xfId="0" applyFont="1" applyFill="1" applyBorder="1" applyAlignment="1">
      <alignment horizontal="center"/>
    </xf>
    <xf numFmtId="0" fontId="45" fillId="15" borderId="0" xfId="0" applyFont="1" applyFill="1" applyAlignment="1">
      <alignment horizontal="center"/>
    </xf>
    <xf numFmtId="0" fontId="45" fillId="15" borderId="0" xfId="0" applyFont="1" applyFill="1"/>
    <xf numFmtId="14" fontId="45" fillId="11" borderId="0" xfId="0" applyNumberFormat="1" applyFont="1" applyFill="1"/>
    <xf numFmtId="14" fontId="45" fillId="15" borderId="0" xfId="0" applyNumberFormat="1" applyFont="1" applyFill="1"/>
    <xf numFmtId="14" fontId="6" fillId="0" borderId="0" xfId="0" applyNumberFormat="1" applyFont="1" applyAlignment="1">
      <alignment horizontal="center"/>
    </xf>
    <xf numFmtId="0" fontId="8" fillId="0" borderId="0" xfId="0" applyFont="1" applyAlignment="1">
      <alignment horizontal="center"/>
    </xf>
    <xf numFmtId="0" fontId="8" fillId="6" borderId="0" xfId="0" applyFont="1" applyFill="1" applyAlignment="1">
      <alignment wrapText="1"/>
    </xf>
    <xf numFmtId="0" fontId="8" fillId="5" borderId="7" xfId="0" applyFont="1" applyFill="1" applyBorder="1" applyAlignment="1">
      <alignment horizontal="center"/>
    </xf>
    <xf numFmtId="0" fontId="8" fillId="5" borderId="0" xfId="0" applyFont="1" applyFill="1" applyAlignment="1">
      <alignment horizontal="center"/>
    </xf>
    <xf numFmtId="0" fontId="8" fillId="5" borderId="8" xfId="0" applyFont="1" applyFill="1" applyBorder="1" applyAlignment="1">
      <alignment horizontal="center"/>
    </xf>
    <xf numFmtId="0" fontId="8" fillId="5" borderId="5" xfId="0" applyFont="1" applyFill="1" applyBorder="1" applyAlignment="1">
      <alignment horizontal="center"/>
    </xf>
    <xf numFmtId="0" fontId="7" fillId="0" borderId="0" xfId="0" applyFont="1" applyAlignment="1">
      <alignment horizontal="left" wrapText="1"/>
    </xf>
    <xf numFmtId="0" fontId="8" fillId="0" borderId="0" xfId="0" applyFont="1" applyAlignment="1">
      <alignment horizontal="left" wrapText="1"/>
    </xf>
    <xf numFmtId="0" fontId="7" fillId="9" borderId="0" xfId="0" applyFont="1" applyFill="1" applyAlignment="1">
      <alignment horizontal="left" wrapText="1"/>
    </xf>
    <xf numFmtId="0" fontId="8" fillId="5" borderId="1" xfId="0" applyFont="1" applyFill="1" applyBorder="1" applyAlignment="1">
      <alignment horizontal="center"/>
    </xf>
    <xf numFmtId="0" fontId="8" fillId="5" borderId="3" xfId="0" applyFont="1" applyFill="1" applyBorder="1" applyAlignment="1">
      <alignment horizontal="center"/>
    </xf>
    <xf numFmtId="0" fontId="8" fillId="5" borderId="2" xfId="0" applyFont="1" applyFill="1" applyBorder="1" applyAlignment="1">
      <alignment horizontal="center"/>
    </xf>
    <xf numFmtId="0" fontId="0" fillId="9" borderId="0" xfId="0" applyFill="1"/>
    <xf numFmtId="14" fontId="0" fillId="9" borderId="0" xfId="0" applyNumberFormat="1" applyFill="1"/>
    <xf numFmtId="0" fontId="58" fillId="0" borderId="0" xfId="0" applyFont="1"/>
    <xf numFmtId="0" fontId="10" fillId="0" borderId="0" xfId="0" applyNumberFormat="1" applyFont="1" applyAlignment="1">
      <alignment horizontal="center"/>
    </xf>
    <xf numFmtId="0" fontId="10" fillId="0" borderId="0" xfId="0" applyFont="1" applyAlignment="1">
      <alignment wrapText="1"/>
    </xf>
    <xf numFmtId="0" fontId="8" fillId="0" borderId="0" xfId="0" applyFont="1" applyAlignment="1">
      <alignment wrapText="1"/>
    </xf>
    <xf numFmtId="0" fontId="7" fillId="0" borderId="0" xfId="0" applyFont="1" applyAlignment="1">
      <alignment wrapText="1"/>
    </xf>
    <xf numFmtId="0" fontId="55" fillId="0" borderId="0" xfId="0" applyFont="1" applyAlignment="1">
      <alignment wrapText="1"/>
    </xf>
    <xf numFmtId="0" fontId="60" fillId="7" borderId="33" xfId="1" applyFont="1" applyFill="1" applyBorder="1" applyAlignment="1" applyProtection="1">
      <alignment horizontal="center" vertical="center"/>
      <protection locked="0"/>
    </xf>
    <xf numFmtId="0" fontId="60" fillId="7" borderId="35" xfId="1" applyFont="1" applyFill="1" applyBorder="1" applyAlignment="1" applyProtection="1">
      <alignment horizontal="center" vertical="center"/>
      <protection locked="0"/>
    </xf>
    <xf numFmtId="0" fontId="4" fillId="0" borderId="8" xfId="0" applyFont="1" applyFill="1" applyBorder="1" applyAlignment="1">
      <alignment horizontal="center" vertical="center"/>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10" fillId="15" borderId="0" xfId="0" applyFont="1" applyFill="1" applyAlignment="1">
      <alignment horizontal="center" wrapText="1"/>
    </xf>
    <xf numFmtId="0" fontId="10" fillId="15" borderId="0" xfId="0" applyFont="1" applyFill="1" applyAlignment="1">
      <alignment horizontal="center"/>
    </xf>
    <xf numFmtId="0" fontId="10" fillId="15" borderId="29" xfId="0" applyFont="1" applyFill="1" applyBorder="1" applyAlignment="1">
      <alignment horizontal="center"/>
    </xf>
    <xf numFmtId="0" fontId="6" fillId="15" borderId="0" xfId="0" applyFont="1" applyFill="1" applyAlignment="1">
      <alignment horizontal="center"/>
    </xf>
    <xf numFmtId="0" fontId="0" fillId="15" borderId="0" xfId="0" applyFill="1"/>
    <xf numFmtId="0" fontId="18" fillId="0" borderId="12" xfId="1" applyFont="1" applyBorder="1" applyAlignment="1" applyProtection="1">
      <alignment horizontal="center"/>
    </xf>
    <xf numFmtId="0" fontId="18" fillId="0" borderId="13" xfId="1" applyFont="1" applyBorder="1" applyAlignment="1" applyProtection="1">
      <alignment horizontal="center"/>
    </xf>
    <xf numFmtId="0" fontId="18" fillId="0" borderId="13" xfId="1" applyFont="1" applyBorder="1" applyProtection="1"/>
    <xf numFmtId="0" fontId="18" fillId="0" borderId="14" xfId="1" applyFont="1" applyBorder="1" applyProtection="1"/>
    <xf numFmtId="0" fontId="1" fillId="0" borderId="0" xfId="1" applyProtection="1"/>
    <xf numFmtId="0" fontId="40" fillId="12" borderId="0" xfId="1" applyFont="1" applyFill="1" applyAlignment="1" applyProtection="1">
      <alignment vertical="center" wrapText="1"/>
    </xf>
    <xf numFmtId="0" fontId="59" fillId="7" borderId="32" xfId="1" applyFont="1" applyFill="1" applyBorder="1" applyAlignment="1" applyProtection="1">
      <alignment horizontal="right" vertical="center"/>
    </xf>
    <xf numFmtId="0" fontId="19" fillId="13" borderId="16" xfId="1" applyFont="1" applyFill="1" applyBorder="1" applyAlignment="1" applyProtection="1">
      <alignment vertical="center"/>
    </xf>
    <xf numFmtId="0" fontId="19" fillId="13" borderId="17" xfId="1" applyFont="1" applyFill="1" applyBorder="1" applyAlignment="1" applyProtection="1">
      <alignment vertical="center"/>
    </xf>
    <xf numFmtId="0" fontId="19" fillId="13" borderId="17" xfId="1" applyFont="1" applyFill="1" applyBorder="1" applyAlignment="1" applyProtection="1">
      <alignment horizontal="right" vertical="center"/>
    </xf>
    <xf numFmtId="0" fontId="52" fillId="13" borderId="17" xfId="1" applyFont="1" applyFill="1" applyBorder="1" applyAlignment="1" applyProtection="1">
      <alignment horizontal="center" vertical="center"/>
    </xf>
    <xf numFmtId="0" fontId="43" fillId="13" borderId="17" xfId="1" applyFont="1" applyFill="1" applyBorder="1" applyAlignment="1" applyProtection="1">
      <alignment vertical="center"/>
    </xf>
    <xf numFmtId="0" fontId="43" fillId="13" borderId="17" xfId="1" applyFont="1" applyFill="1" applyBorder="1" applyAlignment="1" applyProtection="1">
      <alignment horizontal="right" vertical="center"/>
    </xf>
    <xf numFmtId="0" fontId="59" fillId="7" borderId="34" xfId="1" applyFont="1" applyFill="1" applyBorder="1" applyAlignment="1" applyProtection="1">
      <alignment horizontal="righ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61" fillId="2" borderId="0" xfId="1" applyFont="1" applyFill="1" applyAlignment="1" applyProtection="1">
      <alignment vertical="center"/>
    </xf>
    <xf numFmtId="0" fontId="20" fillId="2" borderId="0" xfId="1" applyFont="1" applyFill="1" applyAlignment="1" applyProtection="1">
      <alignment vertical="center"/>
    </xf>
    <xf numFmtId="14" fontId="38"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14" fontId="62" fillId="2" borderId="0" xfId="1" applyNumberFormat="1" applyFont="1" applyFill="1" applyAlignment="1" applyProtection="1">
      <alignment horizontal="right" vertical="center"/>
    </xf>
    <xf numFmtId="0" fontId="23" fillId="12" borderId="0" xfId="1" applyFont="1" applyFill="1" applyAlignment="1" applyProtection="1">
      <alignment horizontal="center" vertical="center"/>
    </xf>
    <xf numFmtId="0" fontId="23" fillId="12" borderId="0" xfId="1" applyFont="1" applyFill="1" applyAlignment="1" applyProtection="1">
      <alignment horizontal="left" vertical="center" indent="1"/>
    </xf>
    <xf numFmtId="0" fontId="23" fillId="12" borderId="0" xfId="1" applyFont="1" applyFill="1" applyAlignment="1" applyProtection="1">
      <alignment vertical="center"/>
    </xf>
    <xf numFmtId="0" fontId="23" fillId="12" borderId="22" xfId="1" applyFont="1" applyFill="1" applyBorder="1" applyAlignment="1" applyProtection="1">
      <alignment horizontal="left" vertical="center"/>
    </xf>
    <xf numFmtId="0" fontId="23" fillId="12" borderId="0" xfId="1" applyFont="1" applyFill="1" applyAlignment="1" applyProtection="1">
      <alignment horizontal="left" vertical="center"/>
    </xf>
    <xf numFmtId="0" fontId="23" fillId="12" borderId="18"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2" borderId="0" xfId="1" applyFont="1" applyFill="1" applyAlignment="1" applyProtection="1">
      <alignment horizontal="center" vertical="center" wrapText="1"/>
    </xf>
    <xf numFmtId="0" fontId="23" fillId="12" borderId="0" xfId="1" applyFont="1" applyFill="1" applyAlignment="1" applyProtection="1">
      <alignment horizontal="center" vertical="center" shrinkToFit="1"/>
    </xf>
    <xf numFmtId="0" fontId="23" fillId="12" borderId="22" xfId="1" applyFont="1" applyFill="1" applyBorder="1" applyAlignment="1" applyProtection="1">
      <alignment horizontal="center" vertical="center" wrapText="1"/>
    </xf>
    <xf numFmtId="0" fontId="23" fillId="12" borderId="18"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shrinkToFit="1"/>
    </xf>
    <xf numFmtId="0" fontId="22" fillId="2" borderId="23"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3" borderId="14" xfId="1" applyFont="1" applyFill="1" applyBorder="1" applyAlignment="1" applyProtection="1">
      <alignment horizontal="center" vertical="center" wrapText="1"/>
    </xf>
    <xf numFmtId="0" fontId="22" fillId="13" borderId="0" xfId="1" applyFont="1" applyFill="1" applyAlignment="1" applyProtection="1">
      <alignment horizontal="center" vertical="center" wrapText="1"/>
    </xf>
    <xf numFmtId="0" fontId="22" fillId="13" borderId="0" xfId="1" applyFont="1" applyFill="1" applyAlignment="1" applyProtection="1">
      <alignment vertical="center" wrapText="1"/>
    </xf>
    <xf numFmtId="0" fontId="25" fillId="13" borderId="0" xfId="1" applyFont="1" applyFill="1" applyAlignment="1" applyProtection="1">
      <alignment horizontal="left" vertical="center" shrinkToFit="1"/>
    </xf>
    <xf numFmtId="0" fontId="22" fillId="13" borderId="22" xfId="1" applyFont="1" applyFill="1" applyBorder="1" applyAlignment="1" applyProtection="1">
      <alignment horizontal="center" vertical="center" wrapText="1"/>
    </xf>
    <xf numFmtId="0" fontId="22" fillId="13" borderId="18"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xf>
    <xf numFmtId="0" fontId="24" fillId="2" borderId="0" xfId="1" applyFont="1" applyFill="1" applyAlignment="1" applyProtection="1">
      <alignment horizontal="center" vertical="center"/>
    </xf>
    <xf numFmtId="0" fontId="22" fillId="0" borderId="20" xfId="1" applyFont="1" applyBorder="1" applyAlignment="1" applyProtection="1">
      <alignment vertical="center" wrapText="1"/>
    </xf>
    <xf numFmtId="0" fontId="53" fillId="2" borderId="19" xfId="1" applyFont="1" applyFill="1" applyBorder="1" applyAlignment="1" applyProtection="1">
      <alignment horizontal="center" vertical="center" wrapText="1"/>
    </xf>
    <xf numFmtId="0" fontId="53" fillId="0" borderId="20" xfId="1" applyFont="1" applyBorder="1" applyAlignment="1" applyProtection="1">
      <alignment horizontal="center" vertical="center" wrapText="1"/>
    </xf>
    <xf numFmtId="0" fontId="53" fillId="0" borderId="20" xfId="1" applyFont="1" applyBorder="1" applyAlignment="1" applyProtection="1">
      <alignment vertical="center" wrapText="1"/>
    </xf>
    <xf numFmtId="0" fontId="54" fillId="2" borderId="20" xfId="1" applyFont="1" applyFill="1" applyBorder="1" applyAlignment="1" applyProtection="1">
      <alignment horizontal="center" vertical="center" shrinkToFit="1"/>
    </xf>
    <xf numFmtId="0" fontId="53" fillId="2" borderId="20" xfId="1" applyFont="1" applyFill="1" applyBorder="1" applyAlignment="1" applyProtection="1">
      <alignment horizontal="center" vertical="center" wrapText="1"/>
    </xf>
    <xf numFmtId="0" fontId="53" fillId="2" borderId="23" xfId="1" applyFont="1" applyFill="1" applyBorder="1" applyAlignment="1" applyProtection="1">
      <alignment horizontal="center" vertical="center" wrapText="1"/>
    </xf>
    <xf numFmtId="0" fontId="53" fillId="2" borderId="24" xfId="1" applyFont="1" applyFill="1" applyBorder="1" applyAlignment="1" applyProtection="1">
      <alignment horizontal="center" vertical="center" wrapText="1"/>
    </xf>
    <xf numFmtId="0" fontId="53" fillId="0" borderId="20" xfId="1" applyFont="1" applyBorder="1" applyAlignment="1" applyProtection="1">
      <alignment horizontal="left" vertical="center"/>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4" fillId="2" borderId="0" xfId="1" applyFont="1" applyFill="1" applyAlignment="1" applyProtection="1">
      <alignment horizontal="center" vertical="center" wrapText="1"/>
    </xf>
    <xf numFmtId="0" fontId="35" fillId="2" borderId="0" xfId="1" applyFont="1" applyFill="1" applyAlignment="1" applyProtection="1">
      <alignment vertical="center" shrinkToFit="1"/>
    </xf>
    <xf numFmtId="0" fontId="35" fillId="2" borderId="0" xfId="1" applyFont="1" applyFill="1" applyAlignment="1" applyProtection="1">
      <alignment vertical="center"/>
    </xf>
    <xf numFmtId="0" fontId="36" fillId="2" borderId="0" xfId="1" applyFont="1" applyFill="1" applyAlignment="1" applyProtection="1">
      <alignment horizontal="center" vertical="center"/>
    </xf>
    <xf numFmtId="0" fontId="36" fillId="2" borderId="0" xfId="1" applyFont="1" applyFill="1" applyProtection="1"/>
    <xf numFmtId="0" fontId="12" fillId="2" borderId="0" xfId="1" applyFont="1" applyFill="1" applyProtection="1"/>
    <xf numFmtId="0" fontId="51" fillId="12" borderId="0" xfId="1" applyFont="1" applyFill="1" applyAlignment="1" applyProtection="1">
      <alignment horizontal="left" vertical="center" readingOrder="1"/>
    </xf>
    <xf numFmtId="0" fontId="38" fillId="12" borderId="0" xfId="1" applyFont="1" applyFill="1" applyAlignment="1" applyProtection="1">
      <alignment horizontal="left" vertical="center" readingOrder="1"/>
    </xf>
    <xf numFmtId="0" fontId="21" fillId="12" borderId="0" xfId="1" applyFont="1" applyFill="1" applyAlignment="1" applyProtection="1">
      <alignment horizontal="left" vertical="center" readingOrder="1"/>
    </xf>
    <xf numFmtId="0" fontId="42" fillId="12" borderId="0" xfId="1" applyFont="1" applyFill="1" applyAlignment="1" applyProtection="1">
      <alignment horizontal="center" vertical="center"/>
    </xf>
    <xf numFmtId="0" fontId="42" fillId="12" borderId="0" xfId="1" applyFont="1" applyFill="1" applyAlignment="1" applyProtection="1">
      <alignment horizontal="center" vertical="center" shrinkToFit="1"/>
    </xf>
    <xf numFmtId="0" fontId="42" fillId="12" borderId="0" xfId="1" applyFont="1" applyFill="1" applyAlignment="1" applyProtection="1">
      <alignment horizontal="center" vertical="center" readingOrder="1"/>
    </xf>
    <xf numFmtId="0" fontId="23" fillId="12" borderId="22" xfId="1" applyFont="1" applyFill="1" applyBorder="1" applyAlignment="1" applyProtection="1">
      <alignment vertical="center" readingOrder="1"/>
    </xf>
    <xf numFmtId="0" fontId="23" fillId="12" borderId="0" xfId="1" applyFont="1" applyFill="1" applyAlignment="1" applyProtection="1">
      <alignment vertical="center" readingOrder="1"/>
    </xf>
    <xf numFmtId="0" fontId="42" fillId="12" borderId="0" xfId="1" applyFont="1" applyFill="1" applyAlignment="1" applyProtection="1">
      <alignment vertical="center" readingOrder="1"/>
    </xf>
    <xf numFmtId="0" fontId="42" fillId="12" borderId="18" xfId="1" applyFont="1" applyFill="1" applyBorder="1" applyAlignment="1" applyProtection="1">
      <alignment vertical="center" readingOrder="1"/>
    </xf>
    <xf numFmtId="0" fontId="1" fillId="0" borderId="0" xfId="1" applyAlignment="1" applyProtection="1">
      <alignment horizontal="center" vertical="center"/>
    </xf>
    <xf numFmtId="0" fontId="50" fillId="12" borderId="0" xfId="1" applyFont="1" applyFill="1" applyAlignment="1" applyProtection="1">
      <alignment horizontal="left" vertical="center" indent="1"/>
    </xf>
    <xf numFmtId="0" fontId="38" fillId="12" borderId="0" xfId="1" applyFont="1" applyFill="1" applyAlignment="1" applyProtection="1">
      <alignment horizontal="left" vertical="top" indent="1"/>
    </xf>
    <xf numFmtId="0" fontId="38" fillId="12" borderId="0" xfId="1" applyFont="1" applyFill="1" applyAlignment="1" applyProtection="1">
      <alignment horizontal="center" vertical="top"/>
    </xf>
    <xf numFmtId="0" fontId="38" fillId="12" borderId="0" xfId="1" applyFont="1" applyFill="1" applyAlignment="1" applyProtection="1">
      <alignment horizontal="center" vertical="top" shrinkToFit="1"/>
    </xf>
    <xf numFmtId="0" fontId="23" fillId="12" borderId="22" xfId="1" applyFont="1" applyFill="1" applyBorder="1" applyAlignment="1" applyProtection="1">
      <alignment horizontal="center" vertical="top" wrapText="1"/>
    </xf>
    <xf numFmtId="0" fontId="23" fillId="12" borderId="0" xfId="1" applyFont="1" applyFill="1" applyAlignment="1" applyProtection="1">
      <alignment horizontal="center" vertical="top" wrapText="1"/>
    </xf>
    <xf numFmtId="0" fontId="23" fillId="12" borderId="26" xfId="1" applyFont="1" applyFill="1" applyBorder="1" applyAlignment="1" applyProtection="1">
      <alignment horizontal="center" vertical="top" wrapText="1"/>
    </xf>
    <xf numFmtId="0" fontId="23" fillId="12" borderId="0" xfId="1" applyFont="1" applyFill="1" applyAlignment="1" applyProtection="1">
      <alignment horizontal="center" vertical="top"/>
    </xf>
    <xf numFmtId="0" fontId="1" fillId="0" borderId="0" xfId="1" applyAlignment="1" applyProtection="1">
      <alignment horizontal="center" vertical="top"/>
    </xf>
    <xf numFmtId="0" fontId="37" fillId="0" borderId="19" xfId="1" applyFont="1" applyBorder="1" applyAlignment="1" applyProtection="1">
      <alignment horizontal="left" vertical="center"/>
    </xf>
    <xf numFmtId="0" fontId="37" fillId="0" borderId="20" xfId="1" applyFont="1" applyBorder="1" applyAlignment="1" applyProtection="1">
      <alignment horizontal="left" vertical="center"/>
    </xf>
    <xf numFmtId="0" fontId="37" fillId="0" borderId="20" xfId="1" applyFont="1" applyBorder="1" applyAlignment="1" applyProtection="1">
      <alignment vertical="center"/>
    </xf>
    <xf numFmtId="0" fontId="37" fillId="0" borderId="20" xfId="1" applyFont="1" applyBorder="1" applyAlignment="1" applyProtection="1">
      <alignment horizontal="center" vertical="center" wrapText="1"/>
    </xf>
    <xf numFmtId="0" fontId="22" fillId="2" borderId="23" xfId="1" applyFont="1" applyFill="1" applyBorder="1" applyAlignment="1" applyProtection="1">
      <alignment horizontal="center" vertical="center"/>
    </xf>
    <xf numFmtId="0" fontId="22" fillId="2" borderId="20" xfId="1" applyFont="1" applyFill="1" applyBorder="1" applyAlignment="1" applyProtection="1">
      <alignment horizontal="center" vertical="center"/>
    </xf>
    <xf numFmtId="0" fontId="22" fillId="2" borderId="24" xfId="1" applyFont="1" applyFill="1" applyBorder="1" applyAlignment="1" applyProtection="1">
      <alignment horizontal="center" vertical="center"/>
    </xf>
    <xf numFmtId="0" fontId="37" fillId="0" borderId="0" xfId="1" applyFont="1" applyBorder="1" applyAlignment="1" applyProtection="1">
      <alignment horizontal="left" vertical="center"/>
    </xf>
    <xf numFmtId="0" fontId="37" fillId="0" borderId="0" xfId="1" applyFont="1" applyBorder="1" applyAlignment="1" applyProtection="1">
      <alignment vertical="center"/>
    </xf>
    <xf numFmtId="0" fontId="37" fillId="0" borderId="0" xfId="1" applyFont="1" applyBorder="1" applyAlignment="1" applyProtection="1">
      <alignment horizontal="center" vertical="center" wrapText="1"/>
    </xf>
    <xf numFmtId="0" fontId="25" fillId="2" borderId="0" xfId="1" applyFont="1" applyFill="1" applyBorder="1" applyAlignment="1" applyProtection="1">
      <alignment horizontal="center" vertical="center" wrapText="1"/>
    </xf>
    <xf numFmtId="0" fontId="22" fillId="2" borderId="0" xfId="1" applyFont="1" applyFill="1" applyBorder="1" applyAlignment="1" applyProtection="1">
      <alignment horizontal="center" vertical="center"/>
    </xf>
    <xf numFmtId="0" fontId="22" fillId="0" borderId="0" xfId="1" applyFont="1" applyBorder="1" applyAlignment="1" applyProtection="1">
      <alignment horizontal="left"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horizontal="right" vertical="center"/>
    </xf>
    <xf numFmtId="0" fontId="40" fillId="12" borderId="15" xfId="1" applyFont="1" applyFill="1" applyBorder="1" applyAlignment="1" applyProtection="1">
      <alignment horizontal="left" vertical="center" wrapText="1"/>
    </xf>
    <xf numFmtId="0" fontId="27" fillId="2" borderId="0" xfId="1" applyFont="1" applyFill="1" applyAlignment="1" applyProtection="1">
      <alignment horizontal="center" vertical="center" wrapText="1"/>
    </xf>
    <xf numFmtId="0" fontId="22" fillId="2" borderId="21" xfId="1" applyFont="1" applyFill="1" applyBorder="1" applyAlignment="1" applyProtection="1">
      <alignment horizontal="center" vertical="center" wrapText="1"/>
      <protection locked="0"/>
    </xf>
    <xf numFmtId="0" fontId="22" fillId="13" borderId="18"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53" fillId="2" borderId="21" xfId="1" applyFont="1" applyFill="1" applyBorder="1" applyAlignment="1" applyProtection="1">
      <alignment horizontal="center" vertical="center" wrapText="1"/>
      <protection locked="0"/>
    </xf>
    <xf numFmtId="0" fontId="35" fillId="2" borderId="0" xfId="1" applyFont="1" applyFill="1" applyAlignment="1" applyProtection="1">
      <alignment horizontal="center" vertical="center"/>
    </xf>
    <xf numFmtId="0" fontId="56" fillId="12" borderId="0" xfId="1" applyFont="1" applyFill="1" applyAlignment="1" applyProtection="1">
      <alignment horizontal="center" vertical="center"/>
    </xf>
  </cellXfs>
  <cellStyles count="3">
    <cellStyle name="Hyperlink" xfId="2" builtinId="8"/>
    <cellStyle name="Normal" xfId="0" builtinId="0"/>
    <cellStyle name="Normal 2" xfId="1"/>
  </cellStyles>
  <dxfs count="127">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outline="0">
        <left/>
        <right style="thin">
          <color theme="0" tint="-0.24994659260841701"/>
        </right>
        <top/>
        <bottom/>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patternType="solid">
          <fgColor indexed="64"/>
          <bgColor rgb="FF92D050"/>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border diagonalUp="0" diagonalDown="0" outline="0">
        <left/>
        <right/>
        <top style="thin">
          <color theme="1"/>
        </top>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1"/>
          <bgColor theme="1"/>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font>
      <fill>
        <patternFill>
          <bgColor theme="0" tint="-0.14996795556505021"/>
        </patternFill>
      </fill>
    </dxf>
    <dxf>
      <fill>
        <patternFill>
          <bgColor theme="0" tint="-0.14996795556505021"/>
        </patternFill>
      </fill>
    </dxf>
    <dxf>
      <font>
        <b val="0"/>
        <i/>
      </font>
      <fill>
        <patternFill>
          <bgColor theme="4" tint="0.79998168889431442"/>
        </patternFill>
      </fill>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266701</xdr:colOff>
      <xdr:row>5</xdr:row>
      <xdr:rowOff>28577</xdr:rowOff>
    </xdr:from>
    <xdr:to>
      <xdr:col>16</xdr:col>
      <xdr:colOff>600076</xdr:colOff>
      <xdr:row>31</xdr:row>
      <xdr:rowOff>47625</xdr:rowOff>
    </xdr:to>
    <xdr:sp macro="" textlink="">
      <xdr:nvSpPr>
        <xdr:cNvPr id="2" name="TextBox 1">
          <a:extLst>
            <a:ext uri="{FF2B5EF4-FFF2-40B4-BE49-F238E27FC236}">
              <a16:creationId xmlns:a16="http://schemas.microsoft.com/office/drawing/2014/main" id="{00000000-0008-0000-0000-000006000000}"/>
            </a:ext>
          </a:extLst>
        </xdr:cNvPr>
        <xdr:cNvSpPr txBox="1"/>
      </xdr:nvSpPr>
      <xdr:spPr>
        <a:xfrm>
          <a:off x="11887201" y="1362077"/>
          <a:ext cx="5629275" cy="527684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Bachelor of Applied Science (Construction Management) (OpenUnis)</a:t>
          </a:r>
        </a:p>
        <a:p>
          <a:endParaRPr lang="en-AU" sz="1000">
            <a:effectLst/>
          </a:endParaRPr>
        </a:p>
        <a:p>
          <a:pPr algn="ctr"/>
          <a:r>
            <a:rPr lang="en-AU" sz="1100" i="1">
              <a:solidFill>
                <a:schemeClr val="dk1"/>
              </a:solidFill>
              <a:effectLst/>
              <a:latin typeface="+mn-lt"/>
              <a:ea typeface="+mn-ea"/>
              <a:cs typeface="+mn-cs"/>
            </a:rPr>
            <a:t>Use the drop-down lists</a:t>
          </a:r>
          <a:r>
            <a:rPr lang="en-AU" sz="1100" i="1" baseline="0">
              <a:solidFill>
                <a:schemeClr val="dk1"/>
              </a:solidFill>
              <a:effectLst/>
              <a:latin typeface="+mn-lt"/>
              <a:ea typeface="+mn-ea"/>
              <a:cs typeface="+mn-cs"/>
            </a:rPr>
            <a:t> to select your Stream, Specialisation &amp; Commencing Study Period.</a:t>
          </a:r>
          <a:endParaRPr lang="en-AU" sz="1000">
            <a:effectLst/>
          </a:endParaRPr>
        </a:p>
        <a:p>
          <a:pPr algn="ctr"/>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pPr rtl="0" fontAlgn="base"/>
          <a:r>
            <a:rPr lang="en-AU" sz="1100" b="0" i="0">
              <a:solidFill>
                <a:schemeClr val="dk1"/>
              </a:solidFill>
              <a:effectLst/>
              <a:latin typeface="+mn-lt"/>
              <a:ea typeface="+mn-ea"/>
              <a:cs typeface="+mn-cs"/>
            </a:rPr>
            <a:t>If you wish to enrol in a part-time load, please contact your</a:t>
          </a:r>
          <a:r>
            <a:rPr lang="en-AU" sz="1100" b="0" i="0" baseline="0">
              <a:solidFill>
                <a:schemeClr val="dk1"/>
              </a:solidFill>
              <a:effectLst/>
              <a:latin typeface="+mn-lt"/>
              <a:ea typeface="+mn-ea"/>
              <a:cs typeface="+mn-cs"/>
            </a:rPr>
            <a:t> Course Coordinator (Email: constructionmanagement@curtin.edu.au) or </a:t>
          </a:r>
          <a:r>
            <a:rPr lang="en-AU" sz="1100" b="0" i="0">
              <a:solidFill>
                <a:schemeClr val="dk1"/>
              </a:solidFill>
              <a:effectLst/>
              <a:latin typeface="+mn-lt"/>
              <a:ea typeface="+mn-ea"/>
              <a:cs typeface="+mn-cs"/>
            </a:rPr>
            <a:t>please select one subject from the two listed for each study period.</a:t>
          </a:r>
          <a:endParaRPr lang="en-AU">
            <a:effectLst/>
          </a:endParaRPr>
        </a:p>
        <a:p>
          <a:endParaRPr lang="en-AU" sz="1100">
            <a:solidFill>
              <a:schemeClr val="dk1"/>
            </a:solidFill>
            <a:effectLst/>
            <a:latin typeface="+mn-lt"/>
            <a:ea typeface="+mn-ea"/>
            <a:cs typeface="+mn-cs"/>
          </a:endParaRPr>
        </a:p>
        <a:p>
          <a:r>
            <a:rPr lang="en-AU" sz="1100" b="1"/>
            <a:t>Industry Placements</a:t>
          </a:r>
        </a:p>
        <a:p>
          <a:r>
            <a:rPr lang="en-AU" sz="1100" baseline="0">
              <a:solidFill>
                <a:schemeClr val="dk1"/>
              </a:solidFill>
              <a:effectLst/>
              <a:latin typeface="+mn-lt"/>
              <a:ea typeface="+mn-ea"/>
              <a:cs typeface="+mn-cs"/>
            </a:rPr>
            <a:t>Students must undertake 80 days of work experience in the construction industry to meet the completion requirement of this course. The work experience must be in approved professional roles which are relevant to the course (e.g. quantity surveying, construction management, project management, building surveying, property development, contract administration, construction law, procurement/supply chain management etc.). This must be undertaken in an organization having a valid registration, conducting their business as a construction entity or consultancy firm, or a public or private organization in which construction or project procurement is their primary business.</a:t>
          </a:r>
        </a:p>
        <a:p>
          <a:r>
            <a:rPr lang="en-AU" sz="1100" baseline="0">
              <a:solidFill>
                <a:schemeClr val="dk1"/>
              </a:solidFill>
              <a:effectLst/>
              <a:latin typeface="+mn-lt"/>
              <a:ea typeface="+mn-ea"/>
              <a:cs typeface="+mn-cs"/>
            </a:rPr>
            <a:t> </a:t>
          </a: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endParaRPr lang="en-AU">
            <a:effectLst/>
          </a:endParaRPr>
        </a:p>
      </xdr:txBody>
    </xdr:sp>
    <xdr:clientData/>
  </xdr:twoCellAnchor>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1304926</xdr:colOff>
      <xdr:row>28</xdr:row>
      <xdr:rowOff>190501</xdr:rowOff>
    </xdr:from>
    <xdr:to>
      <xdr:col>16</xdr:col>
      <xdr:colOff>466726</xdr:colOff>
      <xdr:row>30</xdr:row>
      <xdr:rowOff>209551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14963776" y="6229351"/>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8" totalsRowShown="0" headerRowDxfId="122">
  <autoFilter ref="A6:G8"/>
  <tableColumns count="7">
    <tableColumn id="3" name="Choose your Construction Management Course (drop-down list)" dataDxfId="121"/>
    <tableColumn id="1" name="UDC" dataDxfId="120"/>
    <tableColumn id="2" name="Version" dataDxfId="119"/>
    <tableColumn id="5" name="Credit Points" dataDxfId="118"/>
    <tableColumn id="4" name="Effective Date" dataDxfId="117"/>
    <tableColumn id="6" name="Akari Update" dataDxfId="116"/>
    <tableColumn id="7" name="Availabilities" dataDxfId="115"/>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1:E15" totalsRowShown="0" dataDxfId="114">
  <autoFilter ref="A11:E15"/>
  <tableColumns count="5">
    <tableColumn id="1" name="Choose your commencing study period (drop-down list)" dataDxfId="113"/>
    <tableColumn id="2" name="START" dataDxfId="112"/>
    <tableColumn id="3" name="Next" dataDxfId="111"/>
    <tableColumn id="4" name="Next2" dataDxfId="110"/>
    <tableColumn id="5" name="Next3" dataDxfId="109"/>
  </tableColumns>
  <tableStyleInfo name="TableStyleLight8" showFirstColumn="0" showLastColumn="0" showRowStripes="1" showColumnStripes="0"/>
</table>
</file>

<file path=xl/tables/table3.xml><?xml version="1.0" encoding="utf-8"?>
<table xmlns="http://schemas.openxmlformats.org/spreadsheetml/2006/main" id="5" name="TableSpecialisations" displayName="TableSpecialisations" ref="A23:F26" totalsRowShown="0" dataDxfId="108">
  <autoFilter ref="A23:F26"/>
  <tableColumns count="6">
    <tableColumn id="1" name="Choose your Specialisation (drop-down list)" dataDxfId="107">
      <calculatedColumnFormula>D73</calculatedColumnFormula>
    </tableColumn>
    <tableColumn id="2" name="UDC" dataDxfId="106">
      <calculatedColumnFormula>A73</calculatedColumnFormula>
    </tableColumn>
    <tableColumn id="3" name="Version" dataDxfId="105">
      <calculatedColumnFormula>B73</calculatedColumnFormula>
    </tableColumn>
    <tableColumn id="4" name="Credit Points" dataDxfId="104"/>
    <tableColumn id="5" name="Effective Date" dataDxfId="103">
      <calculatedColumnFormula>I67</calculatedColumnFormula>
    </tableColumn>
    <tableColumn id="6" name="Akari Update" dataDxfId="102"/>
  </tableColumns>
  <tableStyleInfo name="TableStyleLight8" showFirstColumn="0" showLastColumn="0" showRowStripes="1" showColumnStripes="0"/>
</table>
</file>

<file path=xl/tables/table4.xml><?xml version="1.0" encoding="utf-8"?>
<table xmlns="http://schemas.openxmlformats.org/spreadsheetml/2006/main" id="16" name="TableStream" displayName="TableStream" ref="A18:F20" totalsRowShown="0" headerRowDxfId="101" tableBorderDxfId="100">
  <autoFilter ref="A18:F20"/>
  <tableColumns count="6">
    <tableColumn id="1" name="Choose your Stream (drop-down list)" dataDxfId="99"/>
    <tableColumn id="2" name="UDC" dataDxfId="98"/>
    <tableColumn id="3" name="Version" dataDxfId="97"/>
    <tableColumn id="4" name="Credit Points" dataDxfId="96"/>
    <tableColumn id="5" name="Effective Date" dataDxfId="95"/>
    <tableColumn id="6" name="Akari Update" dataDxfId="94"/>
  </tableColumns>
  <tableStyleInfo name="TableStyleLight8" showFirstColumn="0" showLastColumn="0" showRowStripes="1" showColumnStripes="0"/>
</table>
</file>

<file path=xl/tables/table5.xml><?xml version="1.0" encoding="utf-8"?>
<table xmlns="http://schemas.openxmlformats.org/spreadsheetml/2006/main" id="2" name="TableHandbook" displayName="TableHandbook" ref="A3:Q73" totalsRowShown="0" headerRowDxfId="92" dataDxfId="90" headerRowBorderDxfId="91" tableBorderDxfId="89">
  <autoFilter ref="A3:Q73"/>
  <sortState ref="A4:Q73">
    <sortCondition ref="A3:A73"/>
  </sortState>
  <tableColumns count="17">
    <tableColumn id="1" name="UDC" dataDxfId="88"/>
    <tableColumn id="2" name="Ver" dataDxfId="87"/>
    <tableColumn id="3" name="OUA Cd" dataDxfId="86"/>
    <tableColumn id="4" name="Title" dataDxfId="85"/>
    <tableColumn id="5" name="Credits" dataDxfId="84"/>
    <tableColumn id="6" name="Pre-reqs" dataDxfId="83"/>
    <tableColumn id="12" name="SP1" dataDxfId="82">
      <calculatedColumnFormula>IFERROR(IF(VLOOKUP(TableHandbook[[#This Row],[UDC]],TableAvailabilities[],2,FALSE)&gt;0,"Y",""),"")</calculatedColumnFormula>
    </tableColumn>
    <tableColumn id="13" name="SP2" dataDxfId="81">
      <calculatedColumnFormula>IFERROR(IF(VLOOKUP(TableHandbook[[#This Row],[UDC]],TableAvailabilities[],3,FALSE)&gt;0,"Y",""),"")</calculatedColumnFormula>
    </tableColumn>
    <tableColumn id="14" name="SP3" dataDxfId="80">
      <calculatedColumnFormula>IFERROR(IF(VLOOKUP(TableHandbook[[#This Row],[UDC]],TableAvailabilities[],4,FALSE)&gt;0,"Y",""),"")</calculatedColumnFormula>
    </tableColumn>
    <tableColumn id="15" name="SP4" dataDxfId="79">
      <calculatedColumnFormula>IFERROR(IF(VLOOKUP(TableHandbook[[#This Row],[UDC]],TableAvailabilities[],5,FALSE)&gt;0,"Y",""),"")</calculatedColumnFormula>
    </tableColumn>
    <tableColumn id="16" name="Notes" dataDxfId="78"/>
    <tableColumn id="8" name="OB-CONMN" dataDxfId="77">
      <calculatedColumnFormula>IFERROR(VLOOKUP(TableHandbook[[#This Row],[UDC]],TableOBCONMN[],7,FALSE),"")</calculatedColumnFormula>
    </tableColumn>
    <tableColumn id="9" name="OUSH-CONMN" dataDxfId="76">
      <calculatedColumnFormula>IFERROR(VLOOKUP(TableHandbook[[#This Row],[UDC]],TableOUSHCONMN[],7,FALSE),"")</calculatedColumnFormula>
    </tableColumn>
    <tableColumn id="10" name="OUSU-CONMN" dataDxfId="75">
      <calculatedColumnFormula>IFERROR(VLOOKUP(TableHandbook[[#This Row],[UDC]],TableOUSUCONMN[],7,FALSE),"")</calculatedColumnFormula>
    </tableColumn>
    <tableColumn id="20" name="OSCU-ANGAD" dataDxfId="74">
      <calculatedColumnFormula>IFERROR(VLOOKUP(TableHandbook[[#This Row],[UDC]],TableOSCUANGAD[],7,FALSE),"")</calculatedColumnFormula>
    </tableColumn>
    <tableColumn id="21" name="OSCU-INARS" dataDxfId="73">
      <calculatedColumnFormula>IFERROR(VLOOKUP(TableHandbook[[#This Row],[UDC]],TableOSCUINARS[],7,FALSE),"")</calculatedColumnFormula>
    </tableColumn>
    <tableColumn id="17" name="OSCU-PLGEO" dataDxfId="72">
      <calculatedColumnFormula>IFERROR(VLOOKUP(TableHandbook[[#This Row],[UDC]],TableOSCUPLGEO[],7,FALSE),"")</calculatedColumnFormula>
    </tableColumn>
  </tableColumns>
  <tableStyleInfo name="TableStyleLight8" showFirstColumn="0" showLastColumn="0" showRowStripes="1" showColumnStripes="0"/>
</table>
</file>

<file path=xl/tables/table6.xml><?xml version="1.0" encoding="utf-8"?>
<table xmlns="http://schemas.openxmlformats.org/spreadsheetml/2006/main" id="1" name="TableOBCONMN" displayName="TableOBCONMN" ref="A2:O29" totalsRowShown="0">
  <autoFilter ref="A2:O29"/>
  <sortState ref="AE3:AV6">
    <sortCondition ref="AS2:AS6"/>
  </sortState>
  <tableColumns count="15">
    <tableColumn id="1" name="UDC" dataDxfId="60">
      <calculatedColumnFormula>TableOBCONMN[[#This Row],[Study Package Code]]</calculatedColumnFormula>
    </tableColumn>
    <tableColumn id="9" name="V" dataDxfId="59">
      <calculatedColumnFormula>TableOBCONMN[[#This Row],[Ver]]</calculatedColumnFormula>
    </tableColumn>
    <tableColumn id="10" name="OUA Code" dataDxfId="58">
      <calculatedColumnFormula>LEFT(TableOBCONMN[[#This Row],[Structure Line]],6)</calculatedColumnFormula>
    </tableColumn>
    <tableColumn id="11" name="Unit Title" dataDxfId="57">
      <calculatedColumnFormula>MID(TableOBCONMN[[#This Row],[Structure Line]],8,LEN(TableOBCONMN[[#This Row],[Structure Line]]))</calculatedColumnFormula>
    </tableColumn>
    <tableColumn id="12" name="CPs" dataDxfId="56">
      <calculatedColumnFormula>TableOBCONMN[[#This Row],[Credit Points]]</calculatedColumnFormula>
    </tableColumn>
    <tableColumn id="13" name="No."/>
    <tableColumn id="2" name="Component Type"/>
    <tableColumn id="3" name="Year Level"/>
    <tableColumn id="4" name="Study Period"/>
    <tableColumn id="5" name="Study Package Code"/>
    <tableColumn id="6" name="Ver" dataDxfId="55"/>
    <tableColumn id="7" name="Structure Line" dataDxfId="54"/>
    <tableColumn id="8" name="Credit Points" dataDxfId="53"/>
    <tableColumn id="14" name="Effective" dataDxfId="52"/>
    <tableColumn id="15" name="Discont." dataDxfId="51"/>
  </tableColumns>
  <tableStyleInfo name="TableStyleLight1" showFirstColumn="0" showLastColumn="0" showRowStripes="1" showColumnStripes="0"/>
</table>
</file>

<file path=xl/tables/table7.xml><?xml version="1.0" encoding="utf-8"?>
<table xmlns="http://schemas.openxmlformats.org/spreadsheetml/2006/main" id="6" name="TableOSCUANGAD" displayName="TableOSCUANGAD" ref="A49:O55" totalsRowShown="0">
  <autoFilter ref="A49:O55"/>
  <sortState ref="AE11:AV18">
    <sortCondition ref="AR10:AR18"/>
  </sortState>
  <tableColumns count="15">
    <tableColumn id="1" name="UDC" dataDxfId="50">
      <calculatedColumnFormula>TableOSCUANGAD[[#This Row],[Study Package Code]]</calculatedColumnFormula>
    </tableColumn>
    <tableColumn id="9" name="V" dataDxfId="49">
      <calculatedColumnFormula>TableOSCUANGAD[[#This Row],[Ver]]</calculatedColumnFormula>
    </tableColumn>
    <tableColumn id="10" name="OUA Code" dataDxfId="48">
      <calculatedColumnFormula>LEFT(TableOSCUANGAD[[#This Row],[Structure Line]],6)</calculatedColumnFormula>
    </tableColumn>
    <tableColumn id="11" name="Unit Title" dataDxfId="47">
      <calculatedColumnFormula>MID(TableOSCUANGAD[[#This Row],[Structure Line]],8,LEN(TableOSCUANGAD[[#This Row],[Structure Line]]))</calculatedColumnFormula>
    </tableColumn>
    <tableColumn id="12" name="CPs" dataDxfId="46">
      <calculatedColumnFormula>TableOSCUANGAD[[#This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5"/>
    <tableColumn id="15" name="Discont." dataDxfId="44"/>
  </tableColumns>
  <tableStyleInfo name="TableStyleLight1" showFirstColumn="0" showLastColumn="0" showRowStripes="1" showColumnStripes="0"/>
</table>
</file>

<file path=xl/tables/table8.xml><?xml version="1.0" encoding="utf-8"?>
<table xmlns="http://schemas.openxmlformats.org/spreadsheetml/2006/main" id="7" name="TableOSCUINARS" displayName="TableOSCUINARS" ref="A57:O69" totalsRowShown="0">
  <autoFilter ref="A57:O69"/>
  <sortState ref="A58:M65">
    <sortCondition ref="F57:F65"/>
  </sortState>
  <tableColumns count="15">
    <tableColumn id="1" name="UDC" dataDxfId="43">
      <calculatedColumnFormula>TableOSCUINARS[[#This Row],[Study Package Code]]</calculatedColumnFormula>
    </tableColumn>
    <tableColumn id="9" name="V" dataDxfId="42">
      <calculatedColumnFormula>TableOSCUINARS[[#This Row],[Ver]]</calculatedColumnFormula>
    </tableColumn>
    <tableColumn id="10" name="OUA Code" dataDxfId="41">
      <calculatedColumnFormula>LEFT(TableOSCUINARS[[#This Row],[Structure Line]],6)</calculatedColumnFormula>
    </tableColumn>
    <tableColumn id="11" name="Unit Title" dataDxfId="40">
      <calculatedColumnFormula>TableOSCUINARS[[#This Row],[Structure Line]]</calculatedColumnFormula>
    </tableColumn>
    <tableColumn id="12" name="CPs" dataDxfId="39">
      <calculatedColumnFormula>TableOSCUINARS[[#This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8"/>
    <tableColumn id="15" name="Discont." dataDxfId="37"/>
  </tableColumns>
  <tableStyleInfo name="TableStyleLight1" showFirstColumn="0" showLastColumn="0" showRowStripes="1" showColumnStripes="0"/>
</table>
</file>

<file path=xl/tables/table9.xml><?xml version="1.0" encoding="utf-8"?>
<table xmlns="http://schemas.openxmlformats.org/spreadsheetml/2006/main" id="9" name="TableOSCUPLGEO" displayName="TableOSCUPLGEO" ref="A71:O77" totalsRowShown="0">
  <autoFilter ref="A71:O77"/>
  <sortState ref="A54:M59">
    <sortCondition descending="1" ref="G48:G54"/>
  </sortState>
  <tableColumns count="15">
    <tableColumn id="1" name="UDC" dataDxfId="36">
      <calculatedColumnFormula>TableOSCUPLGEO[[#This Row],[Study Package Code]]</calculatedColumnFormula>
    </tableColumn>
    <tableColumn id="9" name="V" dataDxfId="35">
      <calculatedColumnFormula>TableOSCUPLGEO[[#This Row],[Ver]]</calculatedColumnFormula>
    </tableColumn>
    <tableColumn id="10" name="OUA Code" dataDxfId="34">
      <calculatedColumnFormula>LEFT(TableOSCUPLGEO[[#This Row],[Structure Line]],6)</calculatedColumnFormula>
    </tableColumn>
    <tableColumn id="11" name="Unit Title" dataDxfId="33">
      <calculatedColumnFormula>MID(TableOSCUPLGEO[[#This Row],[Structure Line]],8,LEN(TableOSCUPLGEO[[#This Row],[Structure Line]]))</calculatedColumnFormula>
    </tableColumn>
    <tableColumn id="12" name="CPs" dataDxfId="32">
      <calculatedColumnFormula>TableOSCUPLGEO[[#This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1"/>
    <tableColumn id="15" name="Discont." dataDxfId="30"/>
  </tableColumns>
  <tableStyleInfo name="TableStyleLight1" showFirstColumn="0" showLastColumn="0" showRowStripes="1" showColumnStripes="0"/>
</table>
</file>

<file path=xl/tables/table10.xml><?xml version="1.0" encoding="utf-8"?>
<table xmlns="http://schemas.openxmlformats.org/spreadsheetml/2006/main" id="8" name="TableOUSHCONMN" displayName="TableOUSHCONMN" ref="A31:O38" totalsRowShown="0">
  <autoFilter ref="A31:O38"/>
  <sortState ref="A35:R42">
    <sortCondition ref="N10:N18"/>
  </sortState>
  <tableColumns count="15">
    <tableColumn id="1" name="UDC" dataDxfId="29">
      <calculatedColumnFormula>TableOUSHCONMN[[#This Row],[Study Package Code]]</calculatedColumnFormula>
    </tableColumn>
    <tableColumn id="9" name="V" dataDxfId="28">
      <calculatedColumnFormula>TableOUSHCONMN[[#This Row],[Ver]]</calculatedColumnFormula>
    </tableColumn>
    <tableColumn id="10" name="OUA Code" dataDxfId="27">
      <calculatedColumnFormula>LEFT(TableOUSHCONMN[[#This Row],[Structure Line]],6)</calculatedColumnFormula>
    </tableColumn>
    <tableColumn id="11" name="Unit Title" dataDxfId="26">
      <calculatedColumnFormula>MID(TableOUSHCONMN[[#This Row],[Structure Line]],8,LEN(TableOUSHCONMN[[#This Row],[Structure Line]]))</calculatedColumnFormula>
    </tableColumn>
    <tableColumn id="12" name="CPs" dataDxfId="25">
      <calculatedColumnFormula>TableOUSHCONMN[[#This Row],[Credit Points]]</calculatedColumnFormula>
    </tableColumn>
    <tableColumn id="13" name="No." dataDxfId="24"/>
    <tableColumn id="2" name="Component Type" dataDxfId="23"/>
    <tableColumn id="3" name="Year Level" dataDxfId="22"/>
    <tableColumn id="4" name="Study Period" dataDxfId="21"/>
    <tableColumn id="5" name="Study Package Code" dataDxfId="20"/>
    <tableColumn id="6" name="Ver" dataDxfId="19"/>
    <tableColumn id="7" name="Structure Line" dataDxfId="18"/>
    <tableColumn id="8" name="Credit Points" dataDxfId="17"/>
    <tableColumn id="14" name="Effective" dataDxfId="16"/>
    <tableColumn id="15" name="Discont." dataDxfId="15"/>
  </tableColumns>
  <tableStyleInfo name="TableStyleLight1" showFirstColumn="0" showLastColumn="0" showRowStripes="1" showColumnStripes="0"/>
</table>
</file>

<file path=xl/tables/table11.xml><?xml version="1.0" encoding="utf-8"?>
<table xmlns="http://schemas.openxmlformats.org/spreadsheetml/2006/main" id="14" name="TableOUSUCONMN" displayName="TableOUSUCONMN" ref="A40:O47" totalsRowShown="0">
  <autoFilter ref="A40:O47"/>
  <sortState ref="A44:R51">
    <sortCondition ref="N10:N18"/>
  </sortState>
  <tableColumns count="15">
    <tableColumn id="1" name="UDC" dataDxfId="14">
      <calculatedColumnFormula>TableOUSUCONMN[[#This Row],[Study Package Code]]</calculatedColumnFormula>
    </tableColumn>
    <tableColumn id="9" name="V" dataDxfId="13">
      <calculatedColumnFormula>TableOUSUCONMN[[#This Row],[Ver]]</calculatedColumnFormula>
    </tableColumn>
    <tableColumn id="10" name="OUA Code" dataDxfId="12">
      <calculatedColumnFormula>LEFT(TableOUSUCONMN[[#This Row],[Structure Line]],6)</calculatedColumnFormula>
    </tableColumn>
    <tableColumn id="11" name="Unit Title" dataDxfId="11">
      <calculatedColumnFormula>MID(TableOUSUCONMN[[#This Row],[Structure Line]],8,LEN(TableOUSUCONMN[[#This Row],[Structure Line]]))</calculatedColumnFormula>
    </tableColumn>
    <tableColumn id="12" name="CPs" dataDxfId="10">
      <calculatedColumnFormula>TableOUSUCONMN[[#This Row],[Credit Points]]</calculatedColumnFormula>
    </tableColumn>
    <tableColumn id="13"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12.xml><?xml version="1.0" encoding="utf-8"?>
<table xmlns="http://schemas.openxmlformats.org/spreadsheetml/2006/main" id="10" name="Table535657542618" displayName="Table535657542618" ref="Q2:R29" totalsRowShown="0">
  <autoFilter ref="Q2:R29"/>
  <tableColumns count="2">
    <tableColumn id="1" name="Column1"/>
    <tableColumn id="2" name="Column2"/>
  </tableColumns>
  <tableStyleInfo name="TableStyleLight4" showFirstColumn="0" showLastColumn="0" showRowStripes="1" showColumnStripes="0"/>
</table>
</file>

<file path=xl/tables/table13.xml><?xml version="1.0" encoding="utf-8"?>
<table xmlns="http://schemas.openxmlformats.org/spreadsheetml/2006/main" id="11" name="Table53565754261812" displayName="Table53565754261812" ref="Q31:R38" totalsRowShown="0">
  <autoFilter ref="Q31:R38"/>
  <tableColumns count="2">
    <tableColumn id="1" name="Column1"/>
    <tableColumn id="2" name="Column2"/>
  </tableColumns>
  <tableStyleInfo name="TableStyleLight4" showFirstColumn="0" showLastColumn="0" showRowStripes="1" showColumnStripes="0"/>
</table>
</file>

<file path=xl/tables/table14.xml><?xml version="1.0" encoding="utf-8"?>
<table xmlns="http://schemas.openxmlformats.org/spreadsheetml/2006/main" id="12" name="Table53565754261813" displayName="Table53565754261813" ref="Q40:R47" totalsRowShown="0">
  <autoFilter ref="Q40:R47"/>
  <tableColumns count="2">
    <tableColumn id="1" name="Column1"/>
    <tableColumn id="2" name="Column2"/>
  </tableColumns>
  <tableStyleInfo name="TableStyleLight4" showFirstColumn="0" showLastColumn="0" showRowStripes="1" showColumnStripes="0"/>
</table>
</file>

<file path=xl/tables/table15.xml><?xml version="1.0" encoding="utf-8"?>
<table xmlns="http://schemas.openxmlformats.org/spreadsheetml/2006/main" id="15" name="Table53565754261816" displayName="Table53565754261816" ref="Q49:R55" totalsRowShown="0">
  <autoFilter ref="Q49:R55"/>
  <tableColumns count="2">
    <tableColumn id="1" name="Column1"/>
    <tableColumn id="2" name="Column2"/>
  </tableColumns>
  <tableStyleInfo name="TableStyleLight4" showFirstColumn="0" showLastColumn="0" showRowStripes="1" showColumnStripes="0"/>
</table>
</file>

<file path=xl/tables/table16.xml><?xml version="1.0" encoding="utf-8"?>
<table xmlns="http://schemas.openxmlformats.org/spreadsheetml/2006/main" id="17" name="Table5356575426181618" displayName="Table5356575426181618" ref="Q71:R77" totalsRowShown="0">
  <autoFilter ref="Q71:R77"/>
  <tableColumns count="2">
    <tableColumn id="1" name="Column1"/>
    <tableColumn id="2" name="Column2"/>
  </tableColumns>
  <tableStyleInfo name="TableStyleLight4" showFirstColumn="0" showLastColumn="0" showRowStripes="1" showColumnStripes="0"/>
</table>
</file>

<file path=xl/tables/table17.xml><?xml version="1.0" encoding="utf-8"?>
<table xmlns="http://schemas.openxmlformats.org/spreadsheetml/2006/main" id="18" name="Table5356575426181319" displayName="Table5356575426181319" ref="Q57:R69" totalsRowShown="0">
  <autoFilter ref="Q57:R69"/>
  <tableColumns count="2">
    <tableColumn id="1" name="Column1"/>
    <tableColumn id="2" name="Column2"/>
  </tableColumns>
  <tableStyleInfo name="TableStyleLight4" showFirstColumn="0" showLastColumn="0" showRowStripes="1" showColumnStripes="0"/>
</table>
</file>

<file path=xl/tables/table18.xml><?xml version="1.0" encoding="utf-8"?>
<table xmlns="http://schemas.openxmlformats.org/spreadsheetml/2006/main" id="13" name="TableAvailabilities" displayName="TableAvailabilities" ref="A3:E47" totalsRowShown="0">
  <autoFilter ref="A3:E47"/>
  <sortState ref="A4:E45">
    <sortCondition ref="A3:A45"/>
  </sortState>
  <tableColumns count="5">
    <tableColumn id="1" name="Row Labels"/>
    <tableColumn id="2" name="OpenUnis SP 1"/>
    <tableColumn id="3" name="OpenUnis SP 2"/>
    <tableColumn id="4" name="OpenUnis SP 3"/>
    <tableColumn id="5"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tabSelected="1" topLeftCell="A2" zoomScaleNormal="100" workbookViewId="0">
      <selection activeCell="D5" sqref="D5"/>
    </sheetView>
  </sheetViews>
  <sheetFormatPr defaultRowHeight="15" x14ac:dyDescent="0.25"/>
  <cols>
    <col min="1" max="1" width="11.75" style="164" customWidth="1"/>
    <col min="2" max="2" width="3.25" style="164" customWidth="1"/>
    <col min="3" max="3" width="8" style="164" customWidth="1"/>
    <col min="4" max="4" width="58.25" style="154" customWidth="1"/>
    <col min="5" max="5" width="7.5" style="154" customWidth="1"/>
    <col min="6" max="6" width="24" style="154" customWidth="1"/>
    <col min="7" max="7" width="5.625" style="154" customWidth="1"/>
    <col min="8" max="11" width="4.625" style="154" customWidth="1"/>
    <col min="12" max="12" width="15.625" style="154" customWidth="1"/>
    <col min="13" max="13" width="2.5" style="154" hidden="1" customWidth="1"/>
    <col min="14" max="14" width="9" style="154"/>
    <col min="15" max="15" width="17.75" style="154" bestFit="1" customWidth="1"/>
    <col min="16" max="16" width="42.75" style="154" customWidth="1"/>
    <col min="17" max="16384" width="9" style="154"/>
  </cols>
  <sheetData>
    <row r="1" spans="1:16" hidden="1" x14ac:dyDescent="0.25">
      <c r="A1" s="150" t="s">
        <v>0</v>
      </c>
      <c r="B1" s="151" t="s">
        <v>1</v>
      </c>
      <c r="C1" s="151" t="s">
        <v>2</v>
      </c>
      <c r="D1" s="152" t="s">
        <v>3</v>
      </c>
      <c r="E1" s="152"/>
      <c r="F1" s="152" t="s">
        <v>4</v>
      </c>
      <c r="G1" s="152" t="s">
        <v>5</v>
      </c>
      <c r="H1" s="153" t="s">
        <v>6</v>
      </c>
      <c r="I1" s="152"/>
      <c r="J1" s="152"/>
      <c r="K1" s="152"/>
      <c r="L1" s="152" t="s">
        <v>7</v>
      </c>
    </row>
    <row r="2" spans="1:16" ht="39.950000000000003" customHeight="1" thickBot="1" x14ac:dyDescent="0.3">
      <c r="A2" s="264" t="s">
        <v>8</v>
      </c>
      <c r="B2" s="264"/>
      <c r="C2" s="264"/>
      <c r="D2" s="264"/>
      <c r="E2" s="155"/>
      <c r="F2" s="155"/>
      <c r="G2" s="155"/>
      <c r="H2" s="155"/>
      <c r="I2" s="155"/>
      <c r="J2" s="155"/>
      <c r="K2" s="155"/>
      <c r="L2" s="155"/>
      <c r="O2" s="156" t="s">
        <v>390</v>
      </c>
      <c r="P2" s="140"/>
    </row>
    <row r="3" spans="1:16" ht="26.25" thickBot="1" x14ac:dyDescent="0.3">
      <c r="A3" s="157"/>
      <c r="B3" s="158"/>
      <c r="C3" s="158"/>
      <c r="D3" s="159"/>
      <c r="E3" s="160" t="s">
        <v>9</v>
      </c>
      <c r="F3" s="158"/>
      <c r="G3" s="161"/>
      <c r="H3" s="161"/>
      <c r="I3" s="162"/>
      <c r="J3" s="161"/>
      <c r="K3" s="161"/>
      <c r="L3" s="161"/>
      <c r="O3" s="163" t="s">
        <v>389</v>
      </c>
      <c r="P3" s="141"/>
    </row>
    <row r="4" spans="1:16" ht="20.100000000000001" customHeight="1" x14ac:dyDescent="0.25">
      <c r="B4" s="165"/>
      <c r="C4" s="166" t="s">
        <v>10</v>
      </c>
      <c r="D4" s="167" t="s">
        <v>11</v>
      </c>
      <c r="E4" s="168"/>
      <c r="F4" s="166" t="s">
        <v>10</v>
      </c>
      <c r="G4" s="168" t="str">
        <f>IFERROR(CONCATENATE(VLOOKUP(D4,TableCourses[],2,FALSE)," ",VLOOKUP(D4,TableCourses[],3,FALSE)),"")</f>
        <v>OB-CONMN v.3</v>
      </c>
      <c r="H4" s="168"/>
      <c r="I4" s="168"/>
      <c r="J4" s="168"/>
      <c r="K4" s="168"/>
      <c r="L4" s="169" t="e">
        <f>CONCATENATE(VLOOKUP(D4,TableCourses[],2,FALSE),VLOOKUP(D7,TableStudyPeriod[],2,FALSE))</f>
        <v>#N/A</v>
      </c>
    </row>
    <row r="5" spans="1:16" ht="20.100000000000001" customHeight="1" x14ac:dyDescent="0.25">
      <c r="B5" s="165"/>
      <c r="C5" s="166" t="s">
        <v>396</v>
      </c>
      <c r="D5" s="96" t="s">
        <v>413</v>
      </c>
      <c r="E5" s="168"/>
      <c r="F5" s="166" t="s">
        <v>396</v>
      </c>
      <c r="G5" s="168" t="str">
        <f>IFERROR(CONCATENATE(VLOOKUP(D5,TableStream[],2,FALSE)," ",VLOOKUP(D5,TableStream[],3,FALSE)),"")</f>
        <v/>
      </c>
      <c r="H5" s="168"/>
      <c r="I5" s="168"/>
      <c r="J5" s="168"/>
      <c r="K5" s="168"/>
      <c r="L5" s="169" t="e">
        <f>CONCATENATE(VLOOKUP(D5,TableStream[],2,FALSE),VLOOKUP(D7,TableStudyPeriod[],2,FALSE))</f>
        <v>#N/A</v>
      </c>
    </row>
    <row r="6" spans="1:16" ht="20.100000000000001" customHeight="1" x14ac:dyDescent="0.25">
      <c r="B6" s="165"/>
      <c r="C6" s="166" t="s">
        <v>12</v>
      </c>
      <c r="D6" s="97" t="s">
        <v>94</v>
      </c>
      <c r="E6" s="168"/>
      <c r="F6" s="166" t="s">
        <v>14</v>
      </c>
      <c r="G6" s="168" t="str">
        <f>IFERROR(CONCATENATE(VLOOKUP(D6,TableSpecialisations[],2,FALSE)," ",VLOOKUP(D6,TableSpecialisations[],3,FALSE)),"")</f>
        <v/>
      </c>
      <c r="H6" s="168"/>
      <c r="I6" s="168"/>
      <c r="J6" s="168"/>
      <c r="K6" s="168"/>
      <c r="L6" s="169" t="e">
        <f>CONCATENATE(VLOOKUP(D6,TableSpecialisations[],2,FALSE),VLOOKUP(D7,TableStudyPeriod[],2,FALSE))</f>
        <v>#N/A</v>
      </c>
    </row>
    <row r="7" spans="1:16" ht="20.100000000000001" customHeight="1" x14ac:dyDescent="0.25">
      <c r="A7" s="170"/>
      <c r="B7" s="171"/>
      <c r="C7" s="166" t="s">
        <v>15</v>
      </c>
      <c r="D7" s="98" t="s">
        <v>60</v>
      </c>
      <c r="E7" s="172"/>
      <c r="F7" s="166" t="s">
        <v>17</v>
      </c>
      <c r="G7" s="168" t="str">
        <f>IFERROR(VLOOKUP($D$4,TableCourses[],4,FALSE),"")</f>
        <v>800 credit points required</v>
      </c>
      <c r="H7" s="173"/>
      <c r="I7" s="173"/>
      <c r="J7" s="173"/>
      <c r="K7" s="173"/>
      <c r="L7" s="174"/>
    </row>
    <row r="8" spans="1:16" s="182" customFormat="1" ht="14.1" customHeight="1" x14ac:dyDescent="0.25">
      <c r="A8" s="175"/>
      <c r="B8" s="175"/>
      <c r="C8" s="175"/>
      <c r="D8" s="176"/>
      <c r="E8" s="177"/>
      <c r="F8" s="175"/>
      <c r="G8" s="175"/>
      <c r="H8" s="178" t="s">
        <v>18</v>
      </c>
      <c r="I8" s="179"/>
      <c r="J8" s="179"/>
      <c r="K8" s="180"/>
      <c r="L8" s="177"/>
      <c r="M8" s="181"/>
      <c r="N8" s="181"/>
      <c r="O8" s="181"/>
    </row>
    <row r="9" spans="1:16" s="182" customFormat="1" ht="21" x14ac:dyDescent="0.25">
      <c r="A9" s="175" t="s">
        <v>19</v>
      </c>
      <c r="B9" s="175"/>
      <c r="C9" s="175" t="s">
        <v>20</v>
      </c>
      <c r="D9" s="176" t="s">
        <v>3</v>
      </c>
      <c r="E9" s="183" t="s">
        <v>21</v>
      </c>
      <c r="F9" s="184" t="s">
        <v>22</v>
      </c>
      <c r="G9" s="175" t="s">
        <v>23</v>
      </c>
      <c r="H9" s="185" t="s">
        <v>24</v>
      </c>
      <c r="I9" s="183" t="s">
        <v>25</v>
      </c>
      <c r="J9" s="183" t="s">
        <v>26</v>
      </c>
      <c r="K9" s="186" t="s">
        <v>27</v>
      </c>
      <c r="L9" s="175" t="s">
        <v>28</v>
      </c>
      <c r="M9" s="181"/>
      <c r="N9" s="181"/>
      <c r="O9" s="181"/>
    </row>
    <row r="10" spans="1:16" s="195" customFormat="1" ht="20.100000000000001" customHeight="1" x14ac:dyDescent="0.15">
      <c r="A10" s="187" t="str">
        <f>IFERROR(IF(HLOOKUP($L$6,RangeUnitsets,M10,FALSE)=0,"",HLOOKUP($L$6,RangeUnitsets,M10,FALSE)),"")</f>
        <v/>
      </c>
      <c r="B10" s="188" t="str">
        <f>IFERROR(IF(VLOOKUP($A10,TableHandbook[],2,FALSE)=0,"",VLOOKUP($A10,TableHandbook[],2,FALSE)),"")</f>
        <v/>
      </c>
      <c r="C10" s="188" t="str">
        <f>IFERROR(IF(VLOOKUP($A10,TableHandbook[],3,FALSE)=0,"",VLOOKUP($A10,TableHandbook[],3,FALSE)),"")</f>
        <v/>
      </c>
      <c r="D10" s="189" t="str">
        <f>IFERROR(IF(VLOOKUP($A10,TableHandbook[],4,FALSE)=0,"",VLOOKUP($A10,TableHandbook[],4,FALSE)),"")</f>
        <v/>
      </c>
      <c r="E10" s="188" t="str">
        <f>IF(A10="","",VLOOKUP($D$7,TableStudyPeriod[],2,FALSE))</f>
        <v/>
      </c>
      <c r="F10" s="190" t="str">
        <f>IFERROR(IF(VLOOKUP($A10,TableHandbook[],6,FALSE)=0,"",VLOOKUP($A10,TableHandbook[],6,FALSE)),"")</f>
        <v/>
      </c>
      <c r="G10" s="188" t="str">
        <f>IFERROR(IF(VLOOKUP($A10,TableHandbook[],5,FALSE)=0,"",VLOOKUP($A10,TableHandbook[],5,FALSE)),"")</f>
        <v/>
      </c>
      <c r="H10" s="191" t="str">
        <f>IFERROR(VLOOKUP(A10,TableHandbook[],7,FALSE),"")</f>
        <v/>
      </c>
      <c r="I10" s="188" t="str">
        <f>IFERROR(VLOOKUP(A10,TableHandbook[],8,FALSE),"")</f>
        <v/>
      </c>
      <c r="J10" s="188" t="str">
        <f>IFERROR(VLOOKUP(A10,TableHandbook[],9,FALSE),"")</f>
        <v/>
      </c>
      <c r="K10" s="192" t="str">
        <f>IFERROR(VLOOKUP(A10,TableHandbook[],10,FALSE),"")</f>
        <v/>
      </c>
      <c r="L10" s="266"/>
      <c r="M10" s="193">
        <v>2</v>
      </c>
      <c r="N10" s="194"/>
      <c r="O10" s="194"/>
    </row>
    <row r="11" spans="1:16" s="195" customFormat="1" ht="20.100000000000001" customHeight="1" x14ac:dyDescent="0.15">
      <c r="A11" s="187" t="str">
        <f>IFERROR(IF(HLOOKUP($L$6,RangeUnitsets,M11,FALSE)=0,"",HLOOKUP($L$6,RangeUnitsets,M11,FALSE)),"")</f>
        <v/>
      </c>
      <c r="B11" s="188" t="str">
        <f>IFERROR(IF(VLOOKUP($A11,TableHandbook[],2,FALSE)=0,"",VLOOKUP($A11,TableHandbook[],2,FALSE)),"")</f>
        <v/>
      </c>
      <c r="C11" s="188" t="str">
        <f>IFERROR(IF(VLOOKUP($A11,TableHandbook[],3,FALSE)=0,"",VLOOKUP($A11,TableHandbook[],3,FALSE)),"")</f>
        <v/>
      </c>
      <c r="D11" s="189" t="str">
        <f>IFERROR(IF(VLOOKUP($A11,TableHandbook[],4,FALSE)=0,"",VLOOKUP($A11,TableHandbook[],4,FALSE)),"")</f>
        <v/>
      </c>
      <c r="E11" s="188" t="str">
        <f>IF(A11="","",E10)</f>
        <v/>
      </c>
      <c r="F11" s="190" t="str">
        <f>IFERROR(IF(VLOOKUP($A11,TableHandbook[],6,FALSE)=0,"",VLOOKUP($A11,TableHandbook[],6,FALSE)),"")</f>
        <v/>
      </c>
      <c r="G11" s="188" t="str">
        <f>IFERROR(IF(VLOOKUP($A11,TableHandbook[],5,FALSE)=0,"",VLOOKUP($A11,TableHandbook[],5,FALSE)),"")</f>
        <v/>
      </c>
      <c r="H11" s="191" t="str">
        <f>IFERROR(VLOOKUP(A11,TableHandbook[],7,FALSE),"")</f>
        <v/>
      </c>
      <c r="I11" s="188" t="str">
        <f>IFERROR(VLOOKUP(A11,TableHandbook[],8,FALSE),"")</f>
        <v/>
      </c>
      <c r="J11" s="188" t="str">
        <f>IFERROR(VLOOKUP(A11,TableHandbook[],9,FALSE),"")</f>
        <v/>
      </c>
      <c r="K11" s="192" t="str">
        <f>IFERROR(VLOOKUP(A11,TableHandbook[],10,FALSE),"")</f>
        <v/>
      </c>
      <c r="L11" s="266"/>
      <c r="M11" s="193">
        <v>3</v>
      </c>
      <c r="N11" s="194"/>
      <c r="O11" s="194"/>
    </row>
    <row r="12" spans="1:16" s="195" customFormat="1" ht="5.0999999999999996" customHeight="1" x14ac:dyDescent="0.15">
      <c r="A12" s="196"/>
      <c r="B12" s="197"/>
      <c r="C12" s="197"/>
      <c r="D12" s="198"/>
      <c r="E12" s="197"/>
      <c r="F12" s="199"/>
      <c r="G12" s="197"/>
      <c r="H12" s="200"/>
      <c r="I12" s="197"/>
      <c r="J12" s="197"/>
      <c r="K12" s="201"/>
      <c r="L12" s="267"/>
      <c r="M12" s="193"/>
      <c r="N12" s="194"/>
      <c r="O12" s="194"/>
      <c r="P12" s="194"/>
    </row>
    <row r="13" spans="1:16" s="195" customFormat="1" ht="20.100000000000001" customHeight="1" x14ac:dyDescent="0.15">
      <c r="A13" s="187" t="str">
        <f>IFERROR(IF(HLOOKUP($L$6,RangeUnitsets,M13,FALSE)=0,"",HLOOKUP($L$6,RangeUnitsets,M13,FALSE)),"")</f>
        <v/>
      </c>
      <c r="B13" s="188" t="str">
        <f>IFERROR(IF(VLOOKUP($A13,TableHandbook[],2,FALSE)=0,"",VLOOKUP($A13,TableHandbook[],2,FALSE)),"")</f>
        <v/>
      </c>
      <c r="C13" s="188" t="str">
        <f>IFERROR(IF(VLOOKUP($A13,TableHandbook[],3,FALSE)=0,"",VLOOKUP($A13,TableHandbook[],3,FALSE)),"")</f>
        <v/>
      </c>
      <c r="D13" s="189" t="str">
        <f>IFERROR(IF(VLOOKUP($A13,TableHandbook[],4,FALSE)=0,"",VLOOKUP($A13,TableHandbook[],4,FALSE)),"")</f>
        <v/>
      </c>
      <c r="E13" s="188" t="str">
        <f>IF(A13="","",VLOOKUP($D$7,TableStudyPeriod[],3,FALSE))</f>
        <v/>
      </c>
      <c r="F13" s="190" t="str">
        <f>IFERROR(IF(VLOOKUP($A13,TableHandbook[],6,FALSE)=0,"",VLOOKUP($A13,TableHandbook[],6,FALSE)),"")</f>
        <v/>
      </c>
      <c r="G13" s="188" t="str">
        <f>IFERROR(IF(VLOOKUP($A13,TableHandbook[],5,FALSE)=0,"",VLOOKUP($A13,TableHandbook[],5,FALSE)),"")</f>
        <v/>
      </c>
      <c r="H13" s="191" t="str">
        <f>IFERROR(VLOOKUP(A13,TableHandbook[],7,FALSE),"")</f>
        <v/>
      </c>
      <c r="I13" s="188" t="str">
        <f>IFERROR(VLOOKUP(A13,TableHandbook[],8,FALSE),"")</f>
        <v/>
      </c>
      <c r="J13" s="188" t="str">
        <f>IFERROR(VLOOKUP(A13,TableHandbook[],9,FALSE),"")</f>
        <v/>
      </c>
      <c r="K13" s="192" t="str">
        <f>IFERROR(VLOOKUP(A13,TableHandbook[],10,FALSE),"")</f>
        <v/>
      </c>
      <c r="L13" s="268"/>
      <c r="M13" s="193">
        <v>4</v>
      </c>
      <c r="N13" s="194"/>
      <c r="O13" s="194"/>
    </row>
    <row r="14" spans="1:16" s="195" customFormat="1" ht="20.100000000000001" customHeight="1" x14ac:dyDescent="0.15">
      <c r="A14" s="187" t="str">
        <f>IFERROR(IF(HLOOKUP($L$6,RangeUnitsets,M14,FALSE)=0,"",HLOOKUP($L$6,RangeUnitsets,M14,FALSE)),"")</f>
        <v/>
      </c>
      <c r="B14" s="188" t="str">
        <f>IFERROR(IF(VLOOKUP($A14,TableHandbook[],2,FALSE)=0,"",VLOOKUP($A14,TableHandbook[],2,FALSE)),"")</f>
        <v/>
      </c>
      <c r="C14" s="188" t="str">
        <f>IFERROR(IF(VLOOKUP($A14,TableHandbook[],3,FALSE)=0,"",VLOOKUP($A14,TableHandbook[],3,FALSE)),"")</f>
        <v/>
      </c>
      <c r="D14" s="189" t="str">
        <f>IFERROR(IF(VLOOKUP($A14,TableHandbook[],4,FALSE)=0,"",VLOOKUP($A14,TableHandbook[],4,FALSE)),"")</f>
        <v/>
      </c>
      <c r="E14" s="188" t="str">
        <f>IF(A14="","",E13)</f>
        <v/>
      </c>
      <c r="F14" s="190" t="str">
        <f>IFERROR(IF(VLOOKUP($A14,TableHandbook[],6,FALSE)=0,"",VLOOKUP($A14,TableHandbook[],6,FALSE)),"")</f>
        <v/>
      </c>
      <c r="G14" s="188" t="str">
        <f>IFERROR(IF(VLOOKUP($A14,TableHandbook[],5,FALSE)=0,"",VLOOKUP($A14,TableHandbook[],5,FALSE)),"")</f>
        <v/>
      </c>
      <c r="H14" s="191" t="str">
        <f>IFERROR(VLOOKUP(A14,TableHandbook[],7,FALSE),"")</f>
        <v/>
      </c>
      <c r="I14" s="188" t="str">
        <f>IFERROR(VLOOKUP(A14,TableHandbook[],8,FALSE),"")</f>
        <v/>
      </c>
      <c r="J14" s="188" t="str">
        <f>IFERROR(VLOOKUP(A14,TableHandbook[],9,FALSE),"")</f>
        <v/>
      </c>
      <c r="K14" s="192" t="str">
        <f>IFERROR(VLOOKUP(A14,TableHandbook[],10,FALSE),"")</f>
        <v/>
      </c>
      <c r="L14" s="266"/>
      <c r="M14" s="193">
        <v>5</v>
      </c>
      <c r="N14" s="194"/>
      <c r="O14" s="194"/>
    </row>
    <row r="15" spans="1:16" s="195" customFormat="1" ht="5.0999999999999996" customHeight="1" x14ac:dyDescent="0.15">
      <c r="A15" s="196"/>
      <c r="B15" s="197"/>
      <c r="C15" s="197"/>
      <c r="D15" s="198"/>
      <c r="E15" s="197"/>
      <c r="F15" s="199"/>
      <c r="G15" s="197"/>
      <c r="H15" s="200"/>
      <c r="I15" s="197"/>
      <c r="J15" s="197"/>
      <c r="K15" s="201"/>
      <c r="L15" s="267"/>
      <c r="M15" s="193"/>
      <c r="N15" s="194"/>
      <c r="O15" s="194"/>
      <c r="P15" s="194"/>
    </row>
    <row r="16" spans="1:16" s="195" customFormat="1" ht="20.100000000000001" customHeight="1" x14ac:dyDescent="0.15">
      <c r="A16" s="187" t="str">
        <f>IFERROR(IF(HLOOKUP($L$6,RangeUnitsets,M16,FALSE)=0,"",HLOOKUP($L$6,RangeUnitsets,M16,FALSE)),"")</f>
        <v/>
      </c>
      <c r="B16" s="202" t="str">
        <f>IFERROR(IF(VLOOKUP($A16,TableHandbook[],2,FALSE)=0,"",VLOOKUP($A16,TableHandbook[],2,FALSE)),"")</f>
        <v/>
      </c>
      <c r="C16" s="202" t="str">
        <f>IFERROR(IF(VLOOKUP($A16,TableHandbook[],3,FALSE)=0,"",VLOOKUP($A16,TableHandbook[],3,FALSE)),"")</f>
        <v/>
      </c>
      <c r="D16" s="189" t="str">
        <f>IFERROR(IF(VLOOKUP($A16,TableHandbook[],4,FALSE)=0,"",VLOOKUP($A16,TableHandbook[],4,FALSE)),"")</f>
        <v/>
      </c>
      <c r="E16" s="188" t="str">
        <f>IF(A16="","",VLOOKUP($D$7,TableStudyPeriod[],4,FALSE))</f>
        <v/>
      </c>
      <c r="F16" s="190" t="str">
        <f>IFERROR(IF(VLOOKUP($A16,TableHandbook[],6,FALSE)=0,"",VLOOKUP($A16,TableHandbook[],6,FALSE)),"")</f>
        <v/>
      </c>
      <c r="G16" s="202" t="str">
        <f>IFERROR(IF(VLOOKUP($A16,TableHandbook[],5,FALSE)=0,"",VLOOKUP($A16,TableHandbook[],5,FALSE)),"")</f>
        <v/>
      </c>
      <c r="H16" s="203" t="str">
        <f>IFERROR(VLOOKUP(A16,TableHandbook[],7,FALSE),"")</f>
        <v/>
      </c>
      <c r="I16" s="202" t="str">
        <f>IFERROR(VLOOKUP(A16,TableHandbook[],8,FALSE),"")</f>
        <v/>
      </c>
      <c r="J16" s="202" t="str">
        <f>IFERROR(VLOOKUP(A16,TableHandbook[],9,FALSE),"")</f>
        <v/>
      </c>
      <c r="K16" s="204" t="str">
        <f>IFERROR(VLOOKUP(A16,TableHandbook[],10,FALSE),"")</f>
        <v/>
      </c>
      <c r="L16" s="268"/>
      <c r="M16" s="193">
        <v>6</v>
      </c>
      <c r="N16" s="194"/>
      <c r="O16" s="194"/>
    </row>
    <row r="17" spans="1:16" s="206" customFormat="1" ht="20.100000000000001" customHeight="1" x14ac:dyDescent="0.15">
      <c r="A17" s="187" t="str">
        <f>IFERROR(IF(HLOOKUP($L$6,RangeUnitsets,M17,FALSE)=0,"",HLOOKUP($L$6,RangeUnitsets,M17,FALSE)),"")</f>
        <v/>
      </c>
      <c r="B17" s="202" t="str">
        <f>IFERROR(IF(VLOOKUP($A17,TableHandbook[],2,FALSE)=0,"",VLOOKUP($A17,TableHandbook[],2,FALSE)),"")</f>
        <v/>
      </c>
      <c r="C17" s="202" t="str">
        <f>IFERROR(IF(VLOOKUP($A17,TableHandbook[],3,FALSE)=0,"",VLOOKUP($A17,TableHandbook[],3,FALSE)),"")</f>
        <v/>
      </c>
      <c r="D17" s="189" t="str">
        <f>IFERROR(IF(VLOOKUP($A17,TableHandbook[],4,FALSE)=0,"",VLOOKUP($A17,TableHandbook[],4,FALSE)),"")</f>
        <v/>
      </c>
      <c r="E17" s="188" t="str">
        <f>IF(A17="","",E16)</f>
        <v/>
      </c>
      <c r="F17" s="190" t="str">
        <f>IFERROR(IF(VLOOKUP($A17,TableHandbook[],6,FALSE)=0,"",VLOOKUP($A17,TableHandbook[],6,FALSE)),"")</f>
        <v/>
      </c>
      <c r="G17" s="202" t="str">
        <f>IFERROR(IF(VLOOKUP($A17,TableHandbook[],5,FALSE)=0,"",VLOOKUP($A17,TableHandbook[],5,FALSE)),"")</f>
        <v/>
      </c>
      <c r="H17" s="203" t="str">
        <f>IFERROR(VLOOKUP(A17,TableHandbook[],7,FALSE),"")</f>
        <v/>
      </c>
      <c r="I17" s="202" t="str">
        <f>IFERROR(VLOOKUP(A17,TableHandbook[],8,FALSE),"")</f>
        <v/>
      </c>
      <c r="J17" s="202" t="str">
        <f>IFERROR(VLOOKUP(A17,TableHandbook[],9,FALSE),"")</f>
        <v/>
      </c>
      <c r="K17" s="204" t="str">
        <f>IFERROR(VLOOKUP(A17,TableHandbook[],10,FALSE),"")</f>
        <v/>
      </c>
      <c r="L17" s="268"/>
      <c r="M17" s="193">
        <v>7</v>
      </c>
      <c r="N17" s="205"/>
      <c r="O17" s="205"/>
    </row>
    <row r="18" spans="1:16" s="195" customFormat="1" ht="5.0999999999999996" customHeight="1" x14ac:dyDescent="0.15">
      <c r="A18" s="196"/>
      <c r="B18" s="197"/>
      <c r="C18" s="197"/>
      <c r="D18" s="198"/>
      <c r="E18" s="197"/>
      <c r="F18" s="199"/>
      <c r="G18" s="197"/>
      <c r="H18" s="200"/>
      <c r="I18" s="197"/>
      <c r="J18" s="197"/>
      <c r="K18" s="201"/>
      <c r="L18" s="267"/>
      <c r="M18" s="193"/>
      <c r="N18" s="194"/>
      <c r="O18" s="194"/>
      <c r="P18" s="194"/>
    </row>
    <row r="19" spans="1:16" s="206" customFormat="1" ht="20.100000000000001" customHeight="1" x14ac:dyDescent="0.15">
      <c r="A19" s="187" t="str">
        <f>IFERROR(IF(HLOOKUP($L$6,RangeUnitsets,M19,FALSE)=0,"",HLOOKUP($L$6,RangeUnitsets,M19,FALSE)),"")</f>
        <v/>
      </c>
      <c r="B19" s="202" t="str">
        <f>IFERROR(IF(VLOOKUP($A19,TableHandbook[],2,FALSE)=0,"",VLOOKUP($A19,TableHandbook[],2,FALSE)),"")</f>
        <v/>
      </c>
      <c r="C19" s="202" t="str">
        <f>IFERROR(IF(VLOOKUP($A19,TableHandbook[],3,FALSE)=0,"",VLOOKUP($A19,TableHandbook[],3,FALSE)),"")</f>
        <v/>
      </c>
      <c r="D19" s="189" t="str">
        <f>IFERROR(IF(VLOOKUP($A19,TableHandbook[],4,FALSE)=0,"",VLOOKUP($A19,TableHandbook[],4,FALSE)),"")</f>
        <v/>
      </c>
      <c r="E19" s="188" t="str">
        <f>IF(A19="","",VLOOKUP($D$7,TableStudyPeriod[],5,FALSE))</f>
        <v/>
      </c>
      <c r="F19" s="190" t="str">
        <f>IFERROR(IF(VLOOKUP($A19,TableHandbook[],6,FALSE)=0,"",VLOOKUP($A19,TableHandbook[],6,FALSE)),"")</f>
        <v/>
      </c>
      <c r="G19" s="202" t="str">
        <f>IFERROR(IF(VLOOKUP($A19,TableHandbook[],5,FALSE)=0,"",VLOOKUP($A19,TableHandbook[],5,FALSE)),"")</f>
        <v/>
      </c>
      <c r="H19" s="203" t="str">
        <f>IFERROR(VLOOKUP(A19,TableHandbook[],7,FALSE),"")</f>
        <v/>
      </c>
      <c r="I19" s="202" t="str">
        <f>IFERROR(VLOOKUP(A19,TableHandbook[],8,FALSE),"")</f>
        <v/>
      </c>
      <c r="J19" s="202" t="str">
        <f>IFERROR(VLOOKUP(A19,TableHandbook[],9,FALSE),"")</f>
        <v/>
      </c>
      <c r="K19" s="204" t="str">
        <f>IFERROR(VLOOKUP(A19,TableHandbook[],10,FALSE),"")</f>
        <v/>
      </c>
      <c r="L19" s="268"/>
      <c r="M19" s="193">
        <v>8</v>
      </c>
      <c r="N19" s="205"/>
      <c r="O19" s="205"/>
    </row>
    <row r="20" spans="1:16" s="206" customFormat="1" ht="20.100000000000001" customHeight="1" x14ac:dyDescent="0.15">
      <c r="A20" s="187" t="str">
        <f>IFERROR(IF(HLOOKUP($L$6,RangeUnitsets,M20,FALSE)=0,"",HLOOKUP($L$6,RangeUnitsets,M20,FALSE)),"")</f>
        <v/>
      </c>
      <c r="B20" s="202" t="str">
        <f>IFERROR(IF(VLOOKUP($A20,TableHandbook[],2,FALSE)=0,"",VLOOKUP($A20,TableHandbook[],2,FALSE)),"")</f>
        <v/>
      </c>
      <c r="C20" s="202" t="str">
        <f>IFERROR(IF(VLOOKUP($A20,TableHandbook[],3,FALSE)=0,"",VLOOKUP($A20,TableHandbook[],3,FALSE)),"")</f>
        <v/>
      </c>
      <c r="D20" s="207" t="str">
        <f>IFERROR(IF(VLOOKUP($A20,TableHandbook[],4,FALSE)=0,"",VLOOKUP($A20,TableHandbook[],4,FALSE)),"")</f>
        <v/>
      </c>
      <c r="E20" s="202" t="str">
        <f>IF(A20="","",E19)</f>
        <v/>
      </c>
      <c r="F20" s="190" t="str">
        <f>IFERROR(IF(VLOOKUP($A20,TableHandbook[],6,FALSE)=0,"",VLOOKUP($A20,TableHandbook[],6,FALSE)),"")</f>
        <v/>
      </c>
      <c r="G20" s="202" t="str">
        <f>IFERROR(IF(VLOOKUP($A20,TableHandbook[],5,FALSE)=0,"",VLOOKUP($A20,TableHandbook[],5,FALSE)),"")</f>
        <v/>
      </c>
      <c r="H20" s="203" t="str">
        <f>IFERROR(VLOOKUP(A20,TableHandbook[],7,FALSE),"")</f>
        <v/>
      </c>
      <c r="I20" s="202" t="str">
        <f>IFERROR(VLOOKUP(A20,TableHandbook[],8,FALSE),"")</f>
        <v/>
      </c>
      <c r="J20" s="202" t="str">
        <f>IFERROR(VLOOKUP(A20,TableHandbook[],9,FALSE),"")</f>
        <v/>
      </c>
      <c r="K20" s="204" t="str">
        <f>IFERROR(VLOOKUP(A20,TableHandbook[],10,FALSE),"")</f>
        <v/>
      </c>
      <c r="L20" s="268"/>
      <c r="M20" s="193">
        <v>9</v>
      </c>
      <c r="N20" s="205"/>
      <c r="O20" s="205"/>
    </row>
    <row r="21" spans="1:16" s="182" customFormat="1" ht="21" x14ac:dyDescent="0.25">
      <c r="A21" s="175" t="s">
        <v>29</v>
      </c>
      <c r="B21" s="175"/>
      <c r="C21" s="175" t="s">
        <v>20</v>
      </c>
      <c r="D21" s="176" t="s">
        <v>3</v>
      </c>
      <c r="E21" s="183" t="s">
        <v>21</v>
      </c>
      <c r="F21" s="184" t="s">
        <v>22</v>
      </c>
      <c r="G21" s="175" t="s">
        <v>23</v>
      </c>
      <c r="H21" s="185" t="s">
        <v>24</v>
      </c>
      <c r="I21" s="183" t="s">
        <v>25</v>
      </c>
      <c r="J21" s="183" t="s">
        <v>26</v>
      </c>
      <c r="K21" s="186" t="s">
        <v>27</v>
      </c>
      <c r="L21" s="175" t="s">
        <v>28</v>
      </c>
      <c r="M21" s="208"/>
      <c r="N21" s="181"/>
      <c r="O21" s="181"/>
    </row>
    <row r="22" spans="1:16" s="195" customFormat="1" ht="20.100000000000001" customHeight="1" x14ac:dyDescent="0.15">
      <c r="A22" s="187" t="str">
        <f>IFERROR(IF(HLOOKUP($L$6,RangeUnitsets,M22,FALSE)=0,"",HLOOKUP($L$6,RangeUnitsets,M22,FALSE)),"")</f>
        <v/>
      </c>
      <c r="B22" s="202" t="str">
        <f>IFERROR(IF(VLOOKUP($A22,TableHandbook[],2,FALSE)=0,"",VLOOKUP($A22,TableHandbook[],2,FALSE)),"")</f>
        <v/>
      </c>
      <c r="C22" s="202" t="str">
        <f>IFERROR(IF(VLOOKUP($A22,TableHandbook[],3,FALSE)=0,"",VLOOKUP($A22,TableHandbook[],3,FALSE)),"")</f>
        <v/>
      </c>
      <c r="D22" s="209" t="str">
        <f>IFERROR(IF(VLOOKUP($A22,TableHandbook[],4,FALSE)=0,"",VLOOKUP($A22,TableHandbook[],4,FALSE)),"")</f>
        <v/>
      </c>
      <c r="E22" s="202" t="str">
        <f>IF(A22="","",VLOOKUP($D$7,TableStudyPeriod[],2,FALSE))</f>
        <v/>
      </c>
      <c r="F22" s="190" t="str">
        <f>IFERROR(IF(VLOOKUP($A22,TableHandbook[],6,FALSE)=0,"",VLOOKUP($A22,TableHandbook[],6,FALSE)),"")</f>
        <v/>
      </c>
      <c r="G22" s="188" t="str">
        <f>IFERROR(IF(VLOOKUP($A22,TableHandbook[],5,FALSE)=0,"",VLOOKUP($A22,TableHandbook[],5,FALSE)),"")</f>
        <v/>
      </c>
      <c r="H22" s="191" t="str">
        <f>IFERROR(VLOOKUP(A22,TableHandbook[],7,FALSE),"")</f>
        <v/>
      </c>
      <c r="I22" s="188" t="str">
        <f>IFERROR(VLOOKUP(A22,TableHandbook[],8,FALSE),"")</f>
        <v/>
      </c>
      <c r="J22" s="188" t="str">
        <f>IFERROR(VLOOKUP(A22,TableHandbook[],9,FALSE),"")</f>
        <v/>
      </c>
      <c r="K22" s="192" t="str">
        <f>IFERROR(VLOOKUP(A22,TableHandbook[],10,FALSE),"")</f>
        <v/>
      </c>
      <c r="L22" s="266"/>
      <c r="M22" s="193">
        <v>10</v>
      </c>
      <c r="N22" s="194"/>
      <c r="O22" s="194"/>
    </row>
    <row r="23" spans="1:16" s="195" customFormat="1" ht="20.100000000000001" customHeight="1" x14ac:dyDescent="0.15">
      <c r="A23" s="187" t="str">
        <f>IFERROR(IF(HLOOKUP($L$6,RangeUnitsets,M23,FALSE)=0,"",HLOOKUP($L$6,RangeUnitsets,M23,FALSE)),"")</f>
        <v/>
      </c>
      <c r="B23" s="202" t="str">
        <f>IFERROR(IF(VLOOKUP($A23,TableHandbook[],2,FALSE)=0,"",VLOOKUP($A23,TableHandbook[],2,FALSE)),"")</f>
        <v/>
      </c>
      <c r="C23" s="202" t="str">
        <f>IFERROR(IF(VLOOKUP($A23,TableHandbook[],3,FALSE)=0,"",VLOOKUP($A23,TableHandbook[],3,FALSE)),"")</f>
        <v/>
      </c>
      <c r="D23" s="207" t="str">
        <f>IFERROR(IF(VLOOKUP($A23,TableHandbook[],4,FALSE)=0,"",VLOOKUP($A23,TableHandbook[],4,FALSE)),"")</f>
        <v/>
      </c>
      <c r="E23" s="202" t="str">
        <f>IF(A23="","",E22)</f>
        <v/>
      </c>
      <c r="F23" s="190" t="str">
        <f>IFERROR(IF(VLOOKUP($A23,TableHandbook[],6,FALSE)=0,"",VLOOKUP($A23,TableHandbook[],6,FALSE)),"")</f>
        <v/>
      </c>
      <c r="G23" s="188" t="str">
        <f>IFERROR(IF(VLOOKUP($A23,TableHandbook[],5,FALSE)=0,"",VLOOKUP($A23,TableHandbook[],5,FALSE)),"")</f>
        <v/>
      </c>
      <c r="H23" s="191" t="str">
        <f>IFERROR(VLOOKUP(A23,TableHandbook[],7,FALSE),"")</f>
        <v/>
      </c>
      <c r="I23" s="188" t="str">
        <f>IFERROR(VLOOKUP(A23,TableHandbook[],8,FALSE),"")</f>
        <v/>
      </c>
      <c r="J23" s="188" t="str">
        <f>IFERROR(VLOOKUP(A23,TableHandbook[],9,FALSE),"")</f>
        <v/>
      </c>
      <c r="K23" s="192" t="str">
        <f>IFERROR(VLOOKUP(A23,TableHandbook[],10,FALSE),"")</f>
        <v/>
      </c>
      <c r="L23" s="266"/>
      <c r="M23" s="193">
        <v>11</v>
      </c>
      <c r="N23" s="194"/>
      <c r="O23" s="194"/>
    </row>
    <row r="24" spans="1:16" s="195" customFormat="1" ht="5.0999999999999996" customHeight="1" x14ac:dyDescent="0.15">
      <c r="A24" s="196"/>
      <c r="B24" s="197"/>
      <c r="C24" s="197"/>
      <c r="D24" s="198"/>
      <c r="E24" s="197"/>
      <c r="F24" s="199"/>
      <c r="G24" s="197"/>
      <c r="H24" s="200"/>
      <c r="I24" s="197"/>
      <c r="J24" s="197"/>
      <c r="K24" s="201"/>
      <c r="L24" s="267"/>
      <c r="M24" s="193"/>
      <c r="N24" s="194"/>
      <c r="O24" s="194"/>
      <c r="P24" s="194"/>
    </row>
    <row r="25" spans="1:16" s="195" customFormat="1" ht="20.100000000000001" customHeight="1" x14ac:dyDescent="0.15">
      <c r="A25" s="187" t="str">
        <f>IFERROR(IF(HLOOKUP($L$6,RangeUnitsets,M25,FALSE)=0,"",HLOOKUP($L$6,RangeUnitsets,M25,FALSE)),"")</f>
        <v/>
      </c>
      <c r="B25" s="202" t="str">
        <f>IFERROR(IF(VLOOKUP($A25,TableHandbook[],2,FALSE)=0,"",VLOOKUP($A25,TableHandbook[],2,FALSE)),"")</f>
        <v/>
      </c>
      <c r="C25" s="202" t="str">
        <f>IFERROR(IF(VLOOKUP($A25,TableHandbook[],3,FALSE)=0,"",VLOOKUP($A25,TableHandbook[],3,FALSE)),"")</f>
        <v/>
      </c>
      <c r="D25" s="207" t="str">
        <f>IFERROR(IF(VLOOKUP($A25,TableHandbook[],4,FALSE)=0,"",VLOOKUP($A25,TableHandbook[],4,FALSE)),"")</f>
        <v/>
      </c>
      <c r="E25" s="202" t="str">
        <f>IF(A25="","",VLOOKUP($D$7,TableStudyPeriod[],3,FALSE))</f>
        <v/>
      </c>
      <c r="F25" s="190" t="str">
        <f>IFERROR(IF(VLOOKUP($A25,TableHandbook[],6,FALSE)=0,"",VLOOKUP($A25,TableHandbook[],6,FALSE)),"")</f>
        <v/>
      </c>
      <c r="G25" s="188" t="str">
        <f>IFERROR(IF(VLOOKUP($A25,TableHandbook[],5,FALSE)=0,"",VLOOKUP($A25,TableHandbook[],5,FALSE)),"")</f>
        <v/>
      </c>
      <c r="H25" s="191" t="str">
        <f>IFERROR(VLOOKUP(A25,TableHandbook[],7,FALSE),"")</f>
        <v/>
      </c>
      <c r="I25" s="188" t="str">
        <f>IFERROR(VLOOKUP(A25,TableHandbook[],8,FALSE),"")</f>
        <v/>
      </c>
      <c r="J25" s="188" t="str">
        <f>IFERROR(VLOOKUP(A25,TableHandbook[],9,FALSE),"")</f>
        <v/>
      </c>
      <c r="K25" s="192" t="str">
        <f>IFERROR(VLOOKUP(A25,TableHandbook[],10,FALSE),"")</f>
        <v/>
      </c>
      <c r="L25" s="266"/>
      <c r="M25" s="193">
        <v>12</v>
      </c>
      <c r="N25" s="194"/>
      <c r="O25" s="194"/>
    </row>
    <row r="26" spans="1:16" s="195" customFormat="1" ht="20.100000000000001" customHeight="1" x14ac:dyDescent="0.15">
      <c r="A26" s="187" t="str">
        <f>IFERROR(IF(HLOOKUP($L$6,RangeUnitsets,M26,FALSE)=0,"",HLOOKUP($L$6,RangeUnitsets,M26,FALSE)),"")</f>
        <v/>
      </c>
      <c r="B26" s="202" t="str">
        <f>IFERROR(IF(VLOOKUP($A26,TableHandbook[],2,FALSE)=0,"",VLOOKUP($A26,TableHandbook[],2,FALSE)),"")</f>
        <v/>
      </c>
      <c r="C26" s="202" t="str">
        <f>IFERROR(IF(VLOOKUP($A26,TableHandbook[],3,FALSE)=0,"",VLOOKUP($A26,TableHandbook[],3,FALSE)),"")</f>
        <v/>
      </c>
      <c r="D26" s="207" t="str">
        <f>IFERROR(IF(VLOOKUP($A26,TableHandbook[],4,FALSE)=0,"",VLOOKUP($A26,TableHandbook[],4,FALSE)),"")</f>
        <v/>
      </c>
      <c r="E26" s="202" t="str">
        <f>IF(A26="","",E25)</f>
        <v/>
      </c>
      <c r="F26" s="190" t="str">
        <f>IFERROR(IF(VLOOKUP($A26,TableHandbook[],6,FALSE)=0,"",VLOOKUP($A26,TableHandbook[],6,FALSE)),"")</f>
        <v/>
      </c>
      <c r="G26" s="188" t="str">
        <f>IFERROR(IF(VLOOKUP($A26,TableHandbook[],5,FALSE)=0,"",VLOOKUP($A26,TableHandbook[],5,FALSE)),"")</f>
        <v/>
      </c>
      <c r="H26" s="191" t="str">
        <f>IFERROR(VLOOKUP(A26,TableHandbook[],7,FALSE),"")</f>
        <v/>
      </c>
      <c r="I26" s="188" t="str">
        <f>IFERROR(VLOOKUP(A26,TableHandbook[],8,FALSE),"")</f>
        <v/>
      </c>
      <c r="J26" s="188" t="str">
        <f>IFERROR(VLOOKUP(A26,TableHandbook[],9,FALSE),"")</f>
        <v/>
      </c>
      <c r="K26" s="192" t="str">
        <f>IFERROR(VLOOKUP(A26,TableHandbook[],10,FALSE),"")</f>
        <v/>
      </c>
      <c r="L26" s="266"/>
      <c r="M26" s="193">
        <v>13</v>
      </c>
      <c r="N26" s="194"/>
      <c r="O26" s="194"/>
    </row>
    <row r="27" spans="1:16" s="195" customFormat="1" ht="5.0999999999999996" customHeight="1" x14ac:dyDescent="0.15">
      <c r="A27" s="196"/>
      <c r="B27" s="197"/>
      <c r="C27" s="197"/>
      <c r="D27" s="198"/>
      <c r="E27" s="197"/>
      <c r="F27" s="199"/>
      <c r="G27" s="197"/>
      <c r="H27" s="200"/>
      <c r="I27" s="197"/>
      <c r="J27" s="197"/>
      <c r="K27" s="201"/>
      <c r="L27" s="267"/>
      <c r="M27" s="193"/>
      <c r="N27" s="194"/>
      <c r="O27" s="194"/>
      <c r="P27" s="194"/>
    </row>
    <row r="28" spans="1:16" s="195" customFormat="1" ht="20.100000000000001" customHeight="1" x14ac:dyDescent="0.15">
      <c r="A28" s="187" t="str">
        <f>IFERROR(IF(HLOOKUP($L$6,RangeUnitsets,M28,FALSE)=0,"",HLOOKUP($L$6,RangeUnitsets,M28,FALSE)),"")</f>
        <v/>
      </c>
      <c r="B28" s="202" t="str">
        <f>IFERROR(IF(VLOOKUP($A28,TableHandbook[],2,FALSE)=0,"",VLOOKUP($A28,TableHandbook[],2,FALSE)),"")</f>
        <v/>
      </c>
      <c r="C28" s="202" t="str">
        <f>IFERROR(IF(VLOOKUP($A28,TableHandbook[],3,FALSE)=0,"",VLOOKUP($A28,TableHandbook[],3,FALSE)),"")</f>
        <v/>
      </c>
      <c r="D28" s="207" t="str">
        <f>IFERROR(IF(VLOOKUP($A28,TableHandbook[],4,FALSE)=0,"",VLOOKUP($A28,TableHandbook[],4,FALSE)),"")</f>
        <v/>
      </c>
      <c r="E28" s="202" t="str">
        <f>IF(A28="","",VLOOKUP($D$7,TableStudyPeriod[],4,FALSE))</f>
        <v/>
      </c>
      <c r="F28" s="190" t="str">
        <f>IFERROR(IF(VLOOKUP($A28,TableHandbook[],6,FALSE)=0,"",VLOOKUP($A28,TableHandbook[],6,FALSE)),"")</f>
        <v/>
      </c>
      <c r="G28" s="188" t="str">
        <f>IFERROR(IF(VLOOKUP($A28,TableHandbook[],5,FALSE)=0,"",VLOOKUP($A28,TableHandbook[],5,FALSE)),"")</f>
        <v/>
      </c>
      <c r="H28" s="191" t="str">
        <f>IFERROR(VLOOKUP(A28,TableHandbook[],7,FALSE),"")</f>
        <v/>
      </c>
      <c r="I28" s="188" t="str">
        <f>IFERROR(VLOOKUP(A28,TableHandbook[],8,FALSE),"")</f>
        <v/>
      </c>
      <c r="J28" s="188" t="str">
        <f>IFERROR(VLOOKUP(A28,TableHandbook[],9,FALSE),"")</f>
        <v/>
      </c>
      <c r="K28" s="192" t="str">
        <f>IFERROR(VLOOKUP(A28,TableHandbook[],10,FALSE),"")</f>
        <v/>
      </c>
      <c r="L28" s="266"/>
      <c r="M28" s="193">
        <v>14</v>
      </c>
      <c r="N28" s="194"/>
      <c r="O28" s="194"/>
    </row>
    <row r="29" spans="1:16" s="195" customFormat="1" ht="20.100000000000001" customHeight="1" x14ac:dyDescent="0.15">
      <c r="A29" s="187" t="str">
        <f>IFERROR(IF(HLOOKUP($L$6,RangeUnitsets,M29,FALSE)=0,"",HLOOKUP($L$6,RangeUnitsets,M29,FALSE)),"")</f>
        <v/>
      </c>
      <c r="B29" s="202" t="str">
        <f>IFERROR(IF(VLOOKUP($A29,TableHandbook[],2,FALSE)=0,"",VLOOKUP($A29,TableHandbook[],2,FALSE)),"")</f>
        <v/>
      </c>
      <c r="C29" s="202" t="str">
        <f>IFERROR(IF(VLOOKUP($A29,TableHandbook[],3,FALSE)=0,"",VLOOKUP($A29,TableHandbook[],3,FALSE)),"")</f>
        <v/>
      </c>
      <c r="D29" s="207" t="str">
        <f>IFERROR(IF(VLOOKUP($A29,TableHandbook[],4,FALSE)=0,"",VLOOKUP($A29,TableHandbook[],4,FALSE)),"")</f>
        <v/>
      </c>
      <c r="E29" s="202" t="str">
        <f>IF(A29="","",E28)</f>
        <v/>
      </c>
      <c r="F29" s="190" t="str">
        <f>IFERROR(IF(VLOOKUP($A29,TableHandbook[],6,FALSE)=0,"",VLOOKUP($A29,TableHandbook[],6,FALSE)),"")</f>
        <v/>
      </c>
      <c r="G29" s="188" t="str">
        <f>IFERROR(IF(VLOOKUP($A29,TableHandbook[],5,FALSE)=0,"",VLOOKUP($A29,TableHandbook[],5,FALSE)),"")</f>
        <v/>
      </c>
      <c r="H29" s="191" t="str">
        <f>IFERROR(VLOOKUP(A29,TableHandbook[],7,FALSE),"")</f>
        <v/>
      </c>
      <c r="I29" s="188" t="str">
        <f>IFERROR(VLOOKUP(A29,TableHandbook[],8,FALSE),"")</f>
        <v/>
      </c>
      <c r="J29" s="188" t="str">
        <f>IFERROR(VLOOKUP(A29,TableHandbook[],9,FALSE),"")</f>
        <v/>
      </c>
      <c r="K29" s="192" t="str">
        <f>IFERROR(VLOOKUP(A29,TableHandbook[],10,FALSE),"")</f>
        <v/>
      </c>
      <c r="L29" s="266"/>
      <c r="M29" s="193">
        <v>15</v>
      </c>
      <c r="N29" s="194"/>
      <c r="O29" s="194"/>
    </row>
    <row r="30" spans="1:16" s="195" customFormat="1" ht="5.0999999999999996" customHeight="1" x14ac:dyDescent="0.15">
      <c r="A30" s="196"/>
      <c r="B30" s="197"/>
      <c r="C30" s="197"/>
      <c r="D30" s="198"/>
      <c r="E30" s="197"/>
      <c r="F30" s="199"/>
      <c r="G30" s="197"/>
      <c r="H30" s="200"/>
      <c r="I30" s="197"/>
      <c r="J30" s="197"/>
      <c r="K30" s="201"/>
      <c r="L30" s="267"/>
      <c r="M30" s="193"/>
      <c r="N30" s="194"/>
      <c r="O30" s="194"/>
      <c r="P30" s="194"/>
    </row>
    <row r="31" spans="1:16" s="206" customFormat="1" ht="20.100000000000001" customHeight="1" x14ac:dyDescent="0.15">
      <c r="A31" s="187" t="str">
        <f>IFERROR(IF(HLOOKUP($L$6,RangeUnitsets,M31,FALSE)=0,"",HLOOKUP($L$6,RangeUnitsets,M31,FALSE)),"")</f>
        <v/>
      </c>
      <c r="B31" s="202" t="str">
        <f>IFERROR(IF(VLOOKUP($A31,TableHandbook[],2,FALSE)=0,"",VLOOKUP($A31,TableHandbook[],2,FALSE)),"")</f>
        <v/>
      </c>
      <c r="C31" s="202" t="str">
        <f>IFERROR(IF(VLOOKUP($A31,TableHandbook[],3,FALSE)=0,"",VLOOKUP($A31,TableHandbook[],3,FALSE)),"")</f>
        <v/>
      </c>
      <c r="D31" s="207" t="str">
        <f>IFERROR(IF(VLOOKUP($A31,TableHandbook[],4,FALSE)=0,"",VLOOKUP($A31,TableHandbook[],4,FALSE)),"")</f>
        <v/>
      </c>
      <c r="E31" s="202" t="str">
        <f>IF(A31="","",VLOOKUP($D$7,TableStudyPeriod[],5,FALSE))</f>
        <v/>
      </c>
      <c r="F31" s="190" t="str">
        <f>IFERROR(IF(VLOOKUP($A31,TableHandbook[],6,FALSE)=0,"",VLOOKUP($A31,TableHandbook[],6,FALSE)),"")</f>
        <v/>
      </c>
      <c r="G31" s="188" t="str">
        <f>IFERROR(IF(VLOOKUP($A31,TableHandbook[],5,FALSE)=0,"",VLOOKUP($A31,TableHandbook[],5,FALSE)),"")</f>
        <v/>
      </c>
      <c r="H31" s="191" t="str">
        <f>IFERROR(VLOOKUP(A31,TableHandbook[],7,FALSE),"")</f>
        <v/>
      </c>
      <c r="I31" s="188" t="str">
        <f>IFERROR(VLOOKUP(A31,TableHandbook[],8,FALSE),"")</f>
        <v/>
      </c>
      <c r="J31" s="188" t="str">
        <f>IFERROR(VLOOKUP(A31,TableHandbook[],9,FALSE),"")</f>
        <v/>
      </c>
      <c r="K31" s="192" t="str">
        <f>IFERROR(VLOOKUP(A31,TableHandbook[],10,FALSE),"")</f>
        <v/>
      </c>
      <c r="L31" s="266"/>
      <c r="M31" s="193">
        <v>16</v>
      </c>
      <c r="N31" s="205"/>
      <c r="O31" s="205"/>
    </row>
    <row r="32" spans="1:16" s="206" customFormat="1" ht="20.100000000000001" customHeight="1" x14ac:dyDescent="0.15">
      <c r="A32" s="187" t="str">
        <f>IFERROR(IF(HLOOKUP($L$6,RangeUnitsets,M32,FALSE)=0,"",HLOOKUP($L$6,RangeUnitsets,M32,FALSE)),"")</f>
        <v/>
      </c>
      <c r="B32" s="202" t="str">
        <f>IFERROR(IF(VLOOKUP($A32,TableHandbook[],2,FALSE)=0,"",VLOOKUP($A32,TableHandbook[],2,FALSE)),"")</f>
        <v/>
      </c>
      <c r="C32" s="202" t="str">
        <f>IFERROR(IF(VLOOKUP($A32,TableHandbook[],3,FALSE)=0,"",VLOOKUP($A32,TableHandbook[],3,FALSE)),"")</f>
        <v/>
      </c>
      <c r="D32" s="207" t="str">
        <f>IFERROR(IF(VLOOKUP($A32,TableHandbook[],4,FALSE)=0,"",VLOOKUP($A32,TableHandbook[],4,FALSE)),"")</f>
        <v/>
      </c>
      <c r="E32" s="188" t="str">
        <f>IF(A32="","",E31)</f>
        <v/>
      </c>
      <c r="F32" s="190" t="str">
        <f>IFERROR(IF(VLOOKUP($A32,TableHandbook[],6,FALSE)=0,"",VLOOKUP($A32,TableHandbook[],6,FALSE)),"")</f>
        <v/>
      </c>
      <c r="G32" s="188" t="str">
        <f>IFERROR(IF(VLOOKUP($A32,TableHandbook[],5,FALSE)=0,"",VLOOKUP($A32,TableHandbook[],5,FALSE)),"")</f>
        <v/>
      </c>
      <c r="H32" s="191" t="str">
        <f>IFERROR(VLOOKUP(A32,TableHandbook[],7,FALSE),"")</f>
        <v/>
      </c>
      <c r="I32" s="188" t="str">
        <f>IFERROR(VLOOKUP(A32,TableHandbook[],8,FALSE),"")</f>
        <v/>
      </c>
      <c r="J32" s="188" t="str">
        <f>IFERROR(VLOOKUP(A32,TableHandbook[],9,FALSE),"")</f>
        <v/>
      </c>
      <c r="K32" s="192" t="str">
        <f>IFERROR(VLOOKUP(A32,TableHandbook[],10,FALSE),"")</f>
        <v/>
      </c>
      <c r="L32" s="266"/>
      <c r="M32" s="193">
        <v>17</v>
      </c>
      <c r="N32" s="205"/>
      <c r="O32" s="205"/>
    </row>
    <row r="33" spans="1:15" s="182" customFormat="1" ht="21" x14ac:dyDescent="0.25">
      <c r="A33" s="175" t="s">
        <v>30</v>
      </c>
      <c r="B33" s="175"/>
      <c r="C33" s="175" t="s">
        <v>20</v>
      </c>
      <c r="D33" s="176" t="s">
        <v>3</v>
      </c>
      <c r="E33" s="183" t="s">
        <v>21</v>
      </c>
      <c r="F33" s="184" t="s">
        <v>22</v>
      </c>
      <c r="G33" s="175" t="s">
        <v>23</v>
      </c>
      <c r="H33" s="185" t="s">
        <v>24</v>
      </c>
      <c r="I33" s="183" t="s">
        <v>25</v>
      </c>
      <c r="J33" s="183" t="s">
        <v>26</v>
      </c>
      <c r="K33" s="186" t="s">
        <v>27</v>
      </c>
      <c r="L33" s="175" t="s">
        <v>28</v>
      </c>
      <c r="M33" s="208"/>
      <c r="N33" s="181"/>
      <c r="O33" s="181"/>
    </row>
    <row r="34" spans="1:15" s="195" customFormat="1" ht="20.100000000000001" customHeight="1" x14ac:dyDescent="0.15">
      <c r="A34" s="210" t="str">
        <f t="shared" ref="A34:A41" si="0">IFERROR(IF(HLOOKUP($L$6,RangeUnitsets,M34,FALSE)=0,"",HLOOKUP($L$6,RangeUnitsets,M34,FALSE)),"")</f>
        <v/>
      </c>
      <c r="B34" s="211" t="str">
        <f>IFERROR(IF(VLOOKUP($A34,TableHandbook[],2,FALSE)=0,"",VLOOKUP($A34,TableHandbook[],2,FALSE)),"")</f>
        <v/>
      </c>
      <c r="C34" s="211" t="str">
        <f>IFERROR(IF(VLOOKUP($A34,TableHandbook[],3,FALSE)=0,"",VLOOKUP($A34,TableHandbook[],3,FALSE)),"")</f>
        <v/>
      </c>
      <c r="D34" s="212" t="str">
        <f>IFERROR(IF(VLOOKUP($A34,TableHandbook[],4,FALSE)=0,"",VLOOKUP($A34,TableHandbook[],4,FALSE)),"")</f>
        <v/>
      </c>
      <c r="E34" s="211"/>
      <c r="F34" s="213" t="str">
        <f>IFERROR(IF(VLOOKUP($A34,TableHandbook[],6,FALSE)=0,"",VLOOKUP($A34,TableHandbook[],6,FALSE)),"")</f>
        <v/>
      </c>
      <c r="G34" s="214" t="str">
        <f>IFERROR(IF(VLOOKUP($A34,TableHandbook[],5,FALSE)=0,"",VLOOKUP($A34,TableHandbook[],5,FALSE)),"")</f>
        <v/>
      </c>
      <c r="H34" s="215" t="str">
        <f>IFERROR(VLOOKUP(A34,TableHandbook[],7,FALSE),"")</f>
        <v/>
      </c>
      <c r="I34" s="214" t="str">
        <f>IFERROR(VLOOKUP(A34,TableHandbook[],8,FALSE),"")</f>
        <v/>
      </c>
      <c r="J34" s="214" t="str">
        <f>IFERROR(VLOOKUP(A34,TableHandbook[],9,FALSE),"")</f>
        <v/>
      </c>
      <c r="K34" s="216" t="str">
        <f>IFERROR(VLOOKUP(A34,TableHandbook[],10,FALSE),"")</f>
        <v/>
      </c>
      <c r="L34" s="269"/>
      <c r="M34" s="193">
        <v>18</v>
      </c>
      <c r="N34" s="194"/>
      <c r="O34" s="194"/>
    </row>
    <row r="35" spans="1:15" s="195" customFormat="1" ht="20.100000000000001" customHeight="1" x14ac:dyDescent="0.15">
      <c r="A35" s="210" t="str">
        <f t="shared" si="0"/>
        <v/>
      </c>
      <c r="B35" s="211" t="str">
        <f>IFERROR(IF(VLOOKUP($A35,TableHandbook[],2,FALSE)=0,"",VLOOKUP($A35,TableHandbook[],2,FALSE)),"")</f>
        <v/>
      </c>
      <c r="C35" s="211" t="str">
        <f>IFERROR(IF(VLOOKUP($A35,TableHandbook[],3,FALSE)=0,"",VLOOKUP($A35,TableHandbook[],3,FALSE)),"")</f>
        <v/>
      </c>
      <c r="D35" s="217" t="str">
        <f>IFERROR(IF(VLOOKUP($A35,TableHandbook[],4,FALSE)=0,"",VLOOKUP($A35,TableHandbook[],4,FALSE)),"")</f>
        <v/>
      </c>
      <c r="E35" s="211"/>
      <c r="F35" s="213" t="str">
        <f>IFERROR(IF(VLOOKUP($A35,TableHandbook[],6,FALSE)=0,"",VLOOKUP($A35,TableHandbook[],6,FALSE)),"")</f>
        <v/>
      </c>
      <c r="G35" s="214" t="str">
        <f>IFERROR(IF(VLOOKUP($A35,TableHandbook[],5,FALSE)=0,"",VLOOKUP($A35,TableHandbook[],5,FALSE)),"")</f>
        <v/>
      </c>
      <c r="H35" s="215" t="str">
        <f>IFERROR(VLOOKUP(A35,TableHandbook[],7,FALSE),"")</f>
        <v/>
      </c>
      <c r="I35" s="214" t="str">
        <f>IFERROR(VLOOKUP(A35,TableHandbook[],8,FALSE),"")</f>
        <v/>
      </c>
      <c r="J35" s="214" t="str">
        <f>IFERROR(VLOOKUP(A35,TableHandbook[],9,FALSE),"")</f>
        <v/>
      </c>
      <c r="K35" s="216" t="str">
        <f>IFERROR(VLOOKUP(A35,TableHandbook[],10,FALSE),"")</f>
        <v/>
      </c>
      <c r="L35" s="269"/>
      <c r="M35" s="193">
        <v>19</v>
      </c>
      <c r="N35" s="194"/>
      <c r="O35" s="194"/>
    </row>
    <row r="36" spans="1:15" s="195" customFormat="1" ht="20.100000000000001" customHeight="1" x14ac:dyDescent="0.15">
      <c r="A36" s="210" t="str">
        <f t="shared" si="0"/>
        <v/>
      </c>
      <c r="B36" s="211" t="str">
        <f>IFERROR(IF(VLOOKUP($A36,TableHandbook[],2,FALSE)=0,"",VLOOKUP($A36,TableHandbook[],2,FALSE)),"")</f>
        <v/>
      </c>
      <c r="C36" s="211" t="str">
        <f>IFERROR(IF(VLOOKUP($A36,TableHandbook[],3,FALSE)=0,"",VLOOKUP($A36,TableHandbook[],3,FALSE)),"")</f>
        <v/>
      </c>
      <c r="D36" s="217" t="str">
        <f>IFERROR(IF(VLOOKUP($A36,TableHandbook[],4,FALSE)=0,"",VLOOKUP($A36,TableHandbook[],4,FALSE)),"")</f>
        <v/>
      </c>
      <c r="E36" s="211"/>
      <c r="F36" s="213" t="str">
        <f>IFERROR(IF(VLOOKUP($A36,TableHandbook[],6,FALSE)=0,"",VLOOKUP($A36,TableHandbook[],6,FALSE)),"")</f>
        <v/>
      </c>
      <c r="G36" s="214" t="str">
        <f>IFERROR(IF(VLOOKUP($A36,TableHandbook[],5,FALSE)=0,"",VLOOKUP($A36,TableHandbook[],5,FALSE)),"")</f>
        <v/>
      </c>
      <c r="H36" s="215" t="str">
        <f>IFERROR(VLOOKUP(A36,TableHandbook[],7,FALSE),"")</f>
        <v/>
      </c>
      <c r="I36" s="214" t="str">
        <f>IFERROR(VLOOKUP(A36,TableHandbook[],8,FALSE),"")</f>
        <v/>
      </c>
      <c r="J36" s="214" t="str">
        <f>IFERROR(VLOOKUP(A36,TableHandbook[],9,FALSE),"")</f>
        <v/>
      </c>
      <c r="K36" s="216" t="str">
        <f>IFERROR(VLOOKUP(A36,TableHandbook[],10,FALSE),"")</f>
        <v/>
      </c>
      <c r="L36" s="269"/>
      <c r="M36" s="193">
        <v>20</v>
      </c>
      <c r="N36" s="194"/>
      <c r="O36" s="194"/>
    </row>
    <row r="37" spans="1:15" s="195" customFormat="1" ht="20.100000000000001" customHeight="1" x14ac:dyDescent="0.15">
      <c r="A37" s="210" t="str">
        <f t="shared" si="0"/>
        <v/>
      </c>
      <c r="B37" s="211" t="str">
        <f>IFERROR(IF(VLOOKUP($A37,TableHandbook[],2,FALSE)=0,"",VLOOKUP($A37,TableHandbook[],2,FALSE)),"")</f>
        <v/>
      </c>
      <c r="C37" s="211" t="str">
        <f>IFERROR(IF(VLOOKUP($A37,TableHandbook[],3,FALSE)=0,"",VLOOKUP($A37,TableHandbook[],3,FALSE)),"")</f>
        <v/>
      </c>
      <c r="D37" s="217" t="str">
        <f>IFERROR(IF(VLOOKUP($A37,TableHandbook[],4,FALSE)=0,"",VLOOKUP($A37,TableHandbook[],4,FALSE)),"")</f>
        <v/>
      </c>
      <c r="E37" s="211"/>
      <c r="F37" s="213" t="str">
        <f>IFERROR(IF(VLOOKUP($A37,TableHandbook[],6,FALSE)=0,"",VLOOKUP($A37,TableHandbook[],6,FALSE)),"")</f>
        <v/>
      </c>
      <c r="G37" s="214" t="str">
        <f>IFERROR(IF(VLOOKUP($A37,TableHandbook[],5,FALSE)=0,"",VLOOKUP($A37,TableHandbook[],5,FALSE)),"")</f>
        <v/>
      </c>
      <c r="H37" s="215" t="str">
        <f>IFERROR(VLOOKUP(A37,TableHandbook[],7,FALSE),"")</f>
        <v/>
      </c>
      <c r="I37" s="214" t="str">
        <f>IFERROR(VLOOKUP(A37,TableHandbook[],8,FALSE),"")</f>
        <v/>
      </c>
      <c r="J37" s="214" t="str">
        <f>IFERROR(VLOOKUP(A37,TableHandbook[],9,FALSE),"")</f>
        <v/>
      </c>
      <c r="K37" s="216" t="str">
        <f>IFERROR(VLOOKUP(A37,TableHandbook[],10,FALSE),"")</f>
        <v/>
      </c>
      <c r="L37" s="269"/>
      <c r="M37" s="193">
        <v>21</v>
      </c>
      <c r="N37" s="194"/>
      <c r="O37" s="194"/>
    </row>
    <row r="38" spans="1:15" s="195" customFormat="1" ht="20.100000000000001" customHeight="1" x14ac:dyDescent="0.15">
      <c r="A38" s="210" t="str">
        <f t="shared" si="0"/>
        <v/>
      </c>
      <c r="B38" s="211" t="str">
        <f>IFERROR(IF(VLOOKUP($A38,TableHandbook[],2,FALSE)=0,"",VLOOKUP($A38,TableHandbook[],2,FALSE)),"")</f>
        <v/>
      </c>
      <c r="C38" s="211" t="str">
        <f>IFERROR(IF(VLOOKUP($A38,TableHandbook[],3,FALSE)=0,"",VLOOKUP($A38,TableHandbook[],3,FALSE)),"")</f>
        <v/>
      </c>
      <c r="D38" s="217" t="str">
        <f>IFERROR(IF(VLOOKUP($A38,TableHandbook[],4,FALSE)=0,"",VLOOKUP($A38,TableHandbook[],4,FALSE)),"")</f>
        <v/>
      </c>
      <c r="E38" s="211"/>
      <c r="F38" s="213" t="str">
        <f>IFERROR(IF(VLOOKUP($A38,TableHandbook[],6,FALSE)=0,"",VLOOKUP($A38,TableHandbook[],6,FALSE)),"")</f>
        <v/>
      </c>
      <c r="G38" s="214" t="str">
        <f>IFERROR(IF(VLOOKUP($A38,TableHandbook[],5,FALSE)=0,"",VLOOKUP($A38,TableHandbook[],5,FALSE)),"")</f>
        <v/>
      </c>
      <c r="H38" s="215" t="str">
        <f>IFERROR(VLOOKUP(A38,TableHandbook[],7,FALSE),"")</f>
        <v/>
      </c>
      <c r="I38" s="214" t="str">
        <f>IFERROR(VLOOKUP(A38,TableHandbook[],8,FALSE),"")</f>
        <v/>
      </c>
      <c r="J38" s="214" t="str">
        <f>IFERROR(VLOOKUP(A38,TableHandbook[],9,FALSE),"")</f>
        <v/>
      </c>
      <c r="K38" s="216" t="str">
        <f>IFERROR(VLOOKUP(A38,TableHandbook[],10,FALSE),"")</f>
        <v/>
      </c>
      <c r="L38" s="269"/>
      <c r="M38" s="193">
        <v>22</v>
      </c>
      <c r="N38" s="194"/>
      <c r="O38" s="194"/>
    </row>
    <row r="39" spans="1:15" s="195" customFormat="1" ht="20.100000000000001" customHeight="1" x14ac:dyDescent="0.15">
      <c r="A39" s="210" t="str">
        <f t="shared" si="0"/>
        <v/>
      </c>
      <c r="B39" s="211" t="str">
        <f>IFERROR(IF(VLOOKUP($A39,TableHandbook[],2,FALSE)=0,"",VLOOKUP($A39,TableHandbook[],2,FALSE)),"")</f>
        <v/>
      </c>
      <c r="C39" s="211" t="str">
        <f>IFERROR(IF(VLOOKUP($A39,TableHandbook[],3,FALSE)=0,"",VLOOKUP($A39,TableHandbook[],3,FALSE)),"")</f>
        <v/>
      </c>
      <c r="D39" s="217" t="str">
        <f>IFERROR(IF(VLOOKUP($A39,TableHandbook[],4,FALSE)=0,"",VLOOKUP($A39,TableHandbook[],4,FALSE)),"")</f>
        <v/>
      </c>
      <c r="E39" s="211"/>
      <c r="F39" s="213" t="str">
        <f>IFERROR(IF(VLOOKUP($A39,TableHandbook[],6,FALSE)=0,"",VLOOKUP($A39,TableHandbook[],6,FALSE)),"")</f>
        <v/>
      </c>
      <c r="G39" s="214" t="str">
        <f>IFERROR(IF(VLOOKUP($A39,TableHandbook[],5,FALSE)=0,"",VLOOKUP($A39,TableHandbook[],5,FALSE)),"")</f>
        <v/>
      </c>
      <c r="H39" s="215" t="str">
        <f>IFERROR(VLOOKUP(A39,TableHandbook[],7,FALSE),"")</f>
        <v/>
      </c>
      <c r="I39" s="214" t="str">
        <f>IFERROR(VLOOKUP(A39,TableHandbook[],8,FALSE),"")</f>
        <v/>
      </c>
      <c r="J39" s="214" t="str">
        <f>IFERROR(VLOOKUP(A39,TableHandbook[],9,FALSE),"")</f>
        <v/>
      </c>
      <c r="K39" s="216" t="str">
        <f>IFERROR(VLOOKUP(A39,TableHandbook[],10,FALSE),"")</f>
        <v/>
      </c>
      <c r="L39" s="269"/>
      <c r="M39" s="193">
        <v>23</v>
      </c>
      <c r="N39" s="194"/>
      <c r="O39" s="194"/>
    </row>
    <row r="40" spans="1:15" s="206" customFormat="1" ht="20.100000000000001" customHeight="1" x14ac:dyDescent="0.15">
      <c r="A40" s="210" t="str">
        <f t="shared" si="0"/>
        <v/>
      </c>
      <c r="B40" s="211" t="str">
        <f>IFERROR(IF(VLOOKUP($A40,TableHandbook[],2,FALSE)=0,"",VLOOKUP($A40,TableHandbook[],2,FALSE)),"")</f>
        <v/>
      </c>
      <c r="C40" s="211" t="str">
        <f>IFERROR(IF(VLOOKUP($A40,TableHandbook[],3,FALSE)=0,"",VLOOKUP($A40,TableHandbook[],3,FALSE)),"")</f>
        <v/>
      </c>
      <c r="D40" s="217" t="str">
        <f>IFERROR(IF(VLOOKUP($A40,TableHandbook[],4,FALSE)=0,"",VLOOKUP($A40,TableHandbook[],4,FALSE)),"")</f>
        <v/>
      </c>
      <c r="E40" s="211"/>
      <c r="F40" s="213" t="str">
        <f>IFERROR(IF(VLOOKUP($A40,TableHandbook[],6,FALSE)=0,"",VLOOKUP($A40,TableHandbook[],6,FALSE)),"")</f>
        <v/>
      </c>
      <c r="G40" s="214" t="str">
        <f>IFERROR(IF(VLOOKUP($A40,TableHandbook[],5,FALSE)=0,"",VLOOKUP($A40,TableHandbook[],5,FALSE)),"")</f>
        <v/>
      </c>
      <c r="H40" s="215" t="str">
        <f>IFERROR(VLOOKUP(A40,TableHandbook[],7,FALSE),"")</f>
        <v/>
      </c>
      <c r="I40" s="214" t="str">
        <f>IFERROR(VLOOKUP(A40,TableHandbook[],8,FALSE),"")</f>
        <v/>
      </c>
      <c r="J40" s="214" t="str">
        <f>IFERROR(VLOOKUP(A40,TableHandbook[],9,FALSE),"")</f>
        <v/>
      </c>
      <c r="K40" s="216" t="str">
        <f>IFERROR(VLOOKUP(A40,TableHandbook[],10,FALSE),"")</f>
        <v/>
      </c>
      <c r="L40" s="269"/>
      <c r="M40" s="193">
        <v>24</v>
      </c>
      <c r="N40" s="205"/>
      <c r="O40" s="205"/>
    </row>
    <row r="41" spans="1:15" s="206" customFormat="1" ht="20.100000000000001" customHeight="1" x14ac:dyDescent="0.15">
      <c r="A41" s="210" t="str">
        <f t="shared" si="0"/>
        <v/>
      </c>
      <c r="B41" s="211" t="str">
        <f>IFERROR(IF(VLOOKUP($A41,TableHandbook[],2,FALSE)=0,"",VLOOKUP($A41,TableHandbook[],2,FALSE)),"")</f>
        <v/>
      </c>
      <c r="C41" s="211" t="str">
        <f>IFERROR(IF(VLOOKUP($A41,TableHandbook[],3,FALSE)=0,"",VLOOKUP($A41,TableHandbook[],3,FALSE)),"")</f>
        <v/>
      </c>
      <c r="D41" s="217" t="str">
        <f>IFERROR(IF(VLOOKUP($A41,TableHandbook[],4,FALSE)=0,"",VLOOKUP($A41,TableHandbook[],4,FALSE)),"")</f>
        <v/>
      </c>
      <c r="E41" s="214"/>
      <c r="F41" s="213" t="str">
        <f>IFERROR(IF(VLOOKUP($A41,TableHandbook[],6,FALSE)=0,"",VLOOKUP($A41,TableHandbook[],6,FALSE)),"")</f>
        <v/>
      </c>
      <c r="G41" s="214" t="str">
        <f>IFERROR(IF(VLOOKUP($A41,TableHandbook[],5,FALSE)=0,"",VLOOKUP($A41,TableHandbook[],5,FALSE)),"")</f>
        <v/>
      </c>
      <c r="H41" s="215" t="str">
        <f>IFERROR(VLOOKUP(A41,TableHandbook[],7,FALSE),"")</f>
        <v/>
      </c>
      <c r="I41" s="214" t="str">
        <f>IFERROR(VLOOKUP(A41,TableHandbook[],8,FALSE),"")</f>
        <v/>
      </c>
      <c r="J41" s="214" t="str">
        <f>IFERROR(VLOOKUP(A41,TableHandbook[],9,FALSE),"")</f>
        <v/>
      </c>
      <c r="K41" s="216" t="str">
        <f>IFERROR(VLOOKUP(A41,TableHandbook[],10,FALSE),"")</f>
        <v/>
      </c>
      <c r="L41" s="269"/>
      <c r="M41" s="193">
        <v>25</v>
      </c>
      <c r="N41" s="205"/>
      <c r="O41" s="205"/>
    </row>
    <row r="42" spans="1:15" s="206" customFormat="1" ht="21" customHeight="1" x14ac:dyDescent="0.15">
      <c r="A42" s="175" t="s">
        <v>31</v>
      </c>
      <c r="B42" s="175"/>
      <c r="C42" s="175" t="s">
        <v>20</v>
      </c>
      <c r="D42" s="176" t="s">
        <v>3</v>
      </c>
      <c r="E42" s="183" t="s">
        <v>21</v>
      </c>
      <c r="F42" s="184" t="s">
        <v>22</v>
      </c>
      <c r="G42" s="175" t="s">
        <v>23</v>
      </c>
      <c r="H42" s="185" t="s">
        <v>24</v>
      </c>
      <c r="I42" s="183" t="s">
        <v>25</v>
      </c>
      <c r="J42" s="183" t="s">
        <v>26</v>
      </c>
      <c r="K42" s="186" t="s">
        <v>27</v>
      </c>
      <c r="L42" s="175" t="s">
        <v>28</v>
      </c>
      <c r="M42" s="208"/>
      <c r="N42" s="205"/>
      <c r="O42" s="205"/>
    </row>
    <row r="43" spans="1:15" s="206" customFormat="1" ht="20.100000000000001" customHeight="1" x14ac:dyDescent="0.15">
      <c r="A43" s="210" t="str">
        <f t="shared" ref="A43:A50" si="1">IFERROR(IF(HLOOKUP($L$5,RangeUnitSetsY4,M43,FALSE)=0,"",HLOOKUP($L$5,RangeUnitSetsY4,M43,FALSE)),"")</f>
        <v/>
      </c>
      <c r="B43" s="211"/>
      <c r="C43" s="211" t="str">
        <f>IFERROR(IF(VLOOKUP($A43,TableHandbook[],3,FALSE)=0,"",VLOOKUP($A43,TableHandbook[],3,FALSE)),"")</f>
        <v/>
      </c>
      <c r="D43" s="212" t="str">
        <f>IFERROR(IF(VLOOKUP($A43,TableHandbook[],4,FALSE)=0,"",VLOOKUP($A43,TableHandbook[],4,FALSE)),"")</f>
        <v/>
      </c>
      <c r="E43" s="211"/>
      <c r="F43" s="213" t="str">
        <f>IFERROR(IF(VLOOKUP($A43,TableHandbook[],6,FALSE)=0,"",VLOOKUP($A43,TableHandbook[],6,FALSE)),"")</f>
        <v/>
      </c>
      <c r="G43" s="214" t="str">
        <f>IFERROR(IF(VLOOKUP($A43,TableHandbook[],5,FALSE)=0,"",VLOOKUP($A43,TableHandbook[],5,FALSE)),"")</f>
        <v/>
      </c>
      <c r="H43" s="191" t="str">
        <f>IFERROR(VLOOKUP(A43,TableHandbook[],7,FALSE),"")</f>
        <v/>
      </c>
      <c r="I43" s="188" t="str">
        <f>IFERROR(VLOOKUP(A43,TableHandbook[],8,FALSE),"")</f>
        <v/>
      </c>
      <c r="J43" s="188" t="str">
        <f>IFERROR(VLOOKUP(A43,TableHandbook[],9,FALSE),"")</f>
        <v/>
      </c>
      <c r="K43" s="192" t="str">
        <f>IFERROR(VLOOKUP(A43,TableHandbook[],10,FALSE),"")</f>
        <v/>
      </c>
      <c r="L43" s="266"/>
      <c r="M43" s="193">
        <v>2</v>
      </c>
      <c r="N43" s="205"/>
      <c r="O43" s="205"/>
    </row>
    <row r="44" spans="1:15" s="206" customFormat="1" ht="20.100000000000001" customHeight="1" x14ac:dyDescent="0.15">
      <c r="A44" s="210" t="str">
        <f t="shared" si="1"/>
        <v/>
      </c>
      <c r="B44" s="211"/>
      <c r="C44" s="211" t="str">
        <f>IFERROR(IF(VLOOKUP($A44,TableHandbook[],3,FALSE)=0,"",VLOOKUP($A44,TableHandbook[],3,FALSE)),"")</f>
        <v/>
      </c>
      <c r="D44" s="217" t="str">
        <f>IFERROR(IF(VLOOKUP($A44,TableHandbook[],4,FALSE)=0,"",VLOOKUP($A44,TableHandbook[],4,FALSE)),"")</f>
        <v/>
      </c>
      <c r="E44" s="211"/>
      <c r="F44" s="213" t="str">
        <f>IFERROR(IF(VLOOKUP($A44,TableHandbook[],6,FALSE)=0,"",VLOOKUP($A44,TableHandbook[],6,FALSE)),"")</f>
        <v/>
      </c>
      <c r="G44" s="214" t="str">
        <f>IFERROR(IF(VLOOKUP($A44,TableHandbook[],5,FALSE)=0,"",VLOOKUP($A44,TableHandbook[],5,FALSE)),"")</f>
        <v/>
      </c>
      <c r="H44" s="191" t="str">
        <f>IFERROR(VLOOKUP(A44,TableHandbook[],7,FALSE),"")</f>
        <v/>
      </c>
      <c r="I44" s="188" t="str">
        <f>IFERROR(VLOOKUP(A44,TableHandbook[],8,FALSE),"")</f>
        <v/>
      </c>
      <c r="J44" s="188" t="str">
        <f>IFERROR(VLOOKUP(A44,TableHandbook[],9,FALSE),"")</f>
        <v/>
      </c>
      <c r="K44" s="192" t="str">
        <f>IFERROR(VLOOKUP(A44,TableHandbook[],10,FALSE),"")</f>
        <v/>
      </c>
      <c r="L44" s="266"/>
      <c r="M44" s="193">
        <v>3</v>
      </c>
      <c r="N44" s="205"/>
      <c r="O44" s="205"/>
    </row>
    <row r="45" spans="1:15" s="206" customFormat="1" ht="20.100000000000001" customHeight="1" x14ac:dyDescent="0.15">
      <c r="A45" s="210" t="str">
        <f t="shared" si="1"/>
        <v/>
      </c>
      <c r="B45" s="211"/>
      <c r="C45" s="211" t="str">
        <f>IFERROR(IF(VLOOKUP($A45,TableHandbook[],3,FALSE)=0,"",VLOOKUP($A45,TableHandbook[],3,FALSE)),"")</f>
        <v/>
      </c>
      <c r="D45" s="217" t="str">
        <f>IFERROR(IF(VLOOKUP($A45,TableHandbook[],4,FALSE)=0,"",VLOOKUP($A45,TableHandbook[],4,FALSE)),"")</f>
        <v/>
      </c>
      <c r="E45" s="211"/>
      <c r="F45" s="213" t="str">
        <f>IFERROR(IF(VLOOKUP($A45,TableHandbook[],6,FALSE)=0,"",VLOOKUP($A45,TableHandbook[],6,FALSE)),"")</f>
        <v/>
      </c>
      <c r="G45" s="214" t="str">
        <f>IFERROR(IF(VLOOKUP($A45,TableHandbook[],5,FALSE)=0,"",VLOOKUP($A45,TableHandbook[],5,FALSE)),"")</f>
        <v/>
      </c>
      <c r="H45" s="191" t="str">
        <f>IFERROR(VLOOKUP(A45,TableHandbook[],7,FALSE),"")</f>
        <v/>
      </c>
      <c r="I45" s="188" t="str">
        <f>IFERROR(VLOOKUP(A45,TableHandbook[],8,FALSE),"")</f>
        <v/>
      </c>
      <c r="J45" s="188" t="str">
        <f>IFERROR(VLOOKUP(A45,TableHandbook[],9,FALSE),"")</f>
        <v/>
      </c>
      <c r="K45" s="192" t="str">
        <f>IFERROR(VLOOKUP(A45,TableHandbook[],10,FALSE),"")</f>
        <v/>
      </c>
      <c r="L45" s="266"/>
      <c r="M45" s="193">
        <v>4</v>
      </c>
      <c r="N45" s="205"/>
      <c r="O45" s="205"/>
    </row>
    <row r="46" spans="1:15" s="206" customFormat="1" ht="20.100000000000001" customHeight="1" x14ac:dyDescent="0.15">
      <c r="A46" s="210" t="str">
        <f t="shared" si="1"/>
        <v/>
      </c>
      <c r="B46" s="211"/>
      <c r="C46" s="211" t="str">
        <f>IFERROR(IF(VLOOKUP($A46,TableHandbook[],3,FALSE)=0,"",VLOOKUP($A46,TableHandbook[],3,FALSE)),"")</f>
        <v/>
      </c>
      <c r="D46" s="217" t="str">
        <f>IFERROR(IF(VLOOKUP($A46,TableHandbook[],4,FALSE)=0,"",VLOOKUP($A46,TableHandbook[],4,FALSE)),"")</f>
        <v/>
      </c>
      <c r="E46" s="211"/>
      <c r="F46" s="213" t="str">
        <f>IFERROR(IF(VLOOKUP($A46,TableHandbook[],6,FALSE)=0,"",VLOOKUP($A46,TableHandbook[],6,FALSE)),"")</f>
        <v/>
      </c>
      <c r="G46" s="214" t="str">
        <f>IFERROR(IF(VLOOKUP($A46,TableHandbook[],5,FALSE)=0,"",VLOOKUP($A46,TableHandbook[],5,FALSE)),"")</f>
        <v/>
      </c>
      <c r="H46" s="191" t="str">
        <f>IFERROR(VLOOKUP(A46,TableHandbook[],7,FALSE),"")</f>
        <v/>
      </c>
      <c r="I46" s="188" t="str">
        <f>IFERROR(VLOOKUP(A46,TableHandbook[],8,FALSE),"")</f>
        <v/>
      </c>
      <c r="J46" s="188" t="str">
        <f>IFERROR(VLOOKUP(A46,TableHandbook[],9,FALSE),"")</f>
        <v/>
      </c>
      <c r="K46" s="192" t="str">
        <f>IFERROR(VLOOKUP(A46,TableHandbook[],10,FALSE),"")</f>
        <v/>
      </c>
      <c r="L46" s="266"/>
      <c r="M46" s="193">
        <v>5</v>
      </c>
      <c r="N46" s="205"/>
      <c r="O46" s="205"/>
    </row>
    <row r="47" spans="1:15" s="206" customFormat="1" ht="20.100000000000001" customHeight="1" x14ac:dyDescent="0.15">
      <c r="A47" s="210" t="str">
        <f t="shared" si="1"/>
        <v/>
      </c>
      <c r="B47" s="211"/>
      <c r="C47" s="211" t="str">
        <f>IFERROR(IF(VLOOKUP($A47,TableHandbook[],3,FALSE)=0,"",VLOOKUP($A47,TableHandbook[],3,FALSE)),"")</f>
        <v/>
      </c>
      <c r="D47" s="217" t="str">
        <f>IFERROR(IF(VLOOKUP($A47,TableHandbook[],4,FALSE)=0,"",VLOOKUP($A47,TableHandbook[],4,FALSE)),"")</f>
        <v/>
      </c>
      <c r="E47" s="211"/>
      <c r="F47" s="213" t="str">
        <f>IFERROR(IF(VLOOKUP($A47,TableHandbook[],6,FALSE)=0,"",VLOOKUP($A47,TableHandbook[],6,FALSE)),"")</f>
        <v/>
      </c>
      <c r="G47" s="214" t="str">
        <f>IFERROR(IF(VLOOKUP($A47,TableHandbook[],5,FALSE)=0,"",VLOOKUP($A47,TableHandbook[],5,FALSE)),"")</f>
        <v/>
      </c>
      <c r="H47" s="191" t="str">
        <f>IFERROR(VLOOKUP(A47,TableHandbook[],7,FALSE),"")</f>
        <v/>
      </c>
      <c r="I47" s="188" t="str">
        <f>IFERROR(VLOOKUP(A47,TableHandbook[],8,FALSE),"")</f>
        <v/>
      </c>
      <c r="J47" s="188" t="str">
        <f>IFERROR(VLOOKUP(A47,TableHandbook[],9,FALSE),"")</f>
        <v/>
      </c>
      <c r="K47" s="192" t="str">
        <f>IFERROR(VLOOKUP(A47,TableHandbook[],10,FALSE),"")</f>
        <v/>
      </c>
      <c r="L47" s="266"/>
      <c r="M47" s="193">
        <v>6</v>
      </c>
      <c r="N47" s="205"/>
      <c r="O47" s="205"/>
    </row>
    <row r="48" spans="1:15" s="206" customFormat="1" ht="20.100000000000001" customHeight="1" x14ac:dyDescent="0.15">
      <c r="A48" s="210" t="str">
        <f t="shared" si="1"/>
        <v/>
      </c>
      <c r="B48" s="211"/>
      <c r="C48" s="211" t="str">
        <f>IFERROR(IF(VLOOKUP($A48,TableHandbook[],3,FALSE)=0,"",VLOOKUP($A48,TableHandbook[],3,FALSE)),"")</f>
        <v/>
      </c>
      <c r="D48" s="217" t="str">
        <f>IFERROR(IF(VLOOKUP($A48,TableHandbook[],4,FALSE)=0,"",VLOOKUP($A48,TableHandbook[],4,FALSE)),"")</f>
        <v/>
      </c>
      <c r="E48" s="211"/>
      <c r="F48" s="213" t="str">
        <f>IFERROR(IF(VLOOKUP($A48,TableHandbook[],6,FALSE)=0,"",VLOOKUP($A48,TableHandbook[],6,FALSE)),"")</f>
        <v/>
      </c>
      <c r="G48" s="214" t="str">
        <f>IFERROR(IF(VLOOKUP($A48,TableHandbook[],5,FALSE)=0,"",VLOOKUP($A48,TableHandbook[],5,FALSE)),"")</f>
        <v/>
      </c>
      <c r="H48" s="191" t="str">
        <f>IFERROR(VLOOKUP(A48,TableHandbook[],7,FALSE),"")</f>
        <v/>
      </c>
      <c r="I48" s="188" t="str">
        <f>IFERROR(VLOOKUP(A48,TableHandbook[],8,FALSE),"")</f>
        <v/>
      </c>
      <c r="J48" s="188" t="str">
        <f>IFERROR(VLOOKUP(A48,TableHandbook[],9,FALSE),"")</f>
        <v/>
      </c>
      <c r="K48" s="192" t="str">
        <f>IFERROR(VLOOKUP(A48,TableHandbook[],10,FALSE),"")</f>
        <v/>
      </c>
      <c r="L48" s="266"/>
      <c r="M48" s="193">
        <v>7</v>
      </c>
      <c r="N48" s="205"/>
      <c r="O48" s="205"/>
    </row>
    <row r="49" spans="1:15" s="206" customFormat="1" ht="20.100000000000001" customHeight="1" x14ac:dyDescent="0.15">
      <c r="A49" s="210" t="str">
        <f t="shared" si="1"/>
        <v/>
      </c>
      <c r="B49" s="211"/>
      <c r="C49" s="211" t="str">
        <f>IFERROR(IF(VLOOKUP($A49,TableHandbook[],3,FALSE)=0,"",VLOOKUP($A49,TableHandbook[],3,FALSE)),"")</f>
        <v/>
      </c>
      <c r="D49" s="217" t="str">
        <f>IFERROR(IF(VLOOKUP($A49,TableHandbook[],4,FALSE)=0,"",VLOOKUP($A49,TableHandbook[],4,FALSE)),"")</f>
        <v/>
      </c>
      <c r="E49" s="211"/>
      <c r="F49" s="213" t="str">
        <f>IFERROR(IF(VLOOKUP($A49,TableHandbook[],6,FALSE)=0,"",VLOOKUP($A49,TableHandbook[],6,FALSE)),"")</f>
        <v/>
      </c>
      <c r="G49" s="214" t="str">
        <f>IFERROR(IF(VLOOKUP($A49,TableHandbook[],5,FALSE)=0,"",VLOOKUP($A49,TableHandbook[],5,FALSE)),"")</f>
        <v/>
      </c>
      <c r="H49" s="191" t="str">
        <f>IFERROR(VLOOKUP(A49,TableHandbook[],7,FALSE),"")</f>
        <v/>
      </c>
      <c r="I49" s="188" t="str">
        <f>IFERROR(VLOOKUP(A49,TableHandbook[],8,FALSE),"")</f>
        <v/>
      </c>
      <c r="J49" s="188" t="str">
        <f>IFERROR(VLOOKUP(A49,TableHandbook[],9,FALSE),"")</f>
        <v/>
      </c>
      <c r="K49" s="192" t="str">
        <f>IFERROR(VLOOKUP(A49,TableHandbook[],10,FALSE),"")</f>
        <v/>
      </c>
      <c r="L49" s="266"/>
      <c r="M49" s="193">
        <v>8</v>
      </c>
      <c r="N49" s="205"/>
      <c r="O49" s="205"/>
    </row>
    <row r="50" spans="1:15" s="206" customFormat="1" ht="20.100000000000001" customHeight="1" x14ac:dyDescent="0.15">
      <c r="A50" s="210" t="str">
        <f t="shared" si="1"/>
        <v/>
      </c>
      <c r="B50" s="211"/>
      <c r="C50" s="211" t="str">
        <f>IFERROR(IF(VLOOKUP($A50,TableHandbook[],3,FALSE)=0,"",VLOOKUP($A50,TableHandbook[],3,FALSE)),"")</f>
        <v/>
      </c>
      <c r="D50" s="217" t="str">
        <f>IFERROR(IF(VLOOKUP($A50,TableHandbook[],4,FALSE)=0,"",VLOOKUP($A50,TableHandbook[],4,FALSE)),"")</f>
        <v/>
      </c>
      <c r="E50" s="214"/>
      <c r="F50" s="213" t="str">
        <f>IFERROR(IF(VLOOKUP($A50,TableHandbook[],6,FALSE)=0,"",VLOOKUP($A50,TableHandbook[],6,FALSE)),"")</f>
        <v/>
      </c>
      <c r="G50" s="214" t="str">
        <f>IFERROR(IF(VLOOKUP($A50,TableHandbook[],5,FALSE)=0,"",VLOOKUP($A50,TableHandbook[],5,FALSE)),"")</f>
        <v/>
      </c>
      <c r="H50" s="191" t="str">
        <f>IFERROR(VLOOKUP(A50,TableHandbook[],7,FALSE),"")</f>
        <v/>
      </c>
      <c r="I50" s="188" t="str">
        <f>IFERROR(VLOOKUP(A50,TableHandbook[],8,FALSE),"")</f>
        <v/>
      </c>
      <c r="J50" s="188" t="str">
        <f>IFERROR(VLOOKUP(A50,TableHandbook[],9,FALSE),"")</f>
        <v/>
      </c>
      <c r="K50" s="192" t="str">
        <f>IFERROR(VLOOKUP(A50,TableHandbook[],10,FALSE),"")</f>
        <v/>
      </c>
      <c r="L50" s="266"/>
      <c r="M50" s="193">
        <v>9</v>
      </c>
      <c r="N50" s="205"/>
      <c r="O50" s="205"/>
    </row>
    <row r="51" spans="1:15" s="225" customFormat="1" ht="13.9" customHeight="1" x14ac:dyDescent="0.2">
      <c r="A51" s="218"/>
      <c r="B51" s="218"/>
      <c r="C51" s="218"/>
      <c r="D51" s="219"/>
      <c r="E51" s="220"/>
      <c r="F51" s="221"/>
      <c r="G51" s="222"/>
      <c r="H51" s="222"/>
      <c r="I51" s="222"/>
      <c r="J51" s="222"/>
      <c r="K51" s="222"/>
      <c r="L51" s="270"/>
      <c r="M51" s="223"/>
      <c r="N51" s="224"/>
      <c r="O51" s="224"/>
    </row>
    <row r="52" spans="1:15" ht="17.25" x14ac:dyDescent="0.25">
      <c r="A52" s="226" t="str">
        <f>D6</f>
        <v>Choose your Specialisation (drop-down list)</v>
      </c>
      <c r="B52" s="227"/>
      <c r="C52" s="227"/>
      <c r="D52" s="228"/>
      <c r="E52" s="229"/>
      <c r="F52" s="230"/>
      <c r="G52" s="231"/>
      <c r="H52" s="232" t="s">
        <v>18</v>
      </c>
      <c r="I52" s="233"/>
      <c r="J52" s="234"/>
      <c r="K52" s="235"/>
      <c r="L52" s="271" t="e">
        <f>VLOOKUP(D6,TableSpecialisations[],2,FALSE)</f>
        <v>#N/A</v>
      </c>
      <c r="M52" s="236"/>
    </row>
    <row r="53" spans="1:15" s="245" customFormat="1" x14ac:dyDescent="0.25">
      <c r="A53" s="237"/>
      <c r="B53" s="238"/>
      <c r="C53" s="175" t="s">
        <v>20</v>
      </c>
      <c r="D53" s="176" t="s">
        <v>3</v>
      </c>
      <c r="E53" s="239"/>
      <c r="F53" s="240" t="s">
        <v>32</v>
      </c>
      <c r="G53" s="239" t="s">
        <v>23</v>
      </c>
      <c r="H53" s="241" t="s">
        <v>24</v>
      </c>
      <c r="I53" s="242" t="s">
        <v>25</v>
      </c>
      <c r="J53" s="242" t="s">
        <v>26</v>
      </c>
      <c r="K53" s="243" t="s">
        <v>27</v>
      </c>
      <c r="L53" s="244"/>
      <c r="M53" s="236"/>
    </row>
    <row r="54" spans="1:15" x14ac:dyDescent="0.25">
      <c r="A54" s="246" t="str">
        <f t="shared" ref="A54:A62" si="2">IFERROR(IF(HLOOKUP($L$52,RangeSpecSets,M54,FALSE)=0,"",HLOOKUP($L$52,RangeSpecSets,M54,FALSE)),"")</f>
        <v/>
      </c>
      <c r="B54" s="247" t="str">
        <f>IFERROR(IF(VLOOKUP($A54,TableHandbook[],2,FALSE)=0,"",VLOOKUP($A54,TableHandbook[],2,FALSE)),"")</f>
        <v/>
      </c>
      <c r="C54" s="248" t="str">
        <f>IFERROR(IF(VLOOKUP($A54,TableHandbook[],3,FALSE)=0,"",VLOOKUP($A54,TableHandbook[],3,FALSE)),"")</f>
        <v/>
      </c>
      <c r="D54" s="248" t="str">
        <f>IFERROR(IF(VLOOKUP($A54,TableHandbook[],4,FALSE)=0,"",VLOOKUP($A54,TableHandbook[],4,FALSE)),"")</f>
        <v/>
      </c>
      <c r="E54" s="249"/>
      <c r="F54" s="190" t="str">
        <f>IFERROR(IF(VLOOKUP($A54,TableHandbook[],6,FALSE)=0,"",VLOOKUP($A54,TableHandbook[],6,FALSE)),"")</f>
        <v/>
      </c>
      <c r="G54" s="249" t="str">
        <f>IFERROR(IF(VLOOKUP($A54,TableHandbook[],5,FALSE)=0,"",VLOOKUP($A54,TableHandbook[],5,FALSE)),"")</f>
        <v/>
      </c>
      <c r="H54" s="250" t="str">
        <f>IFERROR(VLOOKUP(A54,TableHandbook[],7,FALSE),"")</f>
        <v/>
      </c>
      <c r="I54" s="251" t="str">
        <f>IFERROR(VLOOKUP(A54,TableHandbook[],8,FALSE),"")</f>
        <v/>
      </c>
      <c r="J54" s="251" t="str">
        <f>IFERROR(VLOOKUP(A54,TableHandbook[],9,FALSE),"")</f>
        <v/>
      </c>
      <c r="K54" s="252" t="str">
        <f>IFERROR(VLOOKUP(A54,TableHandbook[],10,FALSE),"")</f>
        <v/>
      </c>
      <c r="L54" s="268"/>
      <c r="M54" s="193">
        <v>2</v>
      </c>
    </row>
    <row r="55" spans="1:15" x14ac:dyDescent="0.25">
      <c r="A55" s="246" t="str">
        <f t="shared" si="2"/>
        <v/>
      </c>
      <c r="B55" s="247" t="str">
        <f>IFERROR(IF(VLOOKUP($A55,TableHandbook[],2,FALSE)=0,"",VLOOKUP($A55,TableHandbook[],2,FALSE)),"")</f>
        <v/>
      </c>
      <c r="C55" s="248" t="str">
        <f>IFERROR(IF(VLOOKUP($A55,TableHandbook[],3,FALSE)=0,"",VLOOKUP($A55,TableHandbook[],3,FALSE)),"")</f>
        <v/>
      </c>
      <c r="D55" s="248" t="str">
        <f>IFERROR(IF(VLOOKUP($A55,TableHandbook[],4,FALSE)=0,"",VLOOKUP($A55,TableHandbook[],4,FALSE)),"")</f>
        <v/>
      </c>
      <c r="E55" s="249"/>
      <c r="F55" s="190" t="str">
        <f>IFERROR(IF(VLOOKUP($A55,TableHandbook[],6,FALSE)=0,"",VLOOKUP($A55,TableHandbook[],6,FALSE)),"")</f>
        <v/>
      </c>
      <c r="G55" s="249" t="str">
        <f>IFERROR(IF(VLOOKUP($A55,TableHandbook[],5,FALSE)=0,"",VLOOKUP($A55,TableHandbook[],5,FALSE)),"")</f>
        <v/>
      </c>
      <c r="H55" s="250" t="str">
        <f>IFERROR(VLOOKUP(A55,TableHandbook[],7,FALSE),"")</f>
        <v/>
      </c>
      <c r="I55" s="251" t="str">
        <f>IFERROR(VLOOKUP(A55,TableHandbook[],8,FALSE),"")</f>
        <v/>
      </c>
      <c r="J55" s="251" t="str">
        <f>IFERROR(VLOOKUP(A55,TableHandbook[],9,FALSE),"")</f>
        <v/>
      </c>
      <c r="K55" s="252" t="str">
        <f>IFERROR(VLOOKUP(A55,TableHandbook[],10,FALSE),"")</f>
        <v/>
      </c>
      <c r="L55" s="268"/>
      <c r="M55" s="193">
        <v>3</v>
      </c>
    </row>
    <row r="56" spans="1:15" x14ac:dyDescent="0.25">
      <c r="A56" s="246" t="str">
        <f t="shared" si="2"/>
        <v/>
      </c>
      <c r="B56" s="247" t="str">
        <f>IFERROR(IF(VLOOKUP($A56,TableHandbook[],2,FALSE)=0,"",VLOOKUP($A56,TableHandbook[],2,FALSE)),"")</f>
        <v/>
      </c>
      <c r="C56" s="248" t="str">
        <f>IFERROR(IF(VLOOKUP($A56,TableHandbook[],3,FALSE)=0,"",VLOOKUP($A56,TableHandbook[],3,FALSE)),"")</f>
        <v/>
      </c>
      <c r="D56" s="248" t="str">
        <f>IFERROR(IF(VLOOKUP($A56,TableHandbook[],4,FALSE)=0,"",VLOOKUP($A56,TableHandbook[],4,FALSE)),"")</f>
        <v/>
      </c>
      <c r="E56" s="249"/>
      <c r="F56" s="190" t="str">
        <f>IFERROR(IF(VLOOKUP($A56,TableHandbook[],6,FALSE)=0,"",VLOOKUP($A56,TableHandbook[],6,FALSE)),"")</f>
        <v/>
      </c>
      <c r="G56" s="249" t="str">
        <f>IFERROR(IF(VLOOKUP($A56,TableHandbook[],5,FALSE)=0,"",VLOOKUP($A56,TableHandbook[],5,FALSE)),"")</f>
        <v/>
      </c>
      <c r="H56" s="250" t="str">
        <f>IFERROR(VLOOKUP(A56,TableHandbook[],7,FALSE),"")</f>
        <v/>
      </c>
      <c r="I56" s="251" t="str">
        <f>IFERROR(VLOOKUP(A56,TableHandbook[],8,FALSE),"")</f>
        <v/>
      </c>
      <c r="J56" s="251" t="str">
        <f>IFERROR(VLOOKUP(A56,TableHandbook[],9,FALSE),"")</f>
        <v/>
      </c>
      <c r="K56" s="252" t="str">
        <f>IFERROR(VLOOKUP(A56,TableHandbook[],10,FALSE),"")</f>
        <v/>
      </c>
      <c r="L56" s="268"/>
      <c r="M56" s="193">
        <v>4</v>
      </c>
    </row>
    <row r="57" spans="1:15" x14ac:dyDescent="0.25">
      <c r="A57" s="246" t="str">
        <f t="shared" si="2"/>
        <v/>
      </c>
      <c r="B57" s="247" t="str">
        <f>IFERROR(IF(VLOOKUP($A57,TableHandbook[],2,FALSE)=0,"",VLOOKUP($A57,TableHandbook[],2,FALSE)),"")</f>
        <v/>
      </c>
      <c r="C57" s="248" t="str">
        <f>IFERROR(IF(VLOOKUP($A57,TableHandbook[],3,FALSE)=0,"",VLOOKUP($A57,TableHandbook[],3,FALSE)),"")</f>
        <v/>
      </c>
      <c r="D57" s="248" t="str">
        <f>IFERROR(IF(VLOOKUP($A57,TableHandbook[],4,FALSE)=0,"",VLOOKUP($A57,TableHandbook[],4,FALSE)),"")</f>
        <v/>
      </c>
      <c r="E57" s="249"/>
      <c r="F57" s="190" t="str">
        <f>IFERROR(IF(VLOOKUP($A57,TableHandbook[],6,FALSE)=0,"",VLOOKUP($A57,TableHandbook[],6,FALSE)),"")</f>
        <v/>
      </c>
      <c r="G57" s="249" t="str">
        <f>IFERROR(IF(VLOOKUP($A57,TableHandbook[],5,FALSE)=0,"",VLOOKUP($A57,TableHandbook[],5,FALSE)),"")</f>
        <v/>
      </c>
      <c r="H57" s="250" t="str">
        <f>IFERROR(VLOOKUP(A57,TableHandbook[],7,FALSE),"")</f>
        <v/>
      </c>
      <c r="I57" s="251" t="str">
        <f>IFERROR(VLOOKUP(A57,TableHandbook[],8,FALSE),"")</f>
        <v/>
      </c>
      <c r="J57" s="251" t="str">
        <f>IFERROR(VLOOKUP(A57,TableHandbook[],9,FALSE),"")</f>
        <v/>
      </c>
      <c r="K57" s="252" t="str">
        <f>IFERROR(VLOOKUP(A57,TableHandbook[],10,FALSE),"")</f>
        <v/>
      </c>
      <c r="L57" s="268"/>
      <c r="M57" s="193">
        <v>5</v>
      </c>
    </row>
    <row r="58" spans="1:15" x14ac:dyDescent="0.25">
      <c r="A58" s="246" t="str">
        <f t="shared" si="2"/>
        <v/>
      </c>
      <c r="B58" s="247" t="str">
        <f>IFERROR(IF(VLOOKUP($A58,TableHandbook[],2,FALSE)=0,"",VLOOKUP($A58,TableHandbook[],2,FALSE)),"")</f>
        <v/>
      </c>
      <c r="C58" s="248" t="str">
        <f>IFERROR(IF(VLOOKUP($A58,TableHandbook[],3,FALSE)=0,"",VLOOKUP($A58,TableHandbook[],3,FALSE)),"")</f>
        <v/>
      </c>
      <c r="D58" s="248" t="str">
        <f>IFERROR(IF(VLOOKUP($A58,TableHandbook[],4,FALSE)=0,"",VLOOKUP($A58,TableHandbook[],4,FALSE)),"")</f>
        <v/>
      </c>
      <c r="E58" s="249"/>
      <c r="F58" s="190" t="str">
        <f>IFERROR(IF(VLOOKUP($A58,TableHandbook[],6,FALSE)=0,"",VLOOKUP($A58,TableHandbook[],6,FALSE)),"")</f>
        <v/>
      </c>
      <c r="G58" s="249" t="str">
        <f>IFERROR(IF(VLOOKUP($A58,TableHandbook[],5,FALSE)=0,"",VLOOKUP($A58,TableHandbook[],5,FALSE)),"")</f>
        <v/>
      </c>
      <c r="H58" s="250" t="str">
        <f>IFERROR(VLOOKUP(A58,TableHandbook[],7,FALSE),"")</f>
        <v/>
      </c>
      <c r="I58" s="251" t="str">
        <f>IFERROR(VLOOKUP(A58,TableHandbook[],8,FALSE),"")</f>
        <v/>
      </c>
      <c r="J58" s="251" t="str">
        <f>IFERROR(VLOOKUP(A58,TableHandbook[],9,FALSE),"")</f>
        <v/>
      </c>
      <c r="K58" s="252" t="str">
        <f>IFERROR(VLOOKUP(A58,TableHandbook[],10,FALSE),"")</f>
        <v/>
      </c>
      <c r="L58" s="268"/>
      <c r="M58" s="193">
        <v>6</v>
      </c>
    </row>
    <row r="59" spans="1:15" x14ac:dyDescent="0.25">
      <c r="A59" s="246" t="str">
        <f t="shared" si="2"/>
        <v/>
      </c>
      <c r="B59" s="247" t="str">
        <f>IFERROR(IF(VLOOKUP($A59,TableHandbook[],2,FALSE)=0,"",VLOOKUP($A59,TableHandbook[],2,FALSE)),"")</f>
        <v/>
      </c>
      <c r="C59" s="248" t="str">
        <f>IFERROR(IF(VLOOKUP($A59,TableHandbook[],3,FALSE)=0,"",VLOOKUP($A59,TableHandbook[],3,FALSE)),"")</f>
        <v/>
      </c>
      <c r="D59" s="248" t="str">
        <f>IFERROR(IF(VLOOKUP($A59,TableHandbook[],4,FALSE)=0,"",VLOOKUP($A59,TableHandbook[],4,FALSE)),"")</f>
        <v/>
      </c>
      <c r="E59" s="249"/>
      <c r="F59" s="190" t="str">
        <f>IFERROR(IF(VLOOKUP($A59,TableHandbook[],6,FALSE)=0,"",VLOOKUP($A59,TableHandbook[],6,FALSE)),"")</f>
        <v/>
      </c>
      <c r="G59" s="249" t="str">
        <f>IFERROR(IF(VLOOKUP($A59,TableHandbook[],5,FALSE)=0,"",VLOOKUP($A59,TableHandbook[],5,FALSE)),"")</f>
        <v/>
      </c>
      <c r="H59" s="250" t="str">
        <f>IFERROR(VLOOKUP(A59,TableHandbook[],7,FALSE),"")</f>
        <v/>
      </c>
      <c r="I59" s="251" t="str">
        <f>IFERROR(VLOOKUP(A59,TableHandbook[],8,FALSE),"")</f>
        <v/>
      </c>
      <c r="J59" s="251" t="str">
        <f>IFERROR(VLOOKUP(A59,TableHandbook[],9,FALSE),"")</f>
        <v/>
      </c>
      <c r="K59" s="252" t="str">
        <f>IFERROR(VLOOKUP(A59,TableHandbook[],10,FALSE),"")</f>
        <v/>
      </c>
      <c r="L59" s="268"/>
      <c r="M59" s="193">
        <v>7</v>
      </c>
    </row>
    <row r="60" spans="1:15" x14ac:dyDescent="0.25">
      <c r="A60" s="246" t="str">
        <f t="shared" si="2"/>
        <v/>
      </c>
      <c r="B60" s="247" t="str">
        <f>IFERROR(IF(VLOOKUP($A60,TableHandbook[],2,FALSE)=0,"",VLOOKUP($A60,TableHandbook[],2,FALSE)),"")</f>
        <v/>
      </c>
      <c r="C60" s="248" t="str">
        <f>IFERROR(IF(VLOOKUP($A60,TableHandbook[],3,FALSE)=0,"",VLOOKUP($A60,TableHandbook[],3,FALSE)),"")</f>
        <v/>
      </c>
      <c r="D60" s="248" t="str">
        <f>IFERROR(IF(VLOOKUP($A60,TableHandbook[],4,FALSE)=0,"",VLOOKUP($A60,TableHandbook[],4,FALSE)),"")</f>
        <v/>
      </c>
      <c r="E60" s="249"/>
      <c r="F60" s="190" t="str">
        <f>IFERROR(IF(VLOOKUP($A60,TableHandbook[],6,FALSE)=0,"",VLOOKUP($A60,TableHandbook[],6,FALSE)),"")</f>
        <v/>
      </c>
      <c r="G60" s="249" t="str">
        <f>IFERROR(IF(VLOOKUP($A60,TableHandbook[],5,FALSE)=0,"",VLOOKUP($A60,TableHandbook[],5,FALSE)),"")</f>
        <v/>
      </c>
      <c r="H60" s="250" t="str">
        <f>IFERROR(VLOOKUP(A60,TableHandbook[],7,FALSE),"")</f>
        <v/>
      </c>
      <c r="I60" s="251" t="str">
        <f>IFERROR(VLOOKUP(A60,TableHandbook[],8,FALSE),"")</f>
        <v/>
      </c>
      <c r="J60" s="251" t="str">
        <f>IFERROR(VLOOKUP(A60,TableHandbook[],9,FALSE),"")</f>
        <v/>
      </c>
      <c r="K60" s="252" t="str">
        <f>IFERROR(VLOOKUP(A60,TableHandbook[],10,FALSE),"")</f>
        <v/>
      </c>
      <c r="L60" s="268"/>
      <c r="M60" s="193">
        <v>8</v>
      </c>
    </row>
    <row r="61" spans="1:15" x14ac:dyDescent="0.25">
      <c r="A61" s="246" t="str">
        <f t="shared" si="2"/>
        <v/>
      </c>
      <c r="B61" s="247" t="str">
        <f>IFERROR(IF(VLOOKUP($A61,TableHandbook[],2,FALSE)=0,"",VLOOKUP($A61,TableHandbook[],2,FALSE)),"")</f>
        <v/>
      </c>
      <c r="C61" s="248" t="str">
        <f>IFERROR(IF(VLOOKUP($A61,TableHandbook[],3,FALSE)=0,"",VLOOKUP($A61,TableHandbook[],3,FALSE)),"")</f>
        <v/>
      </c>
      <c r="D61" s="248" t="str">
        <f>IFERROR(IF(VLOOKUP($A61,TableHandbook[],4,FALSE)=0,"",VLOOKUP($A61,TableHandbook[],4,FALSE)),"")</f>
        <v/>
      </c>
      <c r="E61" s="249"/>
      <c r="F61" s="190" t="str">
        <f>IFERROR(IF(VLOOKUP($A61,TableHandbook[],6,FALSE)=0,"",VLOOKUP($A61,TableHandbook[],6,FALSE)),"")</f>
        <v/>
      </c>
      <c r="G61" s="249" t="str">
        <f>IFERROR(IF(VLOOKUP($A61,TableHandbook[],5,FALSE)=0,"",VLOOKUP($A61,TableHandbook[],5,FALSE)),"")</f>
        <v/>
      </c>
      <c r="H61" s="250" t="str">
        <f>IFERROR(VLOOKUP(A61,TableHandbook[],7,FALSE),"")</f>
        <v/>
      </c>
      <c r="I61" s="251" t="str">
        <f>IFERROR(VLOOKUP(A61,TableHandbook[],8,FALSE),"")</f>
        <v/>
      </c>
      <c r="J61" s="251" t="str">
        <f>IFERROR(VLOOKUP(A61,TableHandbook[],9,FALSE),"")</f>
        <v/>
      </c>
      <c r="K61" s="252" t="str">
        <f>IFERROR(VLOOKUP(A61,TableHandbook[],10,FALSE),"")</f>
        <v/>
      </c>
      <c r="L61" s="268"/>
      <c r="M61" s="193">
        <v>9</v>
      </c>
    </row>
    <row r="62" spans="1:15" x14ac:dyDescent="0.25">
      <c r="A62" s="246" t="str">
        <f t="shared" si="2"/>
        <v/>
      </c>
      <c r="B62" s="247" t="str">
        <f>IFERROR(IF(VLOOKUP($A62,TableHandbook[],2,FALSE)=0,"",VLOOKUP($A62,TableHandbook[],2,FALSE)),"")</f>
        <v/>
      </c>
      <c r="C62" s="248" t="str">
        <f>IFERROR(IF(VLOOKUP($A62,TableHandbook[],3,FALSE)=0,"",VLOOKUP($A62,TableHandbook[],3,FALSE)),"")</f>
        <v/>
      </c>
      <c r="D62" s="248" t="str">
        <f>IFERROR(IF(VLOOKUP($A62,TableHandbook[],4,FALSE)=0,"",VLOOKUP($A62,TableHandbook[],4,FALSE)),"")</f>
        <v/>
      </c>
      <c r="E62" s="249"/>
      <c r="F62" s="190" t="str">
        <f>IFERROR(IF(VLOOKUP($A62,TableHandbook[],6,FALSE)=0,"",VLOOKUP($A62,TableHandbook[],6,FALSE)),"")</f>
        <v/>
      </c>
      <c r="G62" s="249" t="str">
        <f>IFERROR(IF(VLOOKUP($A62,TableHandbook[],5,FALSE)=0,"",VLOOKUP($A62,TableHandbook[],5,FALSE)),"")</f>
        <v/>
      </c>
      <c r="H62" s="250" t="str">
        <f>IFERROR(VLOOKUP(A62,TableHandbook[],7,FALSE),"")</f>
        <v/>
      </c>
      <c r="I62" s="251" t="str">
        <f>IFERROR(VLOOKUP(A62,TableHandbook[],8,FALSE),"")</f>
        <v/>
      </c>
      <c r="J62" s="251" t="str">
        <f>IFERROR(VLOOKUP(A62,TableHandbook[],9,FALSE),"")</f>
        <v/>
      </c>
      <c r="K62" s="252" t="str">
        <f>IFERROR(VLOOKUP(A62,TableHandbook[],10,FALSE),"")</f>
        <v/>
      </c>
      <c r="L62" s="268"/>
      <c r="M62" s="193">
        <v>10</v>
      </c>
    </row>
    <row r="63" spans="1:15" x14ac:dyDescent="0.25">
      <c r="A63" s="246" t="str">
        <f t="shared" ref="A63:A67" si="3">IFERROR(IF(HLOOKUP($L$52,RangeSpecSets,M63,FALSE)=0,"",HLOOKUP($L$52,RangeSpecSets,M63,FALSE)),"")</f>
        <v/>
      </c>
      <c r="B63" s="247" t="str">
        <f>IFERROR(IF(VLOOKUP($A63,TableHandbook[],2,FALSE)=0,"",VLOOKUP($A63,TableHandbook[],2,FALSE)),"")</f>
        <v/>
      </c>
      <c r="C63" s="248" t="str">
        <f>IFERROR(IF(VLOOKUP($A63,TableHandbook[],3,FALSE)=0,"",VLOOKUP($A63,TableHandbook[],3,FALSE)),"")</f>
        <v/>
      </c>
      <c r="D63" s="248" t="str">
        <f>IFERROR(IF(VLOOKUP($A63,TableHandbook[],4,FALSE)=0,"",VLOOKUP($A63,TableHandbook[],4,FALSE)),"")</f>
        <v/>
      </c>
      <c r="E63" s="249"/>
      <c r="F63" s="190" t="str">
        <f>IFERROR(IF(VLOOKUP($A63,TableHandbook[],6,FALSE)=0,"",VLOOKUP($A63,TableHandbook[],6,FALSE)),"")</f>
        <v/>
      </c>
      <c r="G63" s="249" t="str">
        <f>IFERROR(IF(VLOOKUP($A63,TableHandbook[],5,FALSE)=0,"",VLOOKUP($A63,TableHandbook[],5,FALSE)),"")</f>
        <v/>
      </c>
      <c r="H63" s="250" t="str">
        <f>IFERROR(VLOOKUP(A63,TableHandbook[],7,FALSE),"")</f>
        <v/>
      </c>
      <c r="I63" s="251" t="str">
        <f>IFERROR(VLOOKUP(A63,TableHandbook[],8,FALSE),"")</f>
        <v/>
      </c>
      <c r="J63" s="251" t="str">
        <f>IFERROR(VLOOKUP(A63,TableHandbook[],9,FALSE),"")</f>
        <v/>
      </c>
      <c r="K63" s="252" t="str">
        <f>IFERROR(VLOOKUP(A63,TableHandbook[],10,FALSE),"")</f>
        <v/>
      </c>
      <c r="L63" s="268"/>
      <c r="M63" s="193">
        <v>11</v>
      </c>
    </row>
    <row r="64" spans="1:15" x14ac:dyDescent="0.25">
      <c r="A64" s="246" t="str">
        <f t="shared" si="3"/>
        <v/>
      </c>
      <c r="B64" s="247" t="str">
        <f>IFERROR(IF(VLOOKUP($A64,TableHandbook[],2,FALSE)=0,"",VLOOKUP($A64,TableHandbook[],2,FALSE)),"")</f>
        <v/>
      </c>
      <c r="C64" s="248" t="str">
        <f>IFERROR(IF(VLOOKUP($A64,TableHandbook[],3,FALSE)=0,"",VLOOKUP($A64,TableHandbook[],3,FALSE)),"")</f>
        <v/>
      </c>
      <c r="D64" s="248" t="str">
        <f>IFERROR(IF(VLOOKUP($A64,TableHandbook[],4,FALSE)=0,"",VLOOKUP($A64,TableHandbook[],4,FALSE)),"")</f>
        <v/>
      </c>
      <c r="E64" s="249"/>
      <c r="F64" s="190" t="str">
        <f>IFERROR(IF(VLOOKUP($A64,TableHandbook[],6,FALSE)=0,"",VLOOKUP($A64,TableHandbook[],6,FALSE)),"")</f>
        <v/>
      </c>
      <c r="G64" s="249" t="str">
        <f>IFERROR(IF(VLOOKUP($A64,TableHandbook[],5,FALSE)=0,"",VLOOKUP($A64,TableHandbook[],5,FALSE)),"")</f>
        <v/>
      </c>
      <c r="H64" s="250" t="str">
        <f>IFERROR(VLOOKUP(A64,TableHandbook[],7,FALSE),"")</f>
        <v/>
      </c>
      <c r="I64" s="251" t="str">
        <f>IFERROR(VLOOKUP(A64,TableHandbook[],8,FALSE),"")</f>
        <v/>
      </c>
      <c r="J64" s="251" t="str">
        <f>IFERROR(VLOOKUP(A64,TableHandbook[],9,FALSE),"")</f>
        <v/>
      </c>
      <c r="K64" s="252" t="str">
        <f>IFERROR(VLOOKUP(A64,TableHandbook[],10,FALSE),"")</f>
        <v/>
      </c>
      <c r="L64" s="268"/>
      <c r="M64" s="193">
        <v>12</v>
      </c>
    </row>
    <row r="65" spans="1:15" x14ac:dyDescent="0.25">
      <c r="A65" s="246" t="str">
        <f t="shared" si="3"/>
        <v/>
      </c>
      <c r="B65" s="247" t="str">
        <f>IFERROR(IF(VLOOKUP($A65,TableHandbook[],2,FALSE)=0,"",VLOOKUP($A65,TableHandbook[],2,FALSE)),"")</f>
        <v/>
      </c>
      <c r="C65" s="248" t="str">
        <f>IFERROR(IF(VLOOKUP($A65,TableHandbook[],3,FALSE)=0,"",VLOOKUP($A65,TableHandbook[],3,FALSE)),"")</f>
        <v/>
      </c>
      <c r="D65" s="248" t="str">
        <f>IFERROR(IF(VLOOKUP($A65,TableHandbook[],4,FALSE)=0,"",VLOOKUP($A65,TableHandbook[],4,FALSE)),"")</f>
        <v/>
      </c>
      <c r="E65" s="249"/>
      <c r="F65" s="190" t="str">
        <f>IFERROR(IF(VLOOKUP($A65,TableHandbook[],6,FALSE)=0,"",VLOOKUP($A65,TableHandbook[],6,FALSE)),"")</f>
        <v/>
      </c>
      <c r="G65" s="249" t="str">
        <f>IFERROR(IF(VLOOKUP($A65,TableHandbook[],5,FALSE)=0,"",VLOOKUP($A65,TableHandbook[],5,FALSE)),"")</f>
        <v/>
      </c>
      <c r="H65" s="250" t="str">
        <f>IFERROR(VLOOKUP(A65,TableHandbook[],7,FALSE),"")</f>
        <v/>
      </c>
      <c r="I65" s="251" t="str">
        <f>IFERROR(VLOOKUP(A65,TableHandbook[],8,FALSE),"")</f>
        <v/>
      </c>
      <c r="J65" s="251" t="str">
        <f>IFERROR(VLOOKUP(A65,TableHandbook[],9,FALSE),"")</f>
        <v/>
      </c>
      <c r="K65" s="252" t="str">
        <f>IFERROR(VLOOKUP(A65,TableHandbook[],10,FALSE),"")</f>
        <v/>
      </c>
      <c r="L65" s="268"/>
      <c r="M65" s="193">
        <v>13</v>
      </c>
    </row>
    <row r="66" spans="1:15" x14ac:dyDescent="0.25">
      <c r="A66" s="246" t="str">
        <f t="shared" si="3"/>
        <v/>
      </c>
      <c r="B66" s="247" t="str">
        <f>IFERROR(IF(VLOOKUP($A66,TableHandbook[],2,FALSE)=0,"",VLOOKUP($A66,TableHandbook[],2,FALSE)),"")</f>
        <v/>
      </c>
      <c r="C66" s="248" t="str">
        <f>IFERROR(IF(VLOOKUP($A66,TableHandbook[],3,FALSE)=0,"",VLOOKUP($A66,TableHandbook[],3,FALSE)),"")</f>
        <v/>
      </c>
      <c r="D66" s="248" t="str">
        <f>IFERROR(IF(VLOOKUP($A66,TableHandbook[],4,FALSE)=0,"",VLOOKUP($A66,TableHandbook[],4,FALSE)),"")</f>
        <v/>
      </c>
      <c r="E66" s="249"/>
      <c r="F66" s="190" t="str">
        <f>IFERROR(IF(VLOOKUP($A66,TableHandbook[],6,FALSE)=0,"",VLOOKUP($A66,TableHandbook[],6,FALSE)),"")</f>
        <v/>
      </c>
      <c r="G66" s="249" t="str">
        <f>IFERROR(IF(VLOOKUP($A66,TableHandbook[],5,FALSE)=0,"",VLOOKUP($A66,TableHandbook[],5,FALSE)),"")</f>
        <v/>
      </c>
      <c r="H66" s="250" t="str">
        <f>IFERROR(VLOOKUP(A66,TableHandbook[],7,FALSE),"")</f>
        <v/>
      </c>
      <c r="I66" s="251" t="str">
        <f>IFERROR(VLOOKUP(A66,TableHandbook[],8,FALSE),"")</f>
        <v/>
      </c>
      <c r="J66" s="251" t="str">
        <f>IFERROR(VLOOKUP(A66,TableHandbook[],9,FALSE),"")</f>
        <v/>
      </c>
      <c r="K66" s="252" t="str">
        <f>IFERROR(VLOOKUP(A66,TableHandbook[],10,FALSE),"")</f>
        <v/>
      </c>
      <c r="L66" s="268"/>
      <c r="M66" s="193">
        <v>14</v>
      </c>
    </row>
    <row r="67" spans="1:15" x14ac:dyDescent="0.25">
      <c r="A67" s="246" t="str">
        <f t="shared" si="3"/>
        <v/>
      </c>
      <c r="B67" s="247" t="str">
        <f>IFERROR(IF(VLOOKUP($A67,TableHandbook[],2,FALSE)=0,"",VLOOKUP($A67,TableHandbook[],2,FALSE)),"")</f>
        <v/>
      </c>
      <c r="C67" s="248" t="str">
        <f>IFERROR(IF(VLOOKUP($A67,TableHandbook[],3,FALSE)=0,"",VLOOKUP($A67,TableHandbook[],3,FALSE)),"")</f>
        <v/>
      </c>
      <c r="D67" s="248" t="str">
        <f>IFERROR(IF(VLOOKUP($A67,TableHandbook[],4,FALSE)=0,"",VLOOKUP($A67,TableHandbook[],4,FALSE)),"")</f>
        <v/>
      </c>
      <c r="E67" s="249"/>
      <c r="F67" s="190" t="str">
        <f>IFERROR(IF(VLOOKUP($A67,TableHandbook[],6,FALSE)=0,"",VLOOKUP($A67,TableHandbook[],6,FALSE)),"")</f>
        <v/>
      </c>
      <c r="G67" s="249" t="str">
        <f>IFERROR(IF(VLOOKUP($A67,TableHandbook[],5,FALSE)=0,"",VLOOKUP($A67,TableHandbook[],5,FALSE)),"")</f>
        <v/>
      </c>
      <c r="H67" s="250" t="str">
        <f>IFERROR(VLOOKUP(A67,TableHandbook[],7,FALSE),"")</f>
        <v/>
      </c>
      <c r="I67" s="251" t="str">
        <f>IFERROR(VLOOKUP(A67,TableHandbook[],8,FALSE),"")</f>
        <v/>
      </c>
      <c r="J67" s="251" t="str">
        <f>IFERROR(VLOOKUP(A67,TableHandbook[],9,FALSE),"")</f>
        <v/>
      </c>
      <c r="K67" s="252" t="str">
        <f>IFERROR(VLOOKUP(A67,TableHandbook[],10,FALSE),"")</f>
        <v/>
      </c>
      <c r="L67" s="268"/>
      <c r="M67" s="193">
        <v>15</v>
      </c>
    </row>
    <row r="68" spans="1:15" ht="19.5" customHeight="1" x14ac:dyDescent="0.25">
      <c r="A68" s="253"/>
      <c r="B68" s="253"/>
      <c r="C68" s="254"/>
      <c r="D68" s="254"/>
      <c r="E68" s="255"/>
      <c r="F68" s="256"/>
      <c r="G68" s="255"/>
      <c r="H68" s="257"/>
      <c r="I68" s="257"/>
      <c r="J68" s="257"/>
      <c r="K68" s="257"/>
      <c r="L68" s="258"/>
      <c r="M68" s="193"/>
    </row>
    <row r="69" spans="1:15" ht="32.25" customHeight="1" x14ac:dyDescent="0.25">
      <c r="A69" s="265" t="s">
        <v>33</v>
      </c>
      <c r="B69" s="265"/>
      <c r="C69" s="265"/>
      <c r="D69" s="265"/>
      <c r="E69" s="265"/>
      <c r="F69" s="265"/>
      <c r="G69" s="265"/>
      <c r="H69" s="265"/>
      <c r="I69" s="265"/>
      <c r="J69" s="265"/>
      <c r="K69" s="265"/>
      <c r="L69" s="265"/>
    </row>
    <row r="70" spans="1:15" s="260" customFormat="1" ht="24.95" customHeight="1" x14ac:dyDescent="0.3">
      <c r="A70" s="91" t="s">
        <v>34</v>
      </c>
      <c r="B70" s="91"/>
      <c r="C70" s="91"/>
      <c r="D70" s="92"/>
      <c r="E70" s="93"/>
      <c r="F70" s="92"/>
      <c r="G70" s="92"/>
      <c r="H70" s="92"/>
      <c r="I70" s="92"/>
      <c r="J70" s="92"/>
      <c r="K70" s="92"/>
      <c r="L70" s="92"/>
      <c r="M70" s="259"/>
      <c r="N70" s="259"/>
      <c r="O70" s="259"/>
    </row>
    <row r="71" spans="1:15" ht="15" customHeight="1" x14ac:dyDescent="0.25">
      <c r="A71" s="261" t="s">
        <v>35</v>
      </c>
      <c r="B71" s="261"/>
      <c r="C71" s="261"/>
      <c r="D71" s="261"/>
      <c r="E71" s="262"/>
      <c r="F71" s="222"/>
      <c r="G71" s="263"/>
      <c r="H71" s="263"/>
      <c r="I71" s="263"/>
      <c r="J71" s="263"/>
      <c r="K71" s="263"/>
      <c r="L71" s="263" t="s">
        <v>36</v>
      </c>
    </row>
  </sheetData>
  <sheetProtection algorithmName="SHA-512" hashValue="pOLb+3u661rAh1ozMO7IQdlfmJhNG5CgPhwwXC1tjzAHRZBfWpofRWPZKuX8f8keRINMYXLm3y4WvL4z36ml5A==" saltValue="BnIjwD6+gDq9iy6dAdQDLQ==" spinCount="100000" sheet="1" objects="1" scenarios="1" formatCells="0"/>
  <mergeCells count="2">
    <mergeCell ref="A2:D2"/>
    <mergeCell ref="A69:L69"/>
  </mergeCells>
  <conditionalFormatting sqref="D4:D7">
    <cfRule type="containsText" dxfId="126" priority="7" operator="containsText" text="Choose">
      <formula>NOT(ISERROR(SEARCH("Choose",D4)))</formula>
    </cfRule>
  </conditionalFormatting>
  <conditionalFormatting sqref="A10:L20 A22:L32 A21:B21 L21 A33:B33 L33 A43:L50 A42:B42 L42 A34:L41">
    <cfRule type="expression" dxfId="125" priority="2">
      <formula>$A10="Spec"</formula>
    </cfRule>
  </conditionalFormatting>
  <conditionalFormatting sqref="A54:L67">
    <cfRule type="expression" dxfId="124" priority="1">
      <formula>$A54=""</formula>
    </cfRule>
    <cfRule type="expression" dxfId="123" priority="4">
      <formula>LEFT($D54,5)="Study"</formula>
    </cfRule>
  </conditionalFormatting>
  <dataValidations count="1">
    <dataValidation type="list" allowBlank="1" showInputMessage="1" showErrorMessage="1" sqref="L27 L15 L12 L18 L24 L30"/>
  </dataValidations>
  <hyperlinks>
    <hyperlink ref="A70:L7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8" orientation="portrait" r:id="rId2"/>
  <rowBreaks count="1" manualBreakCount="1">
    <brk id="50" max="10"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Unitsets!$A$11:$A$15</xm:f>
          </x14:formula1>
          <xm:sqref>D7</xm:sqref>
        </x14:dataValidation>
        <x14:dataValidation type="list" showInputMessage="1" showErrorMessage="1">
          <x14:formula1>
            <xm:f>Unitsets!$A$23:$A$26</xm:f>
          </x14:formula1>
          <xm:sqref>D6</xm:sqref>
        </x14:dataValidation>
        <x14:dataValidation type="list" showInputMessage="1" showErrorMessage="1">
          <x14:formula1>
            <xm:f>Unitsets!$A$18:$A$20</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5"/>
  <sheetViews>
    <sheetView zoomScale="85" zoomScaleNormal="85" workbookViewId="0">
      <selection activeCell="R9" sqref="R9"/>
    </sheetView>
  </sheetViews>
  <sheetFormatPr defaultRowHeight="15.75" x14ac:dyDescent="0.25"/>
  <cols>
    <col min="1" max="1" width="74" style="11" bestFit="1" customWidth="1"/>
    <col min="2" max="2" width="12" style="8" bestFit="1" customWidth="1"/>
    <col min="3" max="3" width="9.875" style="8" bestFit="1" customWidth="1"/>
    <col min="4" max="4" width="19.375" style="8" bestFit="1" customWidth="1"/>
    <col min="5" max="5" width="14.25" style="8" bestFit="1" customWidth="1"/>
    <col min="6" max="6" width="13.625" style="8" bestFit="1" customWidth="1"/>
    <col min="7" max="7" width="16.5" style="8" bestFit="1" customWidth="1"/>
    <col min="8" max="8" width="15.375" style="8" bestFit="1" customWidth="1"/>
    <col min="9" max="9" width="5.875" bestFit="1" customWidth="1"/>
    <col min="10" max="10" width="6" bestFit="1" customWidth="1"/>
    <col min="11" max="11" width="15.25" bestFit="1" customWidth="1"/>
    <col min="12" max="12" width="5.5" bestFit="1" customWidth="1"/>
    <col min="13" max="13" width="15.625" bestFit="1" customWidth="1"/>
    <col min="14" max="14" width="5.25" bestFit="1" customWidth="1"/>
    <col min="15" max="15" width="15.625" bestFit="1" customWidth="1"/>
    <col min="16" max="16" width="5.25" bestFit="1" customWidth="1"/>
    <col min="17" max="17" width="15.625" bestFit="1" customWidth="1"/>
    <col min="18" max="18" width="5.25" bestFit="1" customWidth="1"/>
    <col min="19" max="19" width="15.375" customWidth="1"/>
    <col min="20" max="20" width="5.25" bestFit="1" customWidth="1"/>
    <col min="21" max="21" width="15.75" bestFit="1" customWidth="1"/>
    <col min="22" max="22" width="5.25" bestFit="1" customWidth="1"/>
    <col min="23" max="23" width="15.75" bestFit="1" customWidth="1"/>
    <col min="24" max="24" width="5.25" bestFit="1" customWidth="1"/>
    <col min="25" max="25" width="15.75" bestFit="1" customWidth="1"/>
    <col min="26" max="26" width="5.25" bestFit="1" customWidth="1"/>
    <col min="27" max="27" width="14.625" bestFit="1" customWidth="1"/>
    <col min="28" max="28" width="5.25" bestFit="1" customWidth="1"/>
    <col min="29" max="29" width="15" bestFit="1" customWidth="1"/>
    <col min="30" max="30" width="5.25" bestFit="1" customWidth="1"/>
    <col min="31" max="31" width="15" bestFit="1" customWidth="1"/>
    <col min="32" max="32" width="5.25" bestFit="1" customWidth="1"/>
    <col min="33" max="33" width="15" bestFit="1" customWidth="1"/>
  </cols>
  <sheetData>
    <row r="1" spans="1:41" x14ac:dyDescent="0.25">
      <c r="A1" s="13" t="s">
        <v>11</v>
      </c>
      <c r="B1" s="14"/>
      <c r="C1" s="14"/>
      <c r="D1" s="14"/>
    </row>
    <row r="2" spans="1:41" x14ac:dyDescent="0.25">
      <c r="J2" s="29"/>
      <c r="K2" s="9"/>
      <c r="L2" s="10"/>
      <c r="M2" s="9"/>
      <c r="N2" s="9"/>
      <c r="O2" s="9"/>
      <c r="P2" s="9"/>
      <c r="Q2" s="9"/>
      <c r="R2" s="9"/>
      <c r="S2" s="9"/>
      <c r="T2" s="9"/>
      <c r="U2" s="9"/>
      <c r="V2" s="9"/>
      <c r="W2" s="9"/>
      <c r="X2" s="9"/>
      <c r="Y2" s="9"/>
      <c r="Z2" s="9"/>
      <c r="AA2" s="9"/>
      <c r="AB2" s="9"/>
      <c r="AC2" s="9"/>
      <c r="AD2" s="9"/>
      <c r="AE2" s="9"/>
      <c r="AF2" s="9"/>
      <c r="AG2" s="9"/>
      <c r="AH2" s="21"/>
      <c r="AI2" s="21"/>
      <c r="AJ2" s="21"/>
      <c r="AK2" s="21"/>
      <c r="AL2" s="21"/>
    </row>
    <row r="3" spans="1:41" x14ac:dyDescent="0.25">
      <c r="H3" s="106" t="s">
        <v>37</v>
      </c>
      <c r="I3" s="1">
        <v>1</v>
      </c>
      <c r="J3" s="32"/>
      <c r="K3" s="143" t="s">
        <v>392</v>
      </c>
      <c r="L3" s="32"/>
      <c r="M3" s="143" t="s">
        <v>393</v>
      </c>
      <c r="N3" s="32"/>
      <c r="O3" s="143" t="s">
        <v>394</v>
      </c>
      <c r="P3" s="32"/>
      <c r="Q3" s="143" t="s">
        <v>395</v>
      </c>
      <c r="R3" s="32"/>
      <c r="S3" s="143" t="s">
        <v>405</v>
      </c>
      <c r="T3" s="32"/>
      <c r="U3" s="144" t="s">
        <v>406</v>
      </c>
      <c r="V3" s="32"/>
      <c r="W3" s="143" t="s">
        <v>407</v>
      </c>
      <c r="X3" s="32"/>
      <c r="Y3" s="144" t="s">
        <v>408</v>
      </c>
      <c r="Z3" s="32"/>
      <c r="AA3" s="143" t="s">
        <v>409</v>
      </c>
      <c r="AB3" s="32"/>
      <c r="AC3" s="144" t="s">
        <v>410</v>
      </c>
      <c r="AD3" s="32"/>
      <c r="AE3" s="143" t="s">
        <v>411</v>
      </c>
      <c r="AF3" s="32"/>
      <c r="AG3" s="144" t="s">
        <v>412</v>
      </c>
      <c r="AH3" s="21"/>
      <c r="AI3" s="21"/>
      <c r="AJ3" s="21"/>
      <c r="AK3" s="21"/>
      <c r="AL3" s="21"/>
      <c r="AM3" s="21"/>
      <c r="AN3" s="21"/>
      <c r="AO3" s="21"/>
    </row>
    <row r="4" spans="1:41" x14ac:dyDescent="0.25">
      <c r="I4" s="17">
        <v>2</v>
      </c>
      <c r="J4" s="37" t="s">
        <v>38</v>
      </c>
      <c r="K4" s="27" t="s">
        <v>39</v>
      </c>
      <c r="L4" s="37" t="s">
        <v>40</v>
      </c>
      <c r="M4" s="27" t="s">
        <v>58</v>
      </c>
      <c r="N4" s="37" t="s">
        <v>42</v>
      </c>
      <c r="O4" s="27" t="s">
        <v>39</v>
      </c>
      <c r="P4" s="37" t="s">
        <v>43</v>
      </c>
      <c r="Q4" s="27" t="s">
        <v>58</v>
      </c>
      <c r="R4" s="37" t="s">
        <v>38</v>
      </c>
      <c r="S4" s="27" t="s">
        <v>39</v>
      </c>
      <c r="T4" s="37" t="s">
        <v>40</v>
      </c>
      <c r="U4" s="27" t="s">
        <v>58</v>
      </c>
      <c r="V4" s="37" t="s">
        <v>42</v>
      </c>
      <c r="W4" s="27" t="s">
        <v>39</v>
      </c>
      <c r="X4" s="37" t="s">
        <v>43</v>
      </c>
      <c r="Y4" s="27" t="s">
        <v>58</v>
      </c>
      <c r="Z4" s="37" t="s">
        <v>38</v>
      </c>
      <c r="AA4" s="27" t="s">
        <v>39</v>
      </c>
      <c r="AB4" s="37" t="s">
        <v>40</v>
      </c>
      <c r="AC4" s="27" t="s">
        <v>58</v>
      </c>
      <c r="AD4" s="37" t="s">
        <v>42</v>
      </c>
      <c r="AE4" s="27" t="s">
        <v>39</v>
      </c>
      <c r="AF4" s="37" t="s">
        <v>43</v>
      </c>
      <c r="AG4" s="27" t="s">
        <v>58</v>
      </c>
      <c r="AH4" s="21"/>
      <c r="AI4" s="21"/>
      <c r="AJ4" s="21"/>
      <c r="AK4" s="21"/>
      <c r="AL4" s="21"/>
      <c r="AM4" s="21"/>
      <c r="AN4" s="21"/>
      <c r="AO4" s="21"/>
    </row>
    <row r="5" spans="1:41" x14ac:dyDescent="0.25">
      <c r="A5" s="105" t="s">
        <v>44</v>
      </c>
      <c r="I5" s="17">
        <v>3</v>
      </c>
      <c r="J5" s="38" t="s">
        <v>38</v>
      </c>
      <c r="K5" s="28" t="s">
        <v>45</v>
      </c>
      <c r="L5" s="38" t="s">
        <v>40</v>
      </c>
      <c r="M5" s="28" t="s">
        <v>46</v>
      </c>
      <c r="N5" s="38" t="s">
        <v>42</v>
      </c>
      <c r="O5" s="28" t="s">
        <v>45</v>
      </c>
      <c r="P5" s="38" t="s">
        <v>43</v>
      </c>
      <c r="Q5" s="28" t="s">
        <v>46</v>
      </c>
      <c r="R5" s="38" t="s">
        <v>38</v>
      </c>
      <c r="S5" s="28" t="s">
        <v>45</v>
      </c>
      <c r="T5" s="38" t="s">
        <v>40</v>
      </c>
      <c r="U5" s="28" t="s">
        <v>46</v>
      </c>
      <c r="V5" s="38" t="s">
        <v>42</v>
      </c>
      <c r="W5" s="28" t="s">
        <v>45</v>
      </c>
      <c r="X5" s="38" t="s">
        <v>43</v>
      </c>
      <c r="Y5" s="28" t="s">
        <v>46</v>
      </c>
      <c r="Z5" s="38" t="s">
        <v>38</v>
      </c>
      <c r="AA5" s="28" t="s">
        <v>45</v>
      </c>
      <c r="AB5" s="38" t="s">
        <v>40</v>
      </c>
      <c r="AC5" s="28" t="s">
        <v>46</v>
      </c>
      <c r="AD5" s="38" t="s">
        <v>42</v>
      </c>
      <c r="AE5" s="28" t="s">
        <v>45</v>
      </c>
      <c r="AF5" s="38" t="s">
        <v>43</v>
      </c>
      <c r="AG5" s="28" t="s">
        <v>46</v>
      </c>
      <c r="AH5" s="21"/>
      <c r="AI5" s="21"/>
      <c r="AJ5" s="21"/>
      <c r="AK5" s="21"/>
      <c r="AL5" s="21"/>
      <c r="AM5" s="21"/>
      <c r="AN5" s="21"/>
      <c r="AO5" s="21"/>
    </row>
    <row r="6" spans="1:41" x14ac:dyDescent="0.25">
      <c r="A6" s="8" t="s">
        <v>47</v>
      </c>
      <c r="B6" s="11" t="s">
        <v>0</v>
      </c>
      <c r="C6" s="8" t="s">
        <v>48</v>
      </c>
      <c r="D6" s="8" t="s">
        <v>49</v>
      </c>
      <c r="E6" s="8" t="s">
        <v>50</v>
      </c>
      <c r="F6" s="8" t="s">
        <v>51</v>
      </c>
      <c r="G6" s="8" t="s">
        <v>6</v>
      </c>
      <c r="I6" s="17">
        <v>4</v>
      </c>
      <c r="J6" s="38" t="s">
        <v>40</v>
      </c>
      <c r="K6" s="28" t="s">
        <v>58</v>
      </c>
      <c r="L6" s="38" t="s">
        <v>42</v>
      </c>
      <c r="M6" s="28" t="s">
        <v>39</v>
      </c>
      <c r="N6" s="38" t="s">
        <v>43</v>
      </c>
      <c r="O6" s="28" t="s">
        <v>58</v>
      </c>
      <c r="P6" s="38" t="s">
        <v>38</v>
      </c>
      <c r="Q6" s="28" t="s">
        <v>39</v>
      </c>
      <c r="R6" s="38" t="s">
        <v>40</v>
      </c>
      <c r="S6" s="28" t="s">
        <v>58</v>
      </c>
      <c r="T6" s="38" t="s">
        <v>42</v>
      </c>
      <c r="U6" s="28" t="s">
        <v>39</v>
      </c>
      <c r="V6" s="38" t="s">
        <v>43</v>
      </c>
      <c r="W6" s="28" t="s">
        <v>58</v>
      </c>
      <c r="X6" s="38" t="s">
        <v>38</v>
      </c>
      <c r="Y6" s="28" t="s">
        <v>39</v>
      </c>
      <c r="Z6" s="38" t="s">
        <v>40</v>
      </c>
      <c r="AA6" s="28" t="s">
        <v>58</v>
      </c>
      <c r="AB6" s="38" t="s">
        <v>42</v>
      </c>
      <c r="AC6" s="28" t="s">
        <v>39</v>
      </c>
      <c r="AD6" s="38" t="s">
        <v>43</v>
      </c>
      <c r="AE6" s="28" t="s">
        <v>58</v>
      </c>
      <c r="AF6" s="38" t="s">
        <v>38</v>
      </c>
      <c r="AG6" s="28" t="s">
        <v>39</v>
      </c>
      <c r="AH6" s="8"/>
      <c r="AI6" s="5"/>
      <c r="AJ6" s="21"/>
      <c r="AK6" s="21"/>
      <c r="AL6" s="21"/>
      <c r="AM6" s="21"/>
      <c r="AN6" s="21"/>
      <c r="AO6" s="21"/>
    </row>
    <row r="7" spans="1:41" x14ac:dyDescent="0.25">
      <c r="A7" s="8" t="s">
        <v>11</v>
      </c>
      <c r="B7" s="145" t="s">
        <v>166</v>
      </c>
      <c r="C7" s="46" t="s">
        <v>102</v>
      </c>
      <c r="D7" s="46" t="s">
        <v>52</v>
      </c>
      <c r="E7" s="107">
        <v>44927</v>
      </c>
      <c r="F7" s="107">
        <v>44927</v>
      </c>
      <c r="G7" s="46" t="s">
        <v>53</v>
      </c>
      <c r="I7" s="17">
        <v>5</v>
      </c>
      <c r="J7" s="38" t="s">
        <v>40</v>
      </c>
      <c r="K7" s="28" t="s">
        <v>46</v>
      </c>
      <c r="L7" s="38" t="s">
        <v>42</v>
      </c>
      <c r="M7" s="28" t="s">
        <v>45</v>
      </c>
      <c r="N7" s="38" t="s">
        <v>43</v>
      </c>
      <c r="O7" s="28" t="s">
        <v>46</v>
      </c>
      <c r="P7" s="38" t="s">
        <v>38</v>
      </c>
      <c r="Q7" s="28" t="s">
        <v>45</v>
      </c>
      <c r="R7" s="38" t="s">
        <v>40</v>
      </c>
      <c r="S7" s="28" t="s">
        <v>46</v>
      </c>
      <c r="T7" s="38" t="s">
        <v>42</v>
      </c>
      <c r="U7" s="28" t="s">
        <v>45</v>
      </c>
      <c r="V7" s="38" t="s">
        <v>43</v>
      </c>
      <c r="W7" s="28" t="s">
        <v>46</v>
      </c>
      <c r="X7" s="38" t="s">
        <v>38</v>
      </c>
      <c r="Y7" s="28" t="s">
        <v>45</v>
      </c>
      <c r="Z7" s="38" t="s">
        <v>40</v>
      </c>
      <c r="AA7" s="28" t="s">
        <v>46</v>
      </c>
      <c r="AB7" s="38" t="s">
        <v>42</v>
      </c>
      <c r="AC7" s="28" t="s">
        <v>45</v>
      </c>
      <c r="AD7" s="38" t="s">
        <v>43</v>
      </c>
      <c r="AE7" s="28" t="s">
        <v>46</v>
      </c>
      <c r="AF7" s="38" t="s">
        <v>38</v>
      </c>
      <c r="AG7" s="28" t="s">
        <v>45</v>
      </c>
      <c r="AH7" s="8"/>
      <c r="AI7" s="5"/>
      <c r="AJ7" s="4"/>
      <c r="AK7" s="5"/>
      <c r="AL7" s="4"/>
      <c r="AM7" s="5"/>
      <c r="AN7" s="5"/>
    </row>
    <row r="8" spans="1:41" x14ac:dyDescent="0.25">
      <c r="A8" s="8" t="s">
        <v>54</v>
      </c>
      <c r="B8" s="146" t="s">
        <v>166</v>
      </c>
      <c r="C8" s="46" t="s">
        <v>102</v>
      </c>
      <c r="D8" s="46" t="s">
        <v>52</v>
      </c>
      <c r="E8" s="107">
        <v>44927</v>
      </c>
      <c r="F8" s="107">
        <v>44927</v>
      </c>
      <c r="G8" s="46" t="s">
        <v>53</v>
      </c>
      <c r="I8" s="17">
        <v>6</v>
      </c>
      <c r="J8" s="38" t="s">
        <v>42</v>
      </c>
      <c r="K8" s="28" t="s">
        <v>55</v>
      </c>
      <c r="L8" s="38" t="s">
        <v>43</v>
      </c>
      <c r="M8" s="28" t="s">
        <v>56</v>
      </c>
      <c r="N8" s="38" t="s">
        <v>38</v>
      </c>
      <c r="O8" s="28" t="s">
        <v>55</v>
      </c>
      <c r="P8" s="38" t="s">
        <v>40</v>
      </c>
      <c r="Q8" s="28" t="s">
        <v>56</v>
      </c>
      <c r="R8" s="38" t="s">
        <v>42</v>
      </c>
      <c r="S8" s="28" t="s">
        <v>55</v>
      </c>
      <c r="T8" s="38" t="s">
        <v>43</v>
      </c>
      <c r="U8" s="28" t="s">
        <v>56</v>
      </c>
      <c r="V8" s="38" t="s">
        <v>38</v>
      </c>
      <c r="W8" s="28" t="s">
        <v>55</v>
      </c>
      <c r="X8" s="38" t="s">
        <v>40</v>
      </c>
      <c r="Y8" s="28" t="s">
        <v>56</v>
      </c>
      <c r="Z8" s="38" t="s">
        <v>42</v>
      </c>
      <c r="AA8" s="28" t="s">
        <v>55</v>
      </c>
      <c r="AB8" s="38" t="s">
        <v>43</v>
      </c>
      <c r="AC8" s="28" t="s">
        <v>56</v>
      </c>
      <c r="AD8" s="38" t="s">
        <v>38</v>
      </c>
      <c r="AE8" s="28" t="s">
        <v>55</v>
      </c>
      <c r="AF8" s="38" t="s">
        <v>40</v>
      </c>
      <c r="AG8" s="28" t="s">
        <v>56</v>
      </c>
      <c r="AI8" s="30"/>
      <c r="AJ8" s="4"/>
      <c r="AK8" s="5"/>
      <c r="AL8" s="4"/>
      <c r="AM8" s="20"/>
      <c r="AN8" s="5"/>
    </row>
    <row r="9" spans="1:41" x14ac:dyDescent="0.25">
      <c r="I9" s="17">
        <v>7</v>
      </c>
      <c r="J9" s="38" t="s">
        <v>42</v>
      </c>
      <c r="K9" s="28" t="s">
        <v>57</v>
      </c>
      <c r="L9" s="38" t="s">
        <v>43</v>
      </c>
      <c r="M9" s="28" t="s">
        <v>41</v>
      </c>
      <c r="N9" s="38" t="s">
        <v>38</v>
      </c>
      <c r="O9" s="28" t="s">
        <v>57</v>
      </c>
      <c r="P9" s="38" t="s">
        <v>40</v>
      </c>
      <c r="Q9" s="28" t="s">
        <v>41</v>
      </c>
      <c r="R9" s="38" t="s">
        <v>42</v>
      </c>
      <c r="S9" s="28" t="s">
        <v>57</v>
      </c>
      <c r="T9" s="38" t="s">
        <v>43</v>
      </c>
      <c r="U9" s="28" t="s">
        <v>41</v>
      </c>
      <c r="V9" s="38" t="s">
        <v>38</v>
      </c>
      <c r="W9" s="28" t="s">
        <v>57</v>
      </c>
      <c r="X9" s="38" t="s">
        <v>40</v>
      </c>
      <c r="Y9" s="28" t="s">
        <v>41</v>
      </c>
      <c r="Z9" s="38" t="s">
        <v>42</v>
      </c>
      <c r="AA9" s="28" t="s">
        <v>57</v>
      </c>
      <c r="AB9" s="38" t="s">
        <v>43</v>
      </c>
      <c r="AC9" s="28" t="s">
        <v>41</v>
      </c>
      <c r="AD9" s="38" t="s">
        <v>38</v>
      </c>
      <c r="AE9" s="28" t="s">
        <v>57</v>
      </c>
      <c r="AF9" s="38" t="s">
        <v>40</v>
      </c>
      <c r="AG9" s="28" t="s">
        <v>41</v>
      </c>
      <c r="AM9" s="5"/>
      <c r="AN9" s="5"/>
    </row>
    <row r="10" spans="1:41" x14ac:dyDescent="0.25">
      <c r="A10" s="105" t="s">
        <v>59</v>
      </c>
      <c r="I10" s="17">
        <v>8</v>
      </c>
      <c r="J10" s="38" t="s">
        <v>43</v>
      </c>
      <c r="K10" s="28" t="s">
        <v>56</v>
      </c>
      <c r="L10" s="38" t="s">
        <v>38</v>
      </c>
      <c r="M10" s="28" t="s">
        <v>55</v>
      </c>
      <c r="N10" s="38" t="s">
        <v>40</v>
      </c>
      <c r="O10" s="28" t="s">
        <v>56</v>
      </c>
      <c r="P10" s="38" t="s">
        <v>42</v>
      </c>
      <c r="Q10" s="28" t="s">
        <v>55</v>
      </c>
      <c r="R10" s="38" t="s">
        <v>43</v>
      </c>
      <c r="S10" s="28" t="s">
        <v>56</v>
      </c>
      <c r="T10" s="38" t="s">
        <v>38</v>
      </c>
      <c r="U10" s="28" t="s">
        <v>55</v>
      </c>
      <c r="V10" s="38" t="s">
        <v>40</v>
      </c>
      <c r="W10" s="28" t="s">
        <v>56</v>
      </c>
      <c r="X10" s="38" t="s">
        <v>42</v>
      </c>
      <c r="Y10" s="28" t="s">
        <v>55</v>
      </c>
      <c r="Z10" s="38" t="s">
        <v>43</v>
      </c>
      <c r="AA10" s="28" t="s">
        <v>56</v>
      </c>
      <c r="AB10" s="38" t="s">
        <v>38</v>
      </c>
      <c r="AC10" s="28" t="s">
        <v>55</v>
      </c>
      <c r="AD10" s="38" t="s">
        <v>40</v>
      </c>
      <c r="AE10" s="28" t="s">
        <v>56</v>
      </c>
      <c r="AF10" s="38" t="s">
        <v>42</v>
      </c>
      <c r="AG10" s="28" t="s">
        <v>55</v>
      </c>
      <c r="AI10" s="30"/>
      <c r="AM10" s="5"/>
      <c r="AN10" s="5"/>
    </row>
    <row r="11" spans="1:41" x14ac:dyDescent="0.25">
      <c r="A11" s="12" t="s">
        <v>60</v>
      </c>
      <c r="B11" s="15" t="s">
        <v>61</v>
      </c>
      <c r="C11" s="8" t="s">
        <v>62</v>
      </c>
      <c r="D11" s="8" t="s">
        <v>63</v>
      </c>
      <c r="E11" s="8" t="s">
        <v>64</v>
      </c>
      <c r="I11" s="17">
        <v>9</v>
      </c>
      <c r="J11" s="38" t="s">
        <v>43</v>
      </c>
      <c r="K11" s="28" t="s">
        <v>41</v>
      </c>
      <c r="L11" s="39" t="s">
        <v>38</v>
      </c>
      <c r="M11" s="28" t="s">
        <v>57</v>
      </c>
      <c r="N11" s="38" t="s">
        <v>40</v>
      </c>
      <c r="O11" s="28" t="s">
        <v>41</v>
      </c>
      <c r="P11" s="39" t="s">
        <v>42</v>
      </c>
      <c r="Q11" s="28" t="s">
        <v>57</v>
      </c>
      <c r="R11" s="38" t="s">
        <v>43</v>
      </c>
      <c r="S11" s="28" t="s">
        <v>41</v>
      </c>
      <c r="T11" s="39" t="s">
        <v>38</v>
      </c>
      <c r="U11" s="28" t="s">
        <v>57</v>
      </c>
      <c r="V11" s="38" t="s">
        <v>40</v>
      </c>
      <c r="W11" s="28" t="s">
        <v>41</v>
      </c>
      <c r="X11" s="39" t="s">
        <v>42</v>
      </c>
      <c r="Y11" s="28" t="s">
        <v>57</v>
      </c>
      <c r="Z11" s="38" t="s">
        <v>43</v>
      </c>
      <c r="AA11" s="28" t="s">
        <v>41</v>
      </c>
      <c r="AB11" s="39" t="s">
        <v>38</v>
      </c>
      <c r="AC11" s="28" t="s">
        <v>57</v>
      </c>
      <c r="AD11" s="38" t="s">
        <v>40</v>
      </c>
      <c r="AE11" s="28" t="s">
        <v>41</v>
      </c>
      <c r="AF11" s="39" t="s">
        <v>42</v>
      </c>
      <c r="AG11" s="28" t="s">
        <v>57</v>
      </c>
      <c r="AI11" s="31"/>
      <c r="AM11" s="5"/>
      <c r="AN11" s="5"/>
    </row>
    <row r="12" spans="1:41" x14ac:dyDescent="0.25">
      <c r="A12" s="8" t="s">
        <v>16</v>
      </c>
      <c r="B12" s="46" t="s">
        <v>24</v>
      </c>
      <c r="C12" s="46" t="s">
        <v>25</v>
      </c>
      <c r="D12" s="46" t="s">
        <v>26</v>
      </c>
      <c r="E12" s="46" t="s">
        <v>27</v>
      </c>
      <c r="I12" s="17">
        <v>10</v>
      </c>
      <c r="J12" s="74" t="s">
        <v>65</v>
      </c>
      <c r="K12" s="27" t="s">
        <v>66</v>
      </c>
      <c r="L12" s="74" t="s">
        <v>67</v>
      </c>
      <c r="M12" s="27" t="s">
        <v>68</v>
      </c>
      <c r="N12" s="74" t="s">
        <v>69</v>
      </c>
      <c r="O12" s="27" t="s">
        <v>66</v>
      </c>
      <c r="P12" s="74" t="s">
        <v>70</v>
      </c>
      <c r="Q12" s="27" t="s">
        <v>68</v>
      </c>
      <c r="R12" s="37" t="s">
        <v>65</v>
      </c>
      <c r="S12" s="27" t="s">
        <v>66</v>
      </c>
      <c r="T12" s="37" t="s">
        <v>67</v>
      </c>
      <c r="U12" s="27" t="s">
        <v>68</v>
      </c>
      <c r="V12" s="37" t="s">
        <v>69</v>
      </c>
      <c r="W12" s="27" t="s">
        <v>66</v>
      </c>
      <c r="X12" s="37" t="s">
        <v>70</v>
      </c>
      <c r="Y12" s="27" t="s">
        <v>68</v>
      </c>
      <c r="Z12" s="37" t="s">
        <v>65</v>
      </c>
      <c r="AA12" s="27" t="s">
        <v>66</v>
      </c>
      <c r="AB12" s="37" t="s">
        <v>67</v>
      </c>
      <c r="AC12" s="27" t="s">
        <v>68</v>
      </c>
      <c r="AD12" s="37" t="s">
        <v>69</v>
      </c>
      <c r="AE12" s="27" t="s">
        <v>66</v>
      </c>
      <c r="AF12" s="37" t="s">
        <v>70</v>
      </c>
      <c r="AG12" s="27" t="s">
        <v>68</v>
      </c>
      <c r="AM12" s="5"/>
      <c r="AN12" s="5"/>
    </row>
    <row r="13" spans="1:41" x14ac:dyDescent="0.25">
      <c r="A13" s="8" t="s">
        <v>71</v>
      </c>
      <c r="B13" s="46" t="s">
        <v>25</v>
      </c>
      <c r="C13" s="46" t="s">
        <v>26</v>
      </c>
      <c r="D13" s="46" t="s">
        <v>27</v>
      </c>
      <c r="E13" s="46" t="s">
        <v>24</v>
      </c>
      <c r="I13" s="17">
        <v>11</v>
      </c>
      <c r="J13" s="75" t="s">
        <v>65</v>
      </c>
      <c r="K13" s="142" t="s">
        <v>76</v>
      </c>
      <c r="L13" s="75" t="s">
        <v>67</v>
      </c>
      <c r="M13" s="53" t="s">
        <v>72</v>
      </c>
      <c r="N13" s="75" t="s">
        <v>69</v>
      </c>
      <c r="O13" s="142" t="s">
        <v>76</v>
      </c>
      <c r="P13" s="75" t="s">
        <v>70</v>
      </c>
      <c r="Q13" s="53" t="s">
        <v>72</v>
      </c>
      <c r="R13" s="38" t="s">
        <v>65</v>
      </c>
      <c r="S13" s="53" t="s">
        <v>72</v>
      </c>
      <c r="T13" s="38" t="s">
        <v>67</v>
      </c>
      <c r="U13" s="53" t="s">
        <v>72</v>
      </c>
      <c r="V13" s="38" t="s">
        <v>69</v>
      </c>
      <c r="W13" s="53" t="s">
        <v>72</v>
      </c>
      <c r="X13" s="38" t="s">
        <v>70</v>
      </c>
      <c r="Y13" s="53" t="s">
        <v>72</v>
      </c>
      <c r="Z13" s="38" t="s">
        <v>65</v>
      </c>
      <c r="AA13" s="53" t="s">
        <v>72</v>
      </c>
      <c r="AB13" s="38" t="s">
        <v>67</v>
      </c>
      <c r="AC13" s="53" t="s">
        <v>72</v>
      </c>
      <c r="AD13" s="38" t="s">
        <v>69</v>
      </c>
      <c r="AE13" s="53" t="s">
        <v>72</v>
      </c>
      <c r="AF13" s="38" t="s">
        <v>70</v>
      </c>
      <c r="AG13" s="53" t="s">
        <v>72</v>
      </c>
      <c r="AM13" s="5"/>
      <c r="AN13" s="5"/>
    </row>
    <row r="14" spans="1:41" x14ac:dyDescent="0.25">
      <c r="A14" s="8" t="s">
        <v>74</v>
      </c>
      <c r="B14" s="46" t="s">
        <v>26</v>
      </c>
      <c r="C14" s="46" t="s">
        <v>27</v>
      </c>
      <c r="D14" s="46" t="s">
        <v>24</v>
      </c>
      <c r="E14" s="46" t="s">
        <v>25</v>
      </c>
      <c r="I14" s="17">
        <v>12</v>
      </c>
      <c r="J14" s="75" t="s">
        <v>67</v>
      </c>
      <c r="K14" s="28" t="s">
        <v>68</v>
      </c>
      <c r="L14" s="75" t="s">
        <v>69</v>
      </c>
      <c r="M14" s="28" t="s">
        <v>66</v>
      </c>
      <c r="N14" s="75" t="s">
        <v>70</v>
      </c>
      <c r="O14" s="28" t="s">
        <v>68</v>
      </c>
      <c r="P14" s="75" t="s">
        <v>65</v>
      </c>
      <c r="Q14" s="28" t="s">
        <v>66</v>
      </c>
      <c r="R14" s="38" t="s">
        <v>67</v>
      </c>
      <c r="S14" s="28" t="s">
        <v>68</v>
      </c>
      <c r="T14" s="38" t="s">
        <v>69</v>
      </c>
      <c r="U14" s="28" t="s">
        <v>66</v>
      </c>
      <c r="V14" s="38" t="s">
        <v>70</v>
      </c>
      <c r="W14" s="28" t="s">
        <v>68</v>
      </c>
      <c r="X14" s="38" t="s">
        <v>65</v>
      </c>
      <c r="Y14" s="28" t="s">
        <v>66</v>
      </c>
      <c r="Z14" s="38" t="s">
        <v>67</v>
      </c>
      <c r="AA14" s="28" t="s">
        <v>68</v>
      </c>
      <c r="AB14" s="38" t="s">
        <v>69</v>
      </c>
      <c r="AC14" s="28" t="s">
        <v>66</v>
      </c>
      <c r="AD14" s="38" t="s">
        <v>70</v>
      </c>
      <c r="AE14" s="28" t="s">
        <v>68</v>
      </c>
      <c r="AF14" s="38" t="s">
        <v>65</v>
      </c>
      <c r="AG14" s="28" t="s">
        <v>66</v>
      </c>
      <c r="AM14" s="5"/>
      <c r="AN14" s="5"/>
    </row>
    <row r="15" spans="1:41" x14ac:dyDescent="0.25">
      <c r="A15" s="8" t="s">
        <v>75</v>
      </c>
      <c r="B15" s="46" t="s">
        <v>27</v>
      </c>
      <c r="C15" s="46" t="s">
        <v>24</v>
      </c>
      <c r="D15" s="46" t="s">
        <v>25</v>
      </c>
      <c r="E15" s="46" t="s">
        <v>26</v>
      </c>
      <c r="I15" s="17">
        <v>13</v>
      </c>
      <c r="J15" s="75" t="s">
        <v>67</v>
      </c>
      <c r="K15" s="53" t="s">
        <v>72</v>
      </c>
      <c r="L15" s="75" t="s">
        <v>69</v>
      </c>
      <c r="M15" s="53" t="s">
        <v>72</v>
      </c>
      <c r="N15" s="75" t="s">
        <v>70</v>
      </c>
      <c r="O15" s="53" t="s">
        <v>72</v>
      </c>
      <c r="P15" s="75" t="s">
        <v>65</v>
      </c>
      <c r="Q15" s="53" t="s">
        <v>72</v>
      </c>
      <c r="R15" s="38" t="s">
        <v>67</v>
      </c>
      <c r="S15" s="53" t="s">
        <v>72</v>
      </c>
      <c r="T15" s="38" t="s">
        <v>69</v>
      </c>
      <c r="U15" s="53" t="s">
        <v>72</v>
      </c>
      <c r="V15" s="38" t="s">
        <v>70</v>
      </c>
      <c r="W15" s="53" t="s">
        <v>72</v>
      </c>
      <c r="X15" s="38" t="s">
        <v>65</v>
      </c>
      <c r="Y15" s="53" t="s">
        <v>72</v>
      </c>
      <c r="Z15" s="38" t="s">
        <v>67</v>
      </c>
      <c r="AA15" s="53" t="s">
        <v>72</v>
      </c>
      <c r="AB15" s="38" t="s">
        <v>69</v>
      </c>
      <c r="AC15" s="53" t="s">
        <v>72</v>
      </c>
      <c r="AD15" s="38" t="s">
        <v>70</v>
      </c>
      <c r="AE15" s="53" t="s">
        <v>72</v>
      </c>
      <c r="AF15" s="38" t="s">
        <v>65</v>
      </c>
      <c r="AG15" s="53" t="s">
        <v>72</v>
      </c>
      <c r="AH15" s="8"/>
      <c r="AI15" s="5"/>
      <c r="AM15" s="5"/>
      <c r="AN15" s="5"/>
    </row>
    <row r="16" spans="1:41" x14ac:dyDescent="0.25">
      <c r="A16" s="8"/>
      <c r="F16" s="16"/>
      <c r="G16" s="16"/>
      <c r="I16" s="17">
        <v>14</v>
      </c>
      <c r="J16" s="75" t="s">
        <v>69</v>
      </c>
      <c r="K16" s="28" t="s">
        <v>79</v>
      </c>
      <c r="L16" s="75" t="s">
        <v>70</v>
      </c>
      <c r="M16" s="28" t="s">
        <v>77</v>
      </c>
      <c r="N16" s="75" t="s">
        <v>65</v>
      </c>
      <c r="O16" s="28" t="s">
        <v>79</v>
      </c>
      <c r="P16" s="75" t="s">
        <v>67</v>
      </c>
      <c r="Q16" s="28" t="s">
        <v>77</v>
      </c>
      <c r="R16" s="38" t="s">
        <v>69</v>
      </c>
      <c r="S16" s="28" t="s">
        <v>76</v>
      </c>
      <c r="T16" s="38" t="s">
        <v>70</v>
      </c>
      <c r="U16" s="28" t="s">
        <v>77</v>
      </c>
      <c r="V16" s="38" t="s">
        <v>65</v>
      </c>
      <c r="W16" s="28" t="s">
        <v>76</v>
      </c>
      <c r="X16" s="38" t="s">
        <v>67</v>
      </c>
      <c r="Y16" s="28" t="s">
        <v>77</v>
      </c>
      <c r="Z16" s="38" t="s">
        <v>69</v>
      </c>
      <c r="AA16" s="28" t="s">
        <v>76</v>
      </c>
      <c r="AB16" s="38" t="s">
        <v>70</v>
      </c>
      <c r="AC16" s="28" t="s">
        <v>77</v>
      </c>
      <c r="AD16" s="38" t="s">
        <v>65</v>
      </c>
      <c r="AE16" s="28" t="s">
        <v>76</v>
      </c>
      <c r="AF16" s="38" t="s">
        <v>67</v>
      </c>
      <c r="AG16" s="28" t="s">
        <v>77</v>
      </c>
      <c r="AH16" s="8"/>
      <c r="AI16" s="5"/>
      <c r="AJ16" s="4"/>
      <c r="AK16" s="5"/>
      <c r="AL16" s="7"/>
      <c r="AM16" s="5"/>
      <c r="AN16" s="5"/>
    </row>
    <row r="17" spans="1:40" x14ac:dyDescent="0.25">
      <c r="A17" s="105" t="s">
        <v>78</v>
      </c>
      <c r="E17" s="16"/>
      <c r="F17" s="16"/>
      <c r="G17" s="16"/>
      <c r="I17" s="17">
        <v>15</v>
      </c>
      <c r="J17" s="75" t="s">
        <v>69</v>
      </c>
      <c r="K17" s="53" t="s">
        <v>72</v>
      </c>
      <c r="L17" s="75" t="s">
        <v>70</v>
      </c>
      <c r="M17" s="28" t="s">
        <v>73</v>
      </c>
      <c r="N17" s="75" t="s">
        <v>65</v>
      </c>
      <c r="O17" s="53" t="s">
        <v>72</v>
      </c>
      <c r="P17" s="75" t="s">
        <v>67</v>
      </c>
      <c r="Q17" s="28" t="s">
        <v>73</v>
      </c>
      <c r="R17" s="38" t="s">
        <v>69</v>
      </c>
      <c r="S17" s="28" t="s">
        <v>79</v>
      </c>
      <c r="T17" s="38" t="s">
        <v>70</v>
      </c>
      <c r="U17" s="28" t="s">
        <v>73</v>
      </c>
      <c r="V17" s="38" t="s">
        <v>65</v>
      </c>
      <c r="W17" s="28" t="s">
        <v>79</v>
      </c>
      <c r="X17" s="38" t="s">
        <v>67</v>
      </c>
      <c r="Y17" s="28" t="s">
        <v>73</v>
      </c>
      <c r="Z17" s="38" t="s">
        <v>69</v>
      </c>
      <c r="AA17" s="28" t="s">
        <v>79</v>
      </c>
      <c r="AB17" s="38" t="s">
        <v>70</v>
      </c>
      <c r="AC17" s="28" t="s">
        <v>73</v>
      </c>
      <c r="AD17" s="38" t="s">
        <v>65</v>
      </c>
      <c r="AE17" s="28" t="s">
        <v>79</v>
      </c>
      <c r="AF17" s="38" t="s">
        <v>67</v>
      </c>
      <c r="AG17" s="28" t="s">
        <v>73</v>
      </c>
      <c r="AH17" s="8"/>
      <c r="AI17" s="5"/>
      <c r="AJ17" s="4"/>
      <c r="AK17" s="5"/>
      <c r="AL17" s="7"/>
      <c r="AM17" s="5"/>
      <c r="AN17" s="5"/>
    </row>
    <row r="18" spans="1:40" x14ac:dyDescent="0.25">
      <c r="A18" s="66" t="s">
        <v>413</v>
      </c>
      <c r="B18" s="67" t="s">
        <v>0</v>
      </c>
      <c r="C18" s="66" t="s">
        <v>48</v>
      </c>
      <c r="D18" s="66" t="s">
        <v>49</v>
      </c>
      <c r="E18" s="8" t="s">
        <v>50</v>
      </c>
      <c r="F18" s="66" t="s">
        <v>51</v>
      </c>
      <c r="I18" s="17">
        <v>16</v>
      </c>
      <c r="J18" s="75" t="s">
        <v>70</v>
      </c>
      <c r="K18" s="28" t="s">
        <v>77</v>
      </c>
      <c r="L18" s="75" t="s">
        <v>65</v>
      </c>
      <c r="M18" s="28" t="s">
        <v>76</v>
      </c>
      <c r="N18" s="75" t="s">
        <v>67</v>
      </c>
      <c r="O18" s="28" t="s">
        <v>77</v>
      </c>
      <c r="P18" s="75" t="s">
        <v>69</v>
      </c>
      <c r="Q18" s="28" t="s">
        <v>76</v>
      </c>
      <c r="R18" s="38" t="s">
        <v>70</v>
      </c>
      <c r="S18" s="28" t="s">
        <v>77</v>
      </c>
      <c r="T18" s="38" t="s">
        <v>65</v>
      </c>
      <c r="U18" s="28" t="s">
        <v>76</v>
      </c>
      <c r="V18" s="38" t="s">
        <v>67</v>
      </c>
      <c r="W18" s="28" t="s">
        <v>77</v>
      </c>
      <c r="X18" s="38" t="s">
        <v>69</v>
      </c>
      <c r="Y18" s="28" t="s">
        <v>76</v>
      </c>
      <c r="Z18" s="38" t="s">
        <v>70</v>
      </c>
      <c r="AA18" s="28" t="s">
        <v>77</v>
      </c>
      <c r="AB18" s="38" t="s">
        <v>65</v>
      </c>
      <c r="AC18" s="28" t="s">
        <v>76</v>
      </c>
      <c r="AD18" s="38" t="s">
        <v>67</v>
      </c>
      <c r="AE18" s="28" t="s">
        <v>77</v>
      </c>
      <c r="AF18" s="38" t="s">
        <v>69</v>
      </c>
      <c r="AG18" s="28" t="s">
        <v>76</v>
      </c>
      <c r="AH18" s="8"/>
      <c r="AI18" s="5"/>
      <c r="AJ18" s="4"/>
      <c r="AK18" s="5"/>
      <c r="AL18" s="7"/>
      <c r="AM18" s="5"/>
      <c r="AN18" s="5"/>
    </row>
    <row r="19" spans="1:40" x14ac:dyDescent="0.25">
      <c r="A19" s="60" t="s">
        <v>80</v>
      </c>
      <c r="B19" s="147" t="s">
        <v>81</v>
      </c>
      <c r="C19" s="114" t="s">
        <v>82</v>
      </c>
      <c r="D19" s="111" t="s">
        <v>83</v>
      </c>
      <c r="E19" s="113">
        <v>45292</v>
      </c>
      <c r="F19" s="110">
        <v>45292</v>
      </c>
      <c r="H19"/>
      <c r="I19" s="17">
        <v>17</v>
      </c>
      <c r="J19" s="76" t="s">
        <v>70</v>
      </c>
      <c r="K19" s="28" t="s">
        <v>73</v>
      </c>
      <c r="L19" s="76" t="s">
        <v>65</v>
      </c>
      <c r="M19" s="28" t="s">
        <v>79</v>
      </c>
      <c r="N19" s="76" t="s">
        <v>67</v>
      </c>
      <c r="O19" s="28" t="s">
        <v>73</v>
      </c>
      <c r="P19" s="76" t="s">
        <v>69</v>
      </c>
      <c r="Q19" s="28" t="s">
        <v>79</v>
      </c>
      <c r="R19" s="39" t="s">
        <v>70</v>
      </c>
      <c r="S19" s="28" t="s">
        <v>73</v>
      </c>
      <c r="T19" s="39" t="s">
        <v>65</v>
      </c>
      <c r="U19" s="28" t="s">
        <v>79</v>
      </c>
      <c r="V19" s="39" t="s">
        <v>67</v>
      </c>
      <c r="W19" s="28" t="s">
        <v>73</v>
      </c>
      <c r="X19" s="39" t="s">
        <v>69</v>
      </c>
      <c r="Y19" s="28" t="s">
        <v>79</v>
      </c>
      <c r="Z19" s="39" t="s">
        <v>70</v>
      </c>
      <c r="AA19" s="28" t="s">
        <v>73</v>
      </c>
      <c r="AB19" s="39" t="s">
        <v>65</v>
      </c>
      <c r="AC19" s="28" t="s">
        <v>79</v>
      </c>
      <c r="AD19" s="39" t="s">
        <v>67</v>
      </c>
      <c r="AE19" s="28" t="s">
        <v>73</v>
      </c>
      <c r="AF19" s="39" t="s">
        <v>69</v>
      </c>
      <c r="AG19" s="28" t="s">
        <v>79</v>
      </c>
      <c r="AJ19" s="4"/>
      <c r="AK19" s="5"/>
      <c r="AL19" s="6"/>
      <c r="AM19" s="5"/>
      <c r="AN19" s="20"/>
    </row>
    <row r="20" spans="1:40" x14ac:dyDescent="0.25">
      <c r="A20" s="60" t="s">
        <v>84</v>
      </c>
      <c r="B20" s="147" t="s">
        <v>85</v>
      </c>
      <c r="C20" s="114" t="s">
        <v>82</v>
      </c>
      <c r="D20" s="111" t="s">
        <v>83</v>
      </c>
      <c r="E20" s="113">
        <v>45292</v>
      </c>
      <c r="F20" s="110">
        <v>45292</v>
      </c>
      <c r="I20" s="17">
        <v>18</v>
      </c>
      <c r="J20" s="74" t="s">
        <v>86</v>
      </c>
      <c r="K20" s="27" t="s">
        <v>99</v>
      </c>
      <c r="L20" s="74" t="s">
        <v>88</v>
      </c>
      <c r="M20" s="27" t="s">
        <v>99</v>
      </c>
      <c r="N20" s="74" t="s">
        <v>90</v>
      </c>
      <c r="O20" s="27" t="s">
        <v>99</v>
      </c>
      <c r="P20" s="74" t="s">
        <v>91</v>
      </c>
      <c r="Q20" s="27" t="s">
        <v>99</v>
      </c>
      <c r="R20" s="37" t="s">
        <v>86</v>
      </c>
      <c r="S20" s="27" t="s">
        <v>99</v>
      </c>
      <c r="T20" s="37" t="s">
        <v>88</v>
      </c>
      <c r="U20" s="27" t="s">
        <v>99</v>
      </c>
      <c r="V20" s="37" t="s">
        <v>90</v>
      </c>
      <c r="W20" s="27" t="s">
        <v>99</v>
      </c>
      <c r="X20" s="37" t="s">
        <v>91</v>
      </c>
      <c r="Y20" s="27" t="s">
        <v>99</v>
      </c>
      <c r="Z20" s="37" t="s">
        <v>86</v>
      </c>
      <c r="AA20" s="27" t="s">
        <v>99</v>
      </c>
      <c r="AB20" s="37" t="s">
        <v>88</v>
      </c>
      <c r="AC20" s="27" t="s">
        <v>99</v>
      </c>
      <c r="AD20" s="37" t="s">
        <v>90</v>
      </c>
      <c r="AE20" s="27" t="s">
        <v>99</v>
      </c>
      <c r="AF20" s="37" t="s">
        <v>91</v>
      </c>
      <c r="AG20" s="27" t="s">
        <v>99</v>
      </c>
    </row>
    <row r="21" spans="1:40" x14ac:dyDescent="0.25">
      <c r="A21" s="8"/>
      <c r="B21" s="11"/>
      <c r="C21" s="4"/>
      <c r="D21" s="4"/>
      <c r="E21" s="45"/>
      <c r="I21" s="17">
        <v>19</v>
      </c>
      <c r="J21" s="75" t="s">
        <v>86</v>
      </c>
      <c r="K21" s="28" t="s">
        <v>92</v>
      </c>
      <c r="L21" s="75" t="s">
        <v>88</v>
      </c>
      <c r="M21" s="28" t="s">
        <v>92</v>
      </c>
      <c r="N21" s="75" t="s">
        <v>90</v>
      </c>
      <c r="O21" s="28" t="s">
        <v>92</v>
      </c>
      <c r="P21" s="75" t="s">
        <v>91</v>
      </c>
      <c r="Q21" s="28" t="s">
        <v>92</v>
      </c>
      <c r="R21" s="38" t="s">
        <v>86</v>
      </c>
      <c r="S21" s="28" t="s">
        <v>92</v>
      </c>
      <c r="T21" s="38" t="s">
        <v>88</v>
      </c>
      <c r="U21" s="28" t="s">
        <v>92</v>
      </c>
      <c r="V21" s="38" t="s">
        <v>90</v>
      </c>
      <c r="W21" s="28" t="s">
        <v>92</v>
      </c>
      <c r="X21" s="38" t="s">
        <v>91</v>
      </c>
      <c r="Y21" s="28" t="s">
        <v>92</v>
      </c>
      <c r="Z21" s="38" t="s">
        <v>86</v>
      </c>
      <c r="AA21" s="28" t="s">
        <v>92</v>
      </c>
      <c r="AB21" s="38" t="s">
        <v>88</v>
      </c>
      <c r="AC21" s="28" t="s">
        <v>92</v>
      </c>
      <c r="AD21" s="38" t="s">
        <v>90</v>
      </c>
      <c r="AE21" s="28" t="s">
        <v>92</v>
      </c>
      <c r="AF21" s="38" t="s">
        <v>91</v>
      </c>
      <c r="AG21" s="28" t="s">
        <v>92</v>
      </c>
    </row>
    <row r="22" spans="1:40" x14ac:dyDescent="0.25">
      <c r="A22" s="105" t="s">
        <v>93</v>
      </c>
      <c r="E22" s="16"/>
      <c r="I22" s="17">
        <v>20</v>
      </c>
      <c r="J22" s="75" t="s">
        <v>88</v>
      </c>
      <c r="K22" s="28" t="s">
        <v>89</v>
      </c>
      <c r="L22" s="75" t="s">
        <v>90</v>
      </c>
      <c r="M22" s="28" t="s">
        <v>89</v>
      </c>
      <c r="N22" s="75" t="s">
        <v>91</v>
      </c>
      <c r="O22" s="28" t="s">
        <v>89</v>
      </c>
      <c r="P22" s="75" t="s">
        <v>86</v>
      </c>
      <c r="Q22" s="28" t="s">
        <v>89</v>
      </c>
      <c r="R22" s="38" t="s">
        <v>88</v>
      </c>
      <c r="S22" s="28" t="s">
        <v>89</v>
      </c>
      <c r="T22" s="38" t="s">
        <v>90</v>
      </c>
      <c r="U22" s="28" t="s">
        <v>89</v>
      </c>
      <c r="V22" s="38" t="s">
        <v>91</v>
      </c>
      <c r="W22" s="28" t="s">
        <v>89</v>
      </c>
      <c r="X22" s="38" t="s">
        <v>86</v>
      </c>
      <c r="Y22" s="28" t="s">
        <v>89</v>
      </c>
      <c r="Z22" s="38" t="s">
        <v>88</v>
      </c>
      <c r="AA22" s="28" t="s">
        <v>89</v>
      </c>
      <c r="AB22" s="38" t="s">
        <v>90</v>
      </c>
      <c r="AC22" s="28" t="s">
        <v>89</v>
      </c>
      <c r="AD22" s="38" t="s">
        <v>91</v>
      </c>
      <c r="AE22" s="28" t="s">
        <v>89</v>
      </c>
      <c r="AF22" s="38" t="s">
        <v>86</v>
      </c>
      <c r="AG22" s="28" t="s">
        <v>89</v>
      </c>
    </row>
    <row r="23" spans="1:40" x14ac:dyDescent="0.25">
      <c r="A23" s="8" t="s">
        <v>94</v>
      </c>
      <c r="B23" s="11" t="s">
        <v>0</v>
      </c>
      <c r="C23" s="8" t="s">
        <v>48</v>
      </c>
      <c r="D23" s="8" t="s">
        <v>49</v>
      </c>
      <c r="E23" s="8" t="s">
        <v>50</v>
      </c>
      <c r="F23" s="8" t="s">
        <v>51</v>
      </c>
      <c r="I23" s="17">
        <v>21</v>
      </c>
      <c r="J23" s="75" t="s">
        <v>88</v>
      </c>
      <c r="K23" s="28" t="s">
        <v>103</v>
      </c>
      <c r="L23" s="75" t="s">
        <v>90</v>
      </c>
      <c r="M23" s="28" t="s">
        <v>103</v>
      </c>
      <c r="N23" s="75" t="s">
        <v>91</v>
      </c>
      <c r="O23" s="28" t="s">
        <v>103</v>
      </c>
      <c r="P23" s="75" t="s">
        <v>86</v>
      </c>
      <c r="Q23" s="28" t="s">
        <v>103</v>
      </c>
      <c r="R23" s="38" t="s">
        <v>88</v>
      </c>
      <c r="S23" s="28" t="s">
        <v>103</v>
      </c>
      <c r="T23" s="38" t="s">
        <v>90</v>
      </c>
      <c r="U23" s="28" t="s">
        <v>103</v>
      </c>
      <c r="V23" s="38" t="s">
        <v>91</v>
      </c>
      <c r="W23" s="28" t="s">
        <v>103</v>
      </c>
      <c r="X23" s="38" t="s">
        <v>86</v>
      </c>
      <c r="Y23" s="28" t="s">
        <v>103</v>
      </c>
      <c r="Z23" s="38" t="s">
        <v>88</v>
      </c>
      <c r="AA23" s="28" t="s">
        <v>103</v>
      </c>
      <c r="AB23" s="38" t="s">
        <v>90</v>
      </c>
      <c r="AC23" s="28" t="s">
        <v>103</v>
      </c>
      <c r="AD23" s="38" t="s">
        <v>91</v>
      </c>
      <c r="AE23" s="28" t="s">
        <v>103</v>
      </c>
      <c r="AF23" s="38" t="s">
        <v>86</v>
      </c>
      <c r="AG23" s="28" t="s">
        <v>103</v>
      </c>
    </row>
    <row r="24" spans="1:40" x14ac:dyDescent="0.25">
      <c r="A24" s="8" t="s">
        <v>13</v>
      </c>
      <c r="B24" s="146" t="s">
        <v>95</v>
      </c>
      <c r="C24" s="5" t="s">
        <v>96</v>
      </c>
      <c r="D24" s="5" t="s">
        <v>97</v>
      </c>
      <c r="E24" s="119">
        <v>44562</v>
      </c>
      <c r="F24" s="119">
        <v>44562</v>
      </c>
      <c r="I24" s="17">
        <v>22</v>
      </c>
      <c r="J24" s="75" t="s">
        <v>90</v>
      </c>
      <c r="K24" s="28" t="s">
        <v>87</v>
      </c>
      <c r="L24" s="75" t="s">
        <v>91</v>
      </c>
      <c r="M24" s="28" t="s">
        <v>87</v>
      </c>
      <c r="N24" s="75" t="s">
        <v>86</v>
      </c>
      <c r="O24" s="28" t="s">
        <v>87</v>
      </c>
      <c r="P24" s="75" t="s">
        <v>88</v>
      </c>
      <c r="Q24" s="28" t="s">
        <v>87</v>
      </c>
      <c r="R24" s="38" t="s">
        <v>90</v>
      </c>
      <c r="S24" s="28" t="s">
        <v>87</v>
      </c>
      <c r="T24" s="38" t="s">
        <v>91</v>
      </c>
      <c r="U24" s="28" t="s">
        <v>87</v>
      </c>
      <c r="V24" s="38" t="s">
        <v>86</v>
      </c>
      <c r="W24" s="28" t="s">
        <v>87</v>
      </c>
      <c r="X24" s="38" t="s">
        <v>88</v>
      </c>
      <c r="Y24" s="28" t="s">
        <v>87</v>
      </c>
      <c r="Z24" s="38" t="s">
        <v>90</v>
      </c>
      <c r="AA24" s="28" t="s">
        <v>87</v>
      </c>
      <c r="AB24" s="38" t="s">
        <v>91</v>
      </c>
      <c r="AC24" s="28" t="s">
        <v>87</v>
      </c>
      <c r="AD24" s="38" t="s">
        <v>86</v>
      </c>
      <c r="AE24" s="28" t="s">
        <v>87</v>
      </c>
      <c r="AF24" s="38" t="s">
        <v>88</v>
      </c>
      <c r="AG24" s="28" t="s">
        <v>87</v>
      </c>
    </row>
    <row r="25" spans="1:40" x14ac:dyDescent="0.25">
      <c r="A25" s="8" t="s">
        <v>100</v>
      </c>
      <c r="B25" s="146" t="s">
        <v>101</v>
      </c>
      <c r="C25" s="148" t="s">
        <v>102</v>
      </c>
      <c r="D25" s="5" t="s">
        <v>97</v>
      </c>
      <c r="E25" s="112">
        <v>45292</v>
      </c>
      <c r="F25" s="112">
        <v>45292</v>
      </c>
      <c r="G25"/>
      <c r="I25" s="17">
        <v>23</v>
      </c>
      <c r="J25" s="75" t="s">
        <v>90</v>
      </c>
      <c r="K25" s="28" t="s">
        <v>98</v>
      </c>
      <c r="L25" s="75" t="s">
        <v>91</v>
      </c>
      <c r="M25" s="28" t="s">
        <v>98</v>
      </c>
      <c r="N25" s="75" t="s">
        <v>86</v>
      </c>
      <c r="O25" s="28" t="s">
        <v>98</v>
      </c>
      <c r="P25" s="75" t="s">
        <v>88</v>
      </c>
      <c r="Q25" s="28" t="s">
        <v>98</v>
      </c>
      <c r="R25" s="38" t="s">
        <v>90</v>
      </c>
      <c r="S25" s="28" t="s">
        <v>98</v>
      </c>
      <c r="T25" s="38" t="s">
        <v>91</v>
      </c>
      <c r="U25" s="28" t="s">
        <v>98</v>
      </c>
      <c r="V25" s="38" t="s">
        <v>86</v>
      </c>
      <c r="W25" s="28" t="s">
        <v>98</v>
      </c>
      <c r="X25" s="38" t="s">
        <v>88</v>
      </c>
      <c r="Y25" s="28" t="s">
        <v>98</v>
      </c>
      <c r="Z25" s="38" t="s">
        <v>90</v>
      </c>
      <c r="AA25" s="28" t="s">
        <v>98</v>
      </c>
      <c r="AB25" s="38" t="s">
        <v>91</v>
      </c>
      <c r="AC25" s="28" t="s">
        <v>98</v>
      </c>
      <c r="AD25" s="38" t="s">
        <v>86</v>
      </c>
      <c r="AE25" s="28" t="s">
        <v>98</v>
      </c>
      <c r="AF25" s="38" t="s">
        <v>88</v>
      </c>
      <c r="AG25" s="28" t="s">
        <v>98</v>
      </c>
    </row>
    <row r="26" spans="1:40" x14ac:dyDescent="0.25">
      <c r="A26" s="8" t="s">
        <v>104</v>
      </c>
      <c r="B26" s="146" t="s">
        <v>105</v>
      </c>
      <c r="C26" s="5" t="s">
        <v>96</v>
      </c>
      <c r="D26" s="5" t="s">
        <v>97</v>
      </c>
      <c r="E26" s="119">
        <v>44743</v>
      </c>
      <c r="F26" s="119">
        <v>44743</v>
      </c>
      <c r="G26"/>
      <c r="I26" s="17">
        <v>24</v>
      </c>
      <c r="J26" s="75" t="s">
        <v>91</v>
      </c>
      <c r="K26" s="53" t="s">
        <v>72</v>
      </c>
      <c r="L26" s="75" t="s">
        <v>86</v>
      </c>
      <c r="M26" s="53" t="s">
        <v>72</v>
      </c>
      <c r="N26" s="75" t="s">
        <v>88</v>
      </c>
      <c r="O26" s="53" t="s">
        <v>72</v>
      </c>
      <c r="P26" s="75" t="s">
        <v>90</v>
      </c>
      <c r="Q26" s="53" t="s">
        <v>72</v>
      </c>
      <c r="R26" s="38" t="s">
        <v>91</v>
      </c>
      <c r="S26" s="53" t="s">
        <v>72</v>
      </c>
      <c r="T26" s="38" t="s">
        <v>86</v>
      </c>
      <c r="U26" s="53" t="s">
        <v>72</v>
      </c>
      <c r="V26" s="38" t="s">
        <v>88</v>
      </c>
      <c r="W26" s="53" t="s">
        <v>72</v>
      </c>
      <c r="X26" s="38" t="s">
        <v>90</v>
      </c>
      <c r="Y26" s="53" t="s">
        <v>72</v>
      </c>
      <c r="Z26" s="38" t="s">
        <v>91</v>
      </c>
      <c r="AA26" s="53" t="s">
        <v>72</v>
      </c>
      <c r="AB26" s="38" t="s">
        <v>86</v>
      </c>
      <c r="AC26" s="53" t="s">
        <v>72</v>
      </c>
      <c r="AD26" s="38" t="s">
        <v>88</v>
      </c>
      <c r="AE26" s="53" t="s">
        <v>72</v>
      </c>
      <c r="AF26" s="38" t="s">
        <v>90</v>
      </c>
      <c r="AG26" s="53" t="s">
        <v>72</v>
      </c>
    </row>
    <row r="27" spans="1:40" x14ac:dyDescent="0.25">
      <c r="F27"/>
      <c r="G27"/>
      <c r="I27" s="17">
        <v>25</v>
      </c>
      <c r="J27" s="76" t="s">
        <v>91</v>
      </c>
      <c r="K27" s="77" t="s">
        <v>72</v>
      </c>
      <c r="L27" s="76" t="s">
        <v>86</v>
      </c>
      <c r="M27" s="77" t="s">
        <v>72</v>
      </c>
      <c r="N27" s="76" t="s">
        <v>88</v>
      </c>
      <c r="O27" s="77" t="s">
        <v>72</v>
      </c>
      <c r="P27" s="76" t="s">
        <v>90</v>
      </c>
      <c r="Q27" s="77" t="s">
        <v>72</v>
      </c>
      <c r="R27" s="39" t="s">
        <v>91</v>
      </c>
      <c r="S27" s="77" t="s">
        <v>72</v>
      </c>
      <c r="T27" s="39" t="s">
        <v>86</v>
      </c>
      <c r="U27" s="77" t="s">
        <v>72</v>
      </c>
      <c r="V27" s="39" t="s">
        <v>88</v>
      </c>
      <c r="W27" s="77" t="s">
        <v>72</v>
      </c>
      <c r="X27" s="39" t="s">
        <v>90</v>
      </c>
      <c r="Y27" s="77" t="s">
        <v>72</v>
      </c>
      <c r="Z27" s="39" t="s">
        <v>91</v>
      </c>
      <c r="AA27" s="77" t="s">
        <v>72</v>
      </c>
      <c r="AB27" s="39" t="s">
        <v>86</v>
      </c>
      <c r="AC27" s="77" t="s">
        <v>72</v>
      </c>
      <c r="AD27" s="39" t="s">
        <v>88</v>
      </c>
      <c r="AE27" s="77" t="s">
        <v>72</v>
      </c>
      <c r="AF27" s="39" t="s">
        <v>90</v>
      </c>
      <c r="AG27" s="77" t="s">
        <v>72</v>
      </c>
    </row>
    <row r="28" spans="1:40" x14ac:dyDescent="0.25">
      <c r="A28"/>
      <c r="B28"/>
      <c r="C28"/>
      <c r="D28"/>
      <c r="E28"/>
      <c r="F28"/>
      <c r="G28"/>
    </row>
    <row r="29" spans="1:40" x14ac:dyDescent="0.25">
      <c r="A29"/>
      <c r="B29"/>
      <c r="C29"/>
      <c r="D29"/>
      <c r="E29"/>
      <c r="F29"/>
      <c r="G29"/>
      <c r="H29"/>
    </row>
    <row r="30" spans="1:40" x14ac:dyDescent="0.25">
      <c r="A30"/>
      <c r="B30"/>
      <c r="C30"/>
      <c r="D30"/>
      <c r="E30"/>
      <c r="F30"/>
      <c r="G30"/>
      <c r="H30"/>
    </row>
    <row r="31" spans="1:40" x14ac:dyDescent="0.25">
      <c r="A31" s="134" t="s">
        <v>113</v>
      </c>
      <c r="B31"/>
      <c r="C31"/>
      <c r="D31"/>
      <c r="E31"/>
      <c r="F31"/>
      <c r="G31"/>
      <c r="H31" s="106" t="s">
        <v>391</v>
      </c>
      <c r="I31" s="1">
        <v>1</v>
      </c>
      <c r="J31" s="90"/>
      <c r="K31" s="88" t="s">
        <v>397</v>
      </c>
      <c r="L31" s="90"/>
      <c r="M31" s="88" t="s">
        <v>398</v>
      </c>
      <c r="N31" s="90"/>
      <c r="O31" s="88" t="s">
        <v>399</v>
      </c>
      <c r="P31" s="90"/>
      <c r="Q31" s="88" t="s">
        <v>400</v>
      </c>
      <c r="R31" s="90"/>
      <c r="S31" s="88" t="s">
        <v>401</v>
      </c>
      <c r="T31" s="90"/>
      <c r="U31" s="89" t="s">
        <v>402</v>
      </c>
      <c r="V31" s="90"/>
      <c r="W31" s="88" t="s">
        <v>403</v>
      </c>
      <c r="X31" s="90"/>
      <c r="Y31" s="89" t="s">
        <v>404</v>
      </c>
    </row>
    <row r="32" spans="1:40" x14ac:dyDescent="0.25">
      <c r="A32" s="134" t="s">
        <v>116</v>
      </c>
      <c r="B32"/>
      <c r="C32"/>
      <c r="D32"/>
      <c r="E32"/>
      <c r="F32"/>
      <c r="G32"/>
      <c r="I32" s="17">
        <v>2</v>
      </c>
      <c r="J32" s="74" t="s">
        <v>106</v>
      </c>
      <c r="K32" s="27" t="s">
        <v>110</v>
      </c>
      <c r="L32" s="74" t="s">
        <v>107</v>
      </c>
      <c r="M32" s="27" t="s">
        <v>110</v>
      </c>
      <c r="N32" s="74" t="s">
        <v>108</v>
      </c>
      <c r="O32" s="27" t="s">
        <v>110</v>
      </c>
      <c r="P32" s="74" t="s">
        <v>109</v>
      </c>
      <c r="Q32" s="27" t="s">
        <v>110</v>
      </c>
      <c r="R32" s="74" t="s">
        <v>106</v>
      </c>
      <c r="S32" s="27" t="s">
        <v>110</v>
      </c>
      <c r="T32" s="74" t="s">
        <v>107</v>
      </c>
      <c r="U32" s="27" t="s">
        <v>110</v>
      </c>
      <c r="V32" s="74" t="s">
        <v>108</v>
      </c>
      <c r="W32" s="27" t="s">
        <v>110</v>
      </c>
      <c r="X32" s="74" t="s">
        <v>109</v>
      </c>
      <c r="Y32" s="27" t="s">
        <v>110</v>
      </c>
    </row>
    <row r="33" spans="1:25" x14ac:dyDescent="0.25">
      <c r="A33" s="134" t="s">
        <v>118</v>
      </c>
      <c r="B33"/>
      <c r="C33"/>
      <c r="D33"/>
      <c r="E33"/>
      <c r="F33"/>
      <c r="G33"/>
      <c r="I33" s="17">
        <v>3</v>
      </c>
      <c r="J33" s="75" t="s">
        <v>106</v>
      </c>
      <c r="K33" s="28" t="s">
        <v>111</v>
      </c>
      <c r="L33" s="75" t="s">
        <v>107</v>
      </c>
      <c r="M33" s="28" t="s">
        <v>111</v>
      </c>
      <c r="N33" s="75" t="s">
        <v>108</v>
      </c>
      <c r="O33" s="28" t="s">
        <v>111</v>
      </c>
      <c r="P33" s="75" t="s">
        <v>109</v>
      </c>
      <c r="Q33" s="28" t="s">
        <v>111</v>
      </c>
      <c r="R33" s="75" t="s">
        <v>106</v>
      </c>
      <c r="S33" s="28" t="s">
        <v>111</v>
      </c>
      <c r="T33" s="75" t="s">
        <v>107</v>
      </c>
      <c r="U33" s="28" t="s">
        <v>111</v>
      </c>
      <c r="V33" s="75" t="s">
        <v>108</v>
      </c>
      <c r="W33" s="28" t="s">
        <v>111</v>
      </c>
      <c r="X33" s="75" t="s">
        <v>109</v>
      </c>
      <c r="Y33" s="28" t="s">
        <v>111</v>
      </c>
    </row>
    <row r="34" spans="1:25" ht="15.75" customHeight="1" x14ac:dyDescent="0.25">
      <c r="A34" s="134" t="s">
        <v>120</v>
      </c>
      <c r="B34"/>
      <c r="C34"/>
      <c r="D34"/>
      <c r="E34"/>
      <c r="F34"/>
      <c r="G34"/>
      <c r="I34" s="17">
        <v>4</v>
      </c>
      <c r="J34" s="75" t="s">
        <v>107</v>
      </c>
      <c r="K34" s="28" t="s">
        <v>112</v>
      </c>
      <c r="L34" s="75" t="s">
        <v>108</v>
      </c>
      <c r="M34" s="28" t="s">
        <v>112</v>
      </c>
      <c r="N34" s="75" t="s">
        <v>109</v>
      </c>
      <c r="O34" s="28" t="s">
        <v>112</v>
      </c>
      <c r="P34" s="75" t="s">
        <v>106</v>
      </c>
      <c r="Q34" s="28" t="s">
        <v>112</v>
      </c>
      <c r="R34" s="75" t="s">
        <v>107</v>
      </c>
      <c r="S34" s="28" t="s">
        <v>112</v>
      </c>
      <c r="T34" s="75" t="s">
        <v>108</v>
      </c>
      <c r="U34" s="28" t="s">
        <v>112</v>
      </c>
      <c r="V34" s="75" t="s">
        <v>109</v>
      </c>
      <c r="W34" s="28" t="s">
        <v>112</v>
      </c>
      <c r="X34" s="75" t="s">
        <v>106</v>
      </c>
      <c r="Y34" s="28" t="s">
        <v>112</v>
      </c>
    </row>
    <row r="35" spans="1:25" x14ac:dyDescent="0.25">
      <c r="A35" s="134" t="s">
        <v>123</v>
      </c>
      <c r="B35"/>
      <c r="C35"/>
      <c r="D35"/>
      <c r="E35"/>
      <c r="F35"/>
      <c r="G35"/>
      <c r="I35" s="17">
        <v>5</v>
      </c>
      <c r="J35" s="75" t="s">
        <v>107</v>
      </c>
      <c r="K35" s="28" t="s">
        <v>114</v>
      </c>
      <c r="L35" s="75" t="s">
        <v>108</v>
      </c>
      <c r="M35" s="28" t="s">
        <v>114</v>
      </c>
      <c r="N35" s="75" t="s">
        <v>109</v>
      </c>
      <c r="O35" s="28" t="s">
        <v>114</v>
      </c>
      <c r="P35" s="75" t="s">
        <v>106</v>
      </c>
      <c r="Q35" s="28" t="s">
        <v>114</v>
      </c>
      <c r="R35" s="75" t="s">
        <v>107</v>
      </c>
      <c r="S35" s="28" t="s">
        <v>115</v>
      </c>
      <c r="T35" s="75" t="s">
        <v>108</v>
      </c>
      <c r="U35" s="28" t="s">
        <v>115</v>
      </c>
      <c r="V35" s="75" t="s">
        <v>109</v>
      </c>
      <c r="W35" s="28" t="s">
        <v>115</v>
      </c>
      <c r="X35" s="75" t="s">
        <v>106</v>
      </c>
      <c r="Y35" s="28" t="s">
        <v>115</v>
      </c>
    </row>
    <row r="36" spans="1:25" ht="15.75" customHeight="1" x14ac:dyDescent="0.25">
      <c r="A36" s="149" t="s">
        <v>418</v>
      </c>
      <c r="B36"/>
      <c r="C36"/>
      <c r="D36"/>
      <c r="E36"/>
      <c r="F36"/>
      <c r="G36"/>
      <c r="I36" s="17">
        <v>6</v>
      </c>
      <c r="J36" s="75" t="s">
        <v>108</v>
      </c>
      <c r="K36" s="28" t="s">
        <v>117</v>
      </c>
      <c r="L36" s="75" t="s">
        <v>109</v>
      </c>
      <c r="M36" s="28" t="s">
        <v>117</v>
      </c>
      <c r="N36" s="75" t="s">
        <v>106</v>
      </c>
      <c r="O36" s="28" t="s">
        <v>117</v>
      </c>
      <c r="P36" s="75" t="s">
        <v>107</v>
      </c>
      <c r="Q36" s="28" t="s">
        <v>117</v>
      </c>
      <c r="R36" s="75" t="s">
        <v>108</v>
      </c>
      <c r="S36" s="28" t="s">
        <v>117</v>
      </c>
      <c r="T36" s="75" t="s">
        <v>109</v>
      </c>
      <c r="U36" s="28" t="s">
        <v>117</v>
      </c>
      <c r="V36" s="75" t="s">
        <v>106</v>
      </c>
      <c r="W36" s="28" t="s">
        <v>117</v>
      </c>
      <c r="X36" s="75" t="s">
        <v>107</v>
      </c>
      <c r="Y36" s="28" t="s">
        <v>117</v>
      </c>
    </row>
    <row r="37" spans="1:25" ht="15.75" customHeight="1" x14ac:dyDescent="0.25">
      <c r="A37"/>
      <c r="B37"/>
      <c r="C37"/>
      <c r="D37"/>
      <c r="E37"/>
      <c r="F37"/>
      <c r="G37"/>
      <c r="I37" s="17">
        <v>7</v>
      </c>
      <c r="J37" s="75" t="s">
        <v>108</v>
      </c>
      <c r="K37" s="28" t="s">
        <v>115</v>
      </c>
      <c r="L37" s="75" t="s">
        <v>109</v>
      </c>
      <c r="M37" s="28" t="s">
        <v>115</v>
      </c>
      <c r="N37" s="75" t="s">
        <v>106</v>
      </c>
      <c r="O37" s="28" t="s">
        <v>115</v>
      </c>
      <c r="P37" s="75" t="s">
        <v>107</v>
      </c>
      <c r="Q37" s="28" t="s">
        <v>115</v>
      </c>
      <c r="R37" s="75" t="s">
        <v>108</v>
      </c>
      <c r="S37" s="28" t="s">
        <v>119</v>
      </c>
      <c r="T37" s="75" t="s">
        <v>109</v>
      </c>
      <c r="U37" s="28" t="s">
        <v>119</v>
      </c>
      <c r="V37" s="75" t="s">
        <v>106</v>
      </c>
      <c r="W37" s="28" t="s">
        <v>119</v>
      </c>
      <c r="X37" s="75" t="s">
        <v>107</v>
      </c>
      <c r="Y37" s="28" t="s">
        <v>119</v>
      </c>
    </row>
    <row r="38" spans="1:25" ht="16.5" customHeight="1" x14ac:dyDescent="0.25">
      <c r="A38"/>
      <c r="B38"/>
      <c r="C38"/>
      <c r="D38"/>
      <c r="E38"/>
      <c r="F38"/>
      <c r="G38"/>
      <c r="I38" s="17">
        <v>8</v>
      </c>
      <c r="J38" s="75" t="s">
        <v>109</v>
      </c>
      <c r="K38" s="86" t="s">
        <v>121</v>
      </c>
      <c r="L38" s="75" t="s">
        <v>106</v>
      </c>
      <c r="M38" s="86" t="s">
        <v>121</v>
      </c>
      <c r="N38" s="75" t="s">
        <v>107</v>
      </c>
      <c r="O38" s="86" t="s">
        <v>121</v>
      </c>
      <c r="P38" s="75" t="s">
        <v>108</v>
      </c>
      <c r="Q38" s="86" t="s">
        <v>121</v>
      </c>
      <c r="R38" s="75" t="s">
        <v>109</v>
      </c>
      <c r="S38" s="86" t="s">
        <v>122</v>
      </c>
      <c r="T38" s="75" t="s">
        <v>106</v>
      </c>
      <c r="U38" s="86" t="s">
        <v>122</v>
      </c>
      <c r="V38" s="75" t="s">
        <v>107</v>
      </c>
      <c r="W38" s="86" t="s">
        <v>122</v>
      </c>
      <c r="X38" s="75" t="s">
        <v>108</v>
      </c>
      <c r="Y38" s="86" t="s">
        <v>122</v>
      </c>
    </row>
    <row r="39" spans="1:25" x14ac:dyDescent="0.25">
      <c r="A39"/>
      <c r="B39"/>
      <c r="C39"/>
      <c r="D39"/>
      <c r="E39"/>
      <c r="F39"/>
      <c r="G39"/>
      <c r="I39" s="17">
        <v>9</v>
      </c>
      <c r="J39" s="76" t="s">
        <v>109</v>
      </c>
      <c r="K39" s="87" t="s">
        <v>124</v>
      </c>
      <c r="L39" s="76" t="s">
        <v>106</v>
      </c>
      <c r="M39" s="87" t="s">
        <v>124</v>
      </c>
      <c r="N39" s="76" t="s">
        <v>107</v>
      </c>
      <c r="O39" s="87" t="s">
        <v>124</v>
      </c>
      <c r="P39" s="76" t="s">
        <v>108</v>
      </c>
      <c r="Q39" s="87" t="s">
        <v>124</v>
      </c>
      <c r="R39" s="76" t="s">
        <v>109</v>
      </c>
      <c r="S39" s="87" t="s">
        <v>124</v>
      </c>
      <c r="T39" s="76" t="s">
        <v>106</v>
      </c>
      <c r="U39" s="87" t="s">
        <v>124</v>
      </c>
      <c r="V39" s="76" t="s">
        <v>107</v>
      </c>
      <c r="W39" s="87" t="s">
        <v>124</v>
      </c>
      <c r="X39" s="76" t="s">
        <v>108</v>
      </c>
      <c r="Y39" s="87" t="s">
        <v>124</v>
      </c>
    </row>
    <row r="40" spans="1:25" ht="16.5" customHeight="1" x14ac:dyDescent="0.25">
      <c r="A40"/>
      <c r="B40"/>
      <c r="C40"/>
      <c r="D40"/>
      <c r="E40"/>
      <c r="F40"/>
      <c r="G40"/>
      <c r="H40"/>
      <c r="K40" s="57" t="s">
        <v>125</v>
      </c>
      <c r="M40" s="57" t="s">
        <v>125</v>
      </c>
      <c r="O40" s="57" t="s">
        <v>125</v>
      </c>
      <c r="Q40" s="57" t="s">
        <v>125</v>
      </c>
      <c r="S40" s="57" t="s">
        <v>125</v>
      </c>
      <c r="U40" s="57" t="s">
        <v>125</v>
      </c>
      <c r="W40" s="57" t="s">
        <v>125</v>
      </c>
      <c r="Y40" s="57" t="s">
        <v>125</v>
      </c>
    </row>
    <row r="41" spans="1:25" ht="16.5" customHeight="1" x14ac:dyDescent="0.25">
      <c r="A41"/>
      <c r="B41"/>
      <c r="C41"/>
      <c r="D41"/>
      <c r="E41"/>
      <c r="F41"/>
      <c r="G41"/>
      <c r="H41"/>
    </row>
    <row r="42" spans="1:25" ht="16.5" customHeight="1" x14ac:dyDescent="0.25">
      <c r="A42"/>
      <c r="B42"/>
      <c r="C42"/>
      <c r="D42"/>
      <c r="E42"/>
      <c r="F42"/>
      <c r="G42"/>
      <c r="H42"/>
    </row>
    <row r="43" spans="1:25" ht="16.5" customHeight="1" x14ac:dyDescent="0.25">
      <c r="A43"/>
      <c r="B43"/>
      <c r="C43"/>
      <c r="D43"/>
      <c r="E43"/>
      <c r="F43"/>
      <c r="G43"/>
      <c r="H43" s="68" t="s">
        <v>126</v>
      </c>
      <c r="J43" s="49"/>
      <c r="K43" s="50" t="s">
        <v>95</v>
      </c>
      <c r="L43" s="49"/>
      <c r="M43" s="50" t="s">
        <v>101</v>
      </c>
      <c r="N43" s="49"/>
      <c r="O43" s="50" t="s">
        <v>105</v>
      </c>
    </row>
    <row r="44" spans="1:25" ht="16.5" customHeight="1" x14ac:dyDescent="0.25">
      <c r="A44"/>
      <c r="B44"/>
      <c r="C44"/>
      <c r="D44"/>
      <c r="E44"/>
      <c r="F44"/>
      <c r="G44"/>
      <c r="I44" s="17">
        <v>2</v>
      </c>
      <c r="J44" s="37" t="s">
        <v>127</v>
      </c>
      <c r="K44" s="22" t="s">
        <v>128</v>
      </c>
      <c r="L44" s="37" t="s">
        <v>127</v>
      </c>
      <c r="M44" s="27" t="s">
        <v>415</v>
      </c>
      <c r="N44" s="37" t="s">
        <v>127</v>
      </c>
      <c r="O44" s="27" t="s">
        <v>129</v>
      </c>
    </row>
    <row r="45" spans="1:25" ht="16.5" customHeight="1" x14ac:dyDescent="0.25">
      <c r="A45"/>
      <c r="B45"/>
      <c r="C45"/>
      <c r="D45"/>
      <c r="E45"/>
      <c r="F45"/>
      <c r="G45"/>
      <c r="I45" s="17">
        <v>3</v>
      </c>
      <c r="J45" s="38" t="s">
        <v>130</v>
      </c>
      <c r="K45" s="51" t="s">
        <v>131</v>
      </c>
      <c r="L45" s="38" t="s">
        <v>130</v>
      </c>
      <c r="M45" s="28" t="s">
        <v>132</v>
      </c>
      <c r="N45" s="38" t="s">
        <v>130</v>
      </c>
      <c r="O45" s="28" t="s">
        <v>133</v>
      </c>
    </row>
    <row r="46" spans="1:25" ht="16.5" customHeight="1" x14ac:dyDescent="0.25">
      <c r="A46"/>
      <c r="B46"/>
      <c r="C46"/>
      <c r="D46"/>
      <c r="E46"/>
      <c r="F46"/>
      <c r="G46"/>
      <c r="I46" s="17">
        <v>4</v>
      </c>
      <c r="J46" s="38" t="s">
        <v>134</v>
      </c>
      <c r="K46" s="51" t="s">
        <v>135</v>
      </c>
      <c r="L46" s="38" t="s">
        <v>134</v>
      </c>
      <c r="M46" s="28" t="s">
        <v>136</v>
      </c>
      <c r="N46" s="38" t="s">
        <v>134</v>
      </c>
      <c r="O46" s="28" t="s">
        <v>137</v>
      </c>
    </row>
    <row r="47" spans="1:25" ht="16.5" customHeight="1" x14ac:dyDescent="0.25">
      <c r="A47"/>
      <c r="B47"/>
      <c r="C47"/>
      <c r="D47"/>
      <c r="E47"/>
      <c r="F47"/>
      <c r="G47"/>
      <c r="I47" s="17">
        <v>5</v>
      </c>
      <c r="J47" s="38" t="s">
        <v>138</v>
      </c>
      <c r="K47" s="51" t="s">
        <v>139</v>
      </c>
      <c r="L47" s="38" t="s">
        <v>138</v>
      </c>
      <c r="M47" s="28" t="s">
        <v>140</v>
      </c>
      <c r="N47" s="38" t="s">
        <v>138</v>
      </c>
      <c r="O47" s="28" t="s">
        <v>139</v>
      </c>
    </row>
    <row r="48" spans="1:25" ht="16.5" customHeight="1" x14ac:dyDescent="0.25">
      <c r="A48"/>
      <c r="B48"/>
      <c r="C48"/>
      <c r="D48"/>
      <c r="E48"/>
      <c r="F48"/>
      <c r="G48"/>
      <c r="I48" s="17">
        <v>6</v>
      </c>
      <c r="J48" s="38" t="s">
        <v>141</v>
      </c>
      <c r="K48" s="51" t="s">
        <v>414</v>
      </c>
      <c r="L48" s="38" t="s">
        <v>141</v>
      </c>
      <c r="M48" s="28" t="s">
        <v>143</v>
      </c>
      <c r="N48" s="38" t="s">
        <v>141</v>
      </c>
      <c r="O48" s="28" t="s">
        <v>416</v>
      </c>
    </row>
    <row r="49" spans="1:25" ht="16.5" customHeight="1" x14ac:dyDescent="0.25">
      <c r="A49"/>
      <c r="B49"/>
      <c r="C49"/>
      <c r="D49"/>
      <c r="E49"/>
      <c r="F49"/>
      <c r="G49"/>
      <c r="I49" s="17">
        <v>7</v>
      </c>
      <c r="J49" s="38" t="s">
        <v>145</v>
      </c>
      <c r="K49" s="79" t="s">
        <v>146</v>
      </c>
      <c r="L49" s="38" t="s">
        <v>145</v>
      </c>
      <c r="M49" s="28" t="s">
        <v>147</v>
      </c>
      <c r="N49" s="38" t="s">
        <v>145</v>
      </c>
      <c r="O49" s="28" t="s">
        <v>148</v>
      </c>
    </row>
    <row r="50" spans="1:25" x14ac:dyDescent="0.25">
      <c r="A50"/>
      <c r="B50"/>
      <c r="C50"/>
      <c r="D50"/>
      <c r="E50"/>
      <c r="F50"/>
      <c r="G50"/>
      <c r="I50" s="17">
        <v>8</v>
      </c>
      <c r="J50" s="38" t="s">
        <v>149</v>
      </c>
      <c r="K50" s="51" t="s">
        <v>150</v>
      </c>
      <c r="L50" s="38" t="s">
        <v>149</v>
      </c>
      <c r="M50" s="28" t="s">
        <v>139</v>
      </c>
      <c r="N50" s="38" t="s">
        <v>149</v>
      </c>
      <c r="O50" s="28" t="s">
        <v>150</v>
      </c>
    </row>
    <row r="51" spans="1:25" x14ac:dyDescent="0.25">
      <c r="A51"/>
      <c r="B51"/>
      <c r="C51"/>
      <c r="D51"/>
      <c r="E51"/>
      <c r="F51"/>
      <c r="G51"/>
      <c r="I51" s="17">
        <v>9</v>
      </c>
      <c r="J51" s="38"/>
      <c r="K51" s="51"/>
      <c r="L51" s="38" t="s">
        <v>151</v>
      </c>
      <c r="M51" s="28" t="s">
        <v>417</v>
      </c>
      <c r="N51" s="38"/>
      <c r="O51" s="28"/>
    </row>
    <row r="52" spans="1:25" x14ac:dyDescent="0.25">
      <c r="A52"/>
      <c r="B52"/>
      <c r="C52"/>
      <c r="D52"/>
      <c r="E52"/>
      <c r="H52"/>
      <c r="I52" s="17">
        <v>10</v>
      </c>
      <c r="J52" s="38"/>
      <c r="K52" s="1"/>
      <c r="L52" s="38" t="s">
        <v>152</v>
      </c>
      <c r="M52" s="28" t="s">
        <v>153</v>
      </c>
      <c r="N52" s="38"/>
      <c r="O52" s="28"/>
    </row>
    <row r="53" spans="1:25" x14ac:dyDescent="0.25">
      <c r="A53"/>
      <c r="B53"/>
      <c r="C53"/>
      <c r="D53"/>
      <c r="E53"/>
      <c r="H53"/>
      <c r="I53" s="17">
        <v>11</v>
      </c>
      <c r="J53" s="38"/>
      <c r="K53" s="1"/>
      <c r="L53" s="38" t="s">
        <v>154</v>
      </c>
      <c r="M53" s="28" t="s">
        <v>155</v>
      </c>
      <c r="N53" s="38"/>
      <c r="O53" s="28"/>
    </row>
    <row r="54" spans="1:25" x14ac:dyDescent="0.25">
      <c r="A54"/>
      <c r="B54"/>
      <c r="C54"/>
      <c r="D54"/>
      <c r="E54"/>
      <c r="H54"/>
      <c r="I54" s="17">
        <v>12</v>
      </c>
      <c r="J54" s="38"/>
      <c r="K54" s="1"/>
      <c r="L54" s="38" t="s">
        <v>156</v>
      </c>
      <c r="M54" s="28" t="s">
        <v>157</v>
      </c>
      <c r="N54" s="38"/>
      <c r="O54" s="28"/>
    </row>
    <row r="55" spans="1:25" x14ac:dyDescent="0.25">
      <c r="A55"/>
      <c r="B55"/>
      <c r="C55"/>
      <c r="H55"/>
      <c r="I55" s="17">
        <v>13</v>
      </c>
      <c r="J55" s="38"/>
      <c r="K55" s="1"/>
      <c r="L55" s="38" t="s">
        <v>158</v>
      </c>
      <c r="M55" s="28" t="s">
        <v>159</v>
      </c>
      <c r="N55" s="38"/>
      <c r="O55" s="28"/>
    </row>
    <row r="56" spans="1:25" x14ac:dyDescent="0.25">
      <c r="A56"/>
      <c r="B56"/>
      <c r="C56"/>
      <c r="F56"/>
      <c r="H56"/>
      <c r="I56" s="17">
        <v>14</v>
      </c>
      <c r="J56" s="38"/>
      <c r="K56" s="1"/>
      <c r="L56" s="38" t="s">
        <v>160</v>
      </c>
      <c r="M56" s="80" t="s">
        <v>150</v>
      </c>
      <c r="N56" s="38"/>
      <c r="O56" s="28"/>
      <c r="Q56" s="85"/>
      <c r="U56" s="85"/>
      <c r="W56" s="85"/>
      <c r="Y56" s="85"/>
    </row>
    <row r="57" spans="1:25" x14ac:dyDescent="0.25">
      <c r="A57"/>
      <c r="B57"/>
      <c r="C57"/>
      <c r="F57"/>
      <c r="H57"/>
      <c r="I57" s="17">
        <v>15</v>
      </c>
      <c r="J57" s="39"/>
      <c r="K57" s="52"/>
      <c r="L57" s="39" t="s">
        <v>161</v>
      </c>
      <c r="M57" s="47" t="s">
        <v>162</v>
      </c>
      <c r="N57" s="39"/>
      <c r="O57" s="48"/>
    </row>
    <row r="58" spans="1:25" x14ac:dyDescent="0.25">
      <c r="A58"/>
      <c r="B58"/>
      <c r="C58"/>
      <c r="F58"/>
      <c r="H58"/>
      <c r="K58" s="79" t="s">
        <v>163</v>
      </c>
      <c r="M58" s="85"/>
      <c r="O58" s="85"/>
    </row>
    <row r="59" spans="1:25" x14ac:dyDescent="0.25">
      <c r="A59"/>
      <c r="B59"/>
      <c r="C59"/>
      <c r="F59"/>
      <c r="H59"/>
    </row>
    <row r="60" spans="1:25" x14ac:dyDescent="0.25">
      <c r="A60"/>
      <c r="B60"/>
      <c r="C60"/>
      <c r="H60"/>
    </row>
    <row r="61" spans="1:25" x14ac:dyDescent="0.25">
      <c r="A61"/>
      <c r="B61"/>
      <c r="C61"/>
      <c r="H61"/>
      <c r="I61" s="17"/>
    </row>
    <row r="62" spans="1:25" x14ac:dyDescent="0.25">
      <c r="A62"/>
      <c r="B62"/>
      <c r="C62"/>
      <c r="F62"/>
      <c r="G62"/>
      <c r="H62"/>
    </row>
    <row r="63" spans="1:25" x14ac:dyDescent="0.25">
      <c r="A63"/>
      <c r="B63"/>
      <c r="C63"/>
      <c r="D63"/>
      <c r="E63"/>
      <c r="F63"/>
      <c r="G63"/>
      <c r="H63"/>
    </row>
    <row r="64" spans="1:25" x14ac:dyDescent="0.25">
      <c r="A64"/>
      <c r="B64"/>
      <c r="C64"/>
      <c r="D64"/>
      <c r="E64"/>
      <c r="F64"/>
      <c r="G64"/>
      <c r="H64"/>
    </row>
    <row r="65" spans="1:8" x14ac:dyDescent="0.25">
      <c r="A65"/>
      <c r="B65"/>
      <c r="C65"/>
      <c r="D65"/>
      <c r="E65"/>
      <c r="F65"/>
      <c r="G65"/>
      <c r="H65"/>
    </row>
    <row r="66" spans="1:8" x14ac:dyDescent="0.25">
      <c r="A66"/>
      <c r="B66"/>
      <c r="C66"/>
      <c r="D66"/>
      <c r="E66"/>
      <c r="F66"/>
      <c r="G66"/>
      <c r="H66"/>
    </row>
    <row r="67" spans="1:8" ht="24.75" customHeight="1" x14ac:dyDescent="0.25">
      <c r="A67"/>
      <c r="B67"/>
      <c r="C67"/>
      <c r="D67"/>
      <c r="E67"/>
      <c r="F67"/>
      <c r="G67"/>
      <c r="H67"/>
    </row>
    <row r="68" spans="1:8" ht="22.5" customHeight="1" x14ac:dyDescent="0.25">
      <c r="A68"/>
      <c r="B68"/>
      <c r="C68"/>
      <c r="D68"/>
      <c r="E68"/>
      <c r="F68"/>
      <c r="G68"/>
    </row>
    <row r="69" spans="1:8" x14ac:dyDescent="0.25">
      <c r="A69"/>
      <c r="B69"/>
      <c r="C69"/>
      <c r="D69"/>
      <c r="E69"/>
      <c r="F69"/>
      <c r="G69"/>
    </row>
    <row r="70" spans="1:8" x14ac:dyDescent="0.25">
      <c r="A70"/>
      <c r="B70"/>
      <c r="C70"/>
      <c r="D70"/>
      <c r="E70"/>
      <c r="F70"/>
      <c r="G70"/>
    </row>
    <row r="71" spans="1:8" x14ac:dyDescent="0.25">
      <c r="A71"/>
      <c r="B71"/>
      <c r="C71"/>
      <c r="D71"/>
      <c r="E71"/>
      <c r="F71"/>
      <c r="G71"/>
    </row>
    <row r="72" spans="1:8" x14ac:dyDescent="0.25">
      <c r="A72"/>
      <c r="B72"/>
      <c r="C72"/>
      <c r="D72"/>
      <c r="E72"/>
      <c r="F72"/>
      <c r="G72"/>
    </row>
    <row r="73" spans="1:8" x14ac:dyDescent="0.25">
      <c r="A73"/>
      <c r="B73"/>
      <c r="C73"/>
      <c r="D73"/>
      <c r="E73"/>
      <c r="F73"/>
      <c r="G73"/>
    </row>
    <row r="74" spans="1:8" x14ac:dyDescent="0.25">
      <c r="A74"/>
      <c r="B74"/>
      <c r="C74"/>
      <c r="D74"/>
      <c r="E74"/>
      <c r="F74"/>
      <c r="G74"/>
    </row>
    <row r="75" spans="1:8" x14ac:dyDescent="0.25">
      <c r="A75"/>
      <c r="B75"/>
      <c r="C75"/>
      <c r="D75"/>
      <c r="E75"/>
      <c r="F75"/>
      <c r="G75"/>
    </row>
  </sheetData>
  <sortState ref="AC28:AC33">
    <sortCondition ref="AC28"/>
  </sortState>
  <pageMargins left="0.7" right="0.7" top="0.75" bottom="0.75" header="0.3" footer="0.3"/>
  <pageSetup paperSize="9" orientation="portrait" r:id="rId1"/>
  <ignoredErrors>
    <ignoredError sqref="C26:E26 C24:E24 D25" calculatedColumn="1"/>
  </ignoredErrors>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zoomScale="85" zoomScaleNormal="85" workbookViewId="0">
      <pane ySplit="3" topLeftCell="A4" activePane="bottomLeft" state="frozen"/>
      <selection activeCell="R9" sqref="R9"/>
      <selection pane="bottomLeft" activeCell="R9" sqref="R9"/>
    </sheetView>
  </sheetViews>
  <sheetFormatPr defaultRowHeight="15.75" x14ac:dyDescent="0.25"/>
  <cols>
    <col min="1" max="1" width="15" bestFit="1" customWidth="1"/>
    <col min="2" max="2" width="6" style="2" bestFit="1" customWidth="1"/>
    <col min="3" max="3" width="9.125" bestFit="1" customWidth="1"/>
    <col min="4" max="4" width="63.375" customWidth="1"/>
    <col min="5" max="5" width="8.625" style="2" bestFit="1" customWidth="1"/>
    <col min="6" max="6" width="23.625" bestFit="1" customWidth="1"/>
    <col min="7" max="10" width="6.375" bestFit="1" customWidth="1"/>
    <col min="11" max="11" width="37.25" bestFit="1" customWidth="1"/>
    <col min="12" max="12" width="6.5" bestFit="1" customWidth="1"/>
    <col min="13" max="14" width="5.375" style="2" bestFit="1" customWidth="1"/>
    <col min="15" max="16" width="6.5" style="2" bestFit="1" customWidth="1"/>
    <col min="17" max="17" width="6.5" bestFit="1" customWidth="1"/>
    <col min="18" max="18" width="6" bestFit="1" customWidth="1"/>
    <col min="19" max="20" width="5.375" bestFit="1" customWidth="1"/>
    <col min="21" max="21" width="6.5" bestFit="1" customWidth="1"/>
    <col min="22" max="22" width="6" bestFit="1" customWidth="1"/>
    <col min="23" max="23" width="6.5" bestFit="1" customWidth="1"/>
  </cols>
  <sheetData>
    <row r="1" spans="1:18" x14ac:dyDescent="0.25">
      <c r="A1" s="26">
        <v>1</v>
      </c>
      <c r="B1" s="26">
        <v>2</v>
      </c>
      <c r="C1" s="26">
        <v>3</v>
      </c>
      <c r="D1" s="26">
        <v>4</v>
      </c>
      <c r="E1" s="26">
        <v>5</v>
      </c>
      <c r="F1" s="26">
        <v>6</v>
      </c>
      <c r="G1" s="26">
        <v>7</v>
      </c>
      <c r="H1" s="26">
        <v>8</v>
      </c>
      <c r="I1" s="26">
        <v>9</v>
      </c>
      <c r="J1" s="26">
        <v>10</v>
      </c>
      <c r="K1" s="26">
        <v>11</v>
      </c>
      <c r="L1" s="26">
        <v>12</v>
      </c>
      <c r="M1" s="26">
        <v>13</v>
      </c>
      <c r="N1" s="26">
        <v>14</v>
      </c>
      <c r="O1" s="26">
        <v>15</v>
      </c>
      <c r="P1" s="26">
        <v>16</v>
      </c>
      <c r="Q1" s="26">
        <v>17</v>
      </c>
    </row>
    <row r="2" spans="1:18" x14ac:dyDescent="0.25">
      <c r="A2" s="18"/>
      <c r="B2" s="19"/>
      <c r="C2" s="19"/>
      <c r="D2" s="18"/>
      <c r="E2" s="19"/>
      <c r="F2" s="18"/>
      <c r="G2" s="25"/>
      <c r="H2" s="19"/>
      <c r="I2" s="23"/>
      <c r="J2" s="24"/>
      <c r="K2" s="3"/>
      <c r="L2" s="18"/>
      <c r="M2" s="18"/>
      <c r="N2" s="18"/>
      <c r="O2" s="18"/>
      <c r="P2" s="18"/>
      <c r="Q2" s="18"/>
      <c r="R2" s="3"/>
    </row>
    <row r="3" spans="1:18" ht="72.75" x14ac:dyDescent="0.25">
      <c r="A3" s="33" t="s">
        <v>0</v>
      </c>
      <c r="B3" s="33" t="s">
        <v>1</v>
      </c>
      <c r="C3" s="33" t="s">
        <v>2</v>
      </c>
      <c r="D3" s="33" t="s">
        <v>164</v>
      </c>
      <c r="E3" s="33" t="s">
        <v>5</v>
      </c>
      <c r="F3" s="33" t="s">
        <v>4</v>
      </c>
      <c r="G3" s="34" t="s">
        <v>24</v>
      </c>
      <c r="H3" s="35" t="s">
        <v>25</v>
      </c>
      <c r="I3" s="35" t="s">
        <v>26</v>
      </c>
      <c r="J3" s="36" t="s">
        <v>27</v>
      </c>
      <c r="K3" s="34" t="s">
        <v>165</v>
      </c>
      <c r="L3" s="54" t="s">
        <v>166</v>
      </c>
      <c r="M3" s="54" t="s">
        <v>81</v>
      </c>
      <c r="N3" s="54" t="s">
        <v>85</v>
      </c>
      <c r="O3" s="54" t="s">
        <v>95</v>
      </c>
      <c r="P3" s="54" t="s">
        <v>101</v>
      </c>
      <c r="Q3" s="54" t="s">
        <v>105</v>
      </c>
      <c r="R3" s="3"/>
    </row>
    <row r="4" spans="1:18" x14ac:dyDescent="0.25">
      <c r="A4" s="8" t="s">
        <v>124</v>
      </c>
      <c r="B4" s="46"/>
      <c r="C4" s="8"/>
      <c r="D4" s="136" t="s">
        <v>167</v>
      </c>
      <c r="E4" s="46"/>
      <c r="F4" s="58"/>
      <c r="G4" s="70" t="str">
        <f>IFERROR(IF(VLOOKUP(TableHandbook[[#This Row],[UDC]],TableAvailabilities[],2,FALSE)&gt;0,"Y",""),"")</f>
        <v/>
      </c>
      <c r="H4" s="71" t="str">
        <f>IFERROR(IF(VLOOKUP(TableHandbook[[#This Row],[UDC]],TableAvailabilities[],3,FALSE)&gt;0,"Y",""),"")</f>
        <v/>
      </c>
      <c r="I4" s="72" t="str">
        <f>IFERROR(IF(VLOOKUP(TableHandbook[[#This Row],[UDC]],TableAvailabilities[],4,FALSE)&gt;0,"Y",""),"")</f>
        <v/>
      </c>
      <c r="J4" s="73" t="str">
        <f>IFERROR(IF(VLOOKUP(TableHandbook[[#This Row],[UDC]],TableAvailabilities[],5,FALSE)&gt;0,"Y",""),"")</f>
        <v/>
      </c>
      <c r="K4" s="108"/>
      <c r="L4" s="55" t="str">
        <f>IFERROR(VLOOKUP(TableHandbook[[#This Row],[UDC]],TableOBCONMN[],7,FALSE),"")</f>
        <v/>
      </c>
      <c r="M4" s="56" t="str">
        <f>IFERROR(VLOOKUP(TableHandbook[[#This Row],[UDC]],TableOUSHCONMN[],7,FALSE),"")</f>
        <v/>
      </c>
      <c r="N4" s="56" t="str">
        <f>IFERROR(VLOOKUP(TableHandbook[[#This Row],[UDC]],TableOUSUCONMN[],7,FALSE),"")</f>
        <v/>
      </c>
      <c r="O4" s="56" t="str">
        <f>IFERROR(VLOOKUP(TableHandbook[[#This Row],[UDC]],TableOSCUANGAD[],7,FALSE),"")</f>
        <v/>
      </c>
      <c r="P4" s="56" t="str">
        <f>IFERROR(VLOOKUP(TableHandbook[[#This Row],[UDC]],TableOSCUINARS[],7,FALSE),"")</f>
        <v/>
      </c>
      <c r="Q4" s="56" t="str">
        <f>IFERROR(VLOOKUP(TableHandbook[[#This Row],[UDC]],TableOSCUPLGEO[],7,FALSE),"")</f>
        <v/>
      </c>
      <c r="R4" s="3"/>
    </row>
    <row r="5" spans="1:18" x14ac:dyDescent="0.25">
      <c r="A5" s="8" t="s">
        <v>168</v>
      </c>
      <c r="B5" s="46"/>
      <c r="C5" s="8"/>
      <c r="D5" s="136" t="s">
        <v>169</v>
      </c>
      <c r="E5" s="46"/>
      <c r="F5" s="58"/>
      <c r="G5" s="63" t="str">
        <f>IFERROR(IF(VLOOKUP(TableHandbook[[#This Row],[UDC]],TableAvailabilities[],2,FALSE)&gt;0,"Y",""),"")</f>
        <v/>
      </c>
      <c r="H5" s="71" t="str">
        <f>IFERROR(IF(VLOOKUP(TableHandbook[[#This Row],[UDC]],TableAvailabilities[],3,FALSE)&gt;0,"Y",""),"")</f>
        <v/>
      </c>
      <c r="I5" s="64" t="str">
        <f>IFERROR(IF(VLOOKUP(TableHandbook[[#This Row],[UDC]],TableAvailabilities[],4,FALSE)&gt;0,"Y",""),"")</f>
        <v/>
      </c>
      <c r="J5" s="65" t="str">
        <f>IFERROR(IF(VLOOKUP(TableHandbook[[#This Row],[UDC]],TableAvailabilities[],5,FALSE)&gt;0,"Y",""),"")</f>
        <v/>
      </c>
      <c r="K5" s="108"/>
      <c r="L5" s="61" t="str">
        <f>IFERROR(VLOOKUP(TableHandbook[[#This Row],[UDC]],TableOBCONMN[],7,FALSE),"")</f>
        <v/>
      </c>
      <c r="M5" s="62" t="str">
        <f>IFERROR(VLOOKUP(TableHandbook[[#This Row],[UDC]],TableOUSHCONMN[],7,FALSE),"")</f>
        <v/>
      </c>
      <c r="N5" s="62" t="str">
        <f>IFERROR(VLOOKUP(TableHandbook[[#This Row],[UDC]],TableOUSUCONMN[],7,FALSE),"")</f>
        <v/>
      </c>
      <c r="O5" s="62" t="str">
        <f>IFERROR(VLOOKUP(TableHandbook[[#This Row],[UDC]],TableOSCUANGAD[],7,FALSE),"")</f>
        <v/>
      </c>
      <c r="P5" s="62" t="str">
        <f>IFERROR(VLOOKUP(TableHandbook[[#This Row],[UDC]],TableOSCUINARS[],7,FALSE),"")</f>
        <v/>
      </c>
      <c r="Q5" s="62" t="str">
        <f>IFERROR(VLOOKUP(TableHandbook[[#This Row],[UDC]],TableOSCUPLGEO[],7,FALSE),"")</f>
        <v/>
      </c>
    </row>
    <row r="6" spans="1:18" ht="26.25" x14ac:dyDescent="0.25">
      <c r="A6" s="8" t="s">
        <v>170</v>
      </c>
      <c r="B6" s="46"/>
      <c r="C6" s="8"/>
      <c r="D6" s="136" t="s">
        <v>171</v>
      </c>
      <c r="E6" s="46">
        <v>200</v>
      </c>
      <c r="F6" s="58"/>
      <c r="G6" s="63" t="str">
        <f>IFERROR(IF(VLOOKUP(TableHandbook[[#This Row],[UDC]],TableAvailabilities[],2,FALSE)&gt;0,"Y",""),"")</f>
        <v/>
      </c>
      <c r="H6" s="71" t="str">
        <f>IFERROR(IF(VLOOKUP(TableHandbook[[#This Row],[UDC]],TableAvailabilities[],3,FALSE)&gt;0,"Y",""),"")</f>
        <v/>
      </c>
      <c r="I6" s="64" t="str">
        <f>IFERROR(IF(VLOOKUP(TableHandbook[[#This Row],[UDC]],TableAvailabilities[],4,FALSE)&gt;0,"Y",""),"")</f>
        <v/>
      </c>
      <c r="J6" s="65" t="str">
        <f>IFERROR(IF(VLOOKUP(TableHandbook[[#This Row],[UDC]],TableAvailabilities[],5,FALSE)&gt;0,"Y",""),"")</f>
        <v/>
      </c>
      <c r="K6" s="108"/>
      <c r="L6" s="61" t="str">
        <f>IFERROR(VLOOKUP(TableHandbook[[#This Row],[UDC]],TableOBCONMN[],7,FALSE),"")</f>
        <v>AltCore</v>
      </c>
      <c r="M6" s="62" t="str">
        <f>IFERROR(VLOOKUP(TableHandbook[[#This Row],[UDC]],TableOUSHCONMN[],7,FALSE),"")</f>
        <v/>
      </c>
      <c r="N6" s="62" t="str">
        <f>IFERROR(VLOOKUP(TableHandbook[[#This Row],[UDC]],TableOUSUCONMN[],7,FALSE),"")</f>
        <v/>
      </c>
      <c r="O6" s="62" t="str">
        <f>IFERROR(VLOOKUP(TableHandbook[[#This Row],[UDC]],TableOSCUANGAD[],7,FALSE),"")</f>
        <v/>
      </c>
      <c r="P6" s="62" t="str">
        <f>IFERROR(VLOOKUP(TableHandbook[[#This Row],[UDC]],TableOSCUINARS[],7,FALSE),"")</f>
        <v/>
      </c>
      <c r="Q6" s="62" t="str">
        <f>IFERROR(VLOOKUP(TableHandbook[[#This Row],[UDC]],TableOSCUPLGEO[],7,FALSE),"")</f>
        <v/>
      </c>
    </row>
    <row r="7" spans="1:18" x14ac:dyDescent="0.25">
      <c r="A7" s="8" t="s">
        <v>414</v>
      </c>
      <c r="B7" s="46"/>
      <c r="C7" s="8"/>
      <c r="D7" s="136" t="s">
        <v>172</v>
      </c>
      <c r="E7" s="46">
        <v>25</v>
      </c>
      <c r="F7" s="58" t="s">
        <v>173</v>
      </c>
      <c r="G7" s="63" t="str">
        <f>IFERROR(IF(VLOOKUP(TableHandbook[[#This Row],[UDC]],TableAvailabilities[],2,FALSE)&gt;0,"Y",""),"")</f>
        <v/>
      </c>
      <c r="H7" s="71" t="str">
        <f>IFERROR(IF(VLOOKUP(TableHandbook[[#This Row],[UDC]],TableAvailabilities[],3,FALSE)&gt;0,"Y",""),"")</f>
        <v/>
      </c>
      <c r="I7" s="64" t="str">
        <f>IFERROR(IF(VLOOKUP(TableHandbook[[#This Row],[UDC]],TableAvailabilities[],4,FALSE)&gt;0,"Y",""),"")</f>
        <v/>
      </c>
      <c r="J7" s="65" t="str">
        <f>IFERROR(IF(VLOOKUP(TableHandbook[[#This Row],[UDC]],TableAvailabilities[],5,FALSE)&gt;0,"Y",""),"")</f>
        <v/>
      </c>
      <c r="K7" s="108"/>
      <c r="L7" s="61" t="str">
        <f>IFERROR(VLOOKUP(TableHandbook[[#This Row],[UDC]],TableOBCONMN[],7,FALSE),"")</f>
        <v/>
      </c>
      <c r="M7" s="62" t="str">
        <f>IFERROR(VLOOKUP(TableHandbook[[#This Row],[UDC]],TableOUSHCONMN[],7,FALSE),"")</f>
        <v/>
      </c>
      <c r="N7" s="62" t="str">
        <f>IFERROR(VLOOKUP(TableHandbook[[#This Row],[UDC]],TableOUSUCONMN[],7,FALSE),"")</f>
        <v/>
      </c>
      <c r="O7" s="62" t="str">
        <f>IFERROR(VLOOKUP(TableHandbook[[#This Row],[UDC]],TableOSCUANGAD[],7,FALSE),"")</f>
        <v>AltCore</v>
      </c>
      <c r="P7" s="62" t="str">
        <f>IFERROR(VLOOKUP(TableHandbook[[#This Row],[UDC]],TableOSCUINARS[],7,FALSE),"")</f>
        <v/>
      </c>
      <c r="Q7" s="62" t="str">
        <f>IFERROR(VLOOKUP(TableHandbook[[#This Row],[UDC]],TableOSCUPLGEO[],7,FALSE),"")</f>
        <v/>
      </c>
    </row>
    <row r="8" spans="1:18" x14ac:dyDescent="0.25">
      <c r="A8" s="8" t="s">
        <v>415</v>
      </c>
      <c r="B8" s="46"/>
      <c r="C8" s="8"/>
      <c r="D8" s="136" t="s">
        <v>174</v>
      </c>
      <c r="E8" s="46">
        <v>25</v>
      </c>
      <c r="F8" s="58" t="s">
        <v>173</v>
      </c>
      <c r="G8" s="63" t="str">
        <f>IFERROR(IF(VLOOKUP(TableHandbook[[#This Row],[UDC]],TableAvailabilities[],2,FALSE)&gt;0,"Y",""),"")</f>
        <v/>
      </c>
      <c r="H8" s="71" t="str">
        <f>IFERROR(IF(VLOOKUP(TableHandbook[[#This Row],[UDC]],TableAvailabilities[],3,FALSE)&gt;0,"Y",""),"")</f>
        <v/>
      </c>
      <c r="I8" s="64" t="str">
        <f>IFERROR(IF(VLOOKUP(TableHandbook[[#This Row],[UDC]],TableAvailabilities[],4,FALSE)&gt;0,"Y",""),"")</f>
        <v/>
      </c>
      <c r="J8" s="65" t="str">
        <f>IFERROR(IF(VLOOKUP(TableHandbook[[#This Row],[UDC]],TableAvailabilities[],5,FALSE)&gt;0,"Y",""),"")</f>
        <v/>
      </c>
      <c r="K8" s="108"/>
      <c r="L8" s="61" t="str">
        <f>IFERROR(VLOOKUP(TableHandbook[[#This Row],[UDC]],TableOBCONMN[],7,FALSE),"")</f>
        <v/>
      </c>
      <c r="M8" s="62" t="str">
        <f>IFERROR(VLOOKUP(TableHandbook[[#This Row],[UDC]],TableOUSHCONMN[],7,FALSE),"")</f>
        <v/>
      </c>
      <c r="N8" s="62" t="str">
        <f>IFERROR(VLOOKUP(TableHandbook[[#This Row],[UDC]],TableOUSUCONMN[],7,FALSE),"")</f>
        <v/>
      </c>
      <c r="O8" s="62" t="str">
        <f>IFERROR(VLOOKUP(TableHandbook[[#This Row],[UDC]],TableOSCUANGAD[],7,FALSE),"")</f>
        <v/>
      </c>
      <c r="P8" s="62" t="str">
        <f>IFERROR(VLOOKUP(TableHandbook[[#This Row],[UDC]],TableOSCUINARS[],7,FALSE),"")</f>
        <v>AltCore</v>
      </c>
      <c r="Q8" s="62" t="str">
        <f>IFERROR(VLOOKUP(TableHandbook[[#This Row],[UDC]],TableOSCUPLGEO[],7,FALSE),"")</f>
        <v/>
      </c>
    </row>
    <row r="9" spans="1:18" x14ac:dyDescent="0.25">
      <c r="A9" s="8" t="s">
        <v>175</v>
      </c>
      <c r="B9" s="46"/>
      <c r="C9" s="8"/>
      <c r="D9" s="136" t="s">
        <v>176</v>
      </c>
      <c r="E9" s="46">
        <v>25</v>
      </c>
      <c r="F9" s="58" t="s">
        <v>173</v>
      </c>
      <c r="G9" s="63" t="str">
        <f>IFERROR(IF(VLOOKUP(TableHandbook[[#This Row],[UDC]],TableAvailabilities[],2,FALSE)&gt;0,"Y",""),"")</f>
        <v/>
      </c>
      <c r="H9" s="71" t="str">
        <f>IFERROR(IF(VLOOKUP(TableHandbook[[#This Row],[UDC]],TableAvailabilities[],3,FALSE)&gt;0,"Y",""),"")</f>
        <v/>
      </c>
      <c r="I9" s="64" t="str">
        <f>IFERROR(IF(VLOOKUP(TableHandbook[[#This Row],[UDC]],TableAvailabilities[],4,FALSE)&gt;0,"Y",""),"")</f>
        <v/>
      </c>
      <c r="J9" s="65" t="str">
        <f>IFERROR(IF(VLOOKUP(TableHandbook[[#This Row],[UDC]],TableAvailabilities[],5,FALSE)&gt;0,"Y",""),"")</f>
        <v/>
      </c>
      <c r="K9" s="108" t="s">
        <v>177</v>
      </c>
      <c r="L9" s="61" t="str">
        <f>IFERROR(VLOOKUP(TableHandbook[[#This Row],[UDC]],TableOBCONMN[],7,FALSE),"")</f>
        <v/>
      </c>
      <c r="M9" s="62" t="str">
        <f>IFERROR(VLOOKUP(TableHandbook[[#This Row],[UDC]],TableOUSHCONMN[],7,FALSE),"")</f>
        <v/>
      </c>
      <c r="N9" s="62" t="str">
        <f>IFERROR(VLOOKUP(TableHandbook[[#This Row],[UDC]],TableOUSUCONMN[],7,FALSE),"")</f>
        <v/>
      </c>
      <c r="O9" s="62" t="str">
        <f>IFERROR(VLOOKUP(TableHandbook[[#This Row],[UDC]],TableOSCUANGAD[],7,FALSE),"")</f>
        <v/>
      </c>
      <c r="P9" s="62" t="str">
        <f>IFERROR(VLOOKUP(TableHandbook[[#This Row],[UDC]],TableOSCUINARS[],7,FALSE),"")</f>
        <v/>
      </c>
      <c r="Q9" s="62" t="str">
        <f>IFERROR(VLOOKUP(TableHandbook[[#This Row],[UDC]],TableOSCUPLGEO[],7,FALSE),"")</f>
        <v/>
      </c>
    </row>
    <row r="10" spans="1:18" x14ac:dyDescent="0.25">
      <c r="A10" s="8" t="s">
        <v>178</v>
      </c>
      <c r="B10" s="46"/>
      <c r="C10" s="8"/>
      <c r="D10" s="136" t="s">
        <v>179</v>
      </c>
      <c r="E10" s="46">
        <v>25</v>
      </c>
      <c r="F10" s="58" t="s">
        <v>173</v>
      </c>
      <c r="G10" s="63" t="str">
        <f>IFERROR(IF(VLOOKUP(TableHandbook[[#This Row],[UDC]],TableAvailabilities[],2,FALSE)&gt;0,"Y",""),"")</f>
        <v/>
      </c>
      <c r="H10" s="71" t="str">
        <f>IFERROR(IF(VLOOKUP(TableHandbook[[#This Row],[UDC]],TableAvailabilities[],3,FALSE)&gt;0,"Y",""),"")</f>
        <v/>
      </c>
      <c r="I10" s="64" t="str">
        <f>IFERROR(IF(VLOOKUP(TableHandbook[[#This Row],[UDC]],TableAvailabilities[],4,FALSE)&gt;0,"Y",""),"")</f>
        <v/>
      </c>
      <c r="J10" s="65" t="str">
        <f>IFERROR(IF(VLOOKUP(TableHandbook[[#This Row],[UDC]],TableAvailabilities[],5,FALSE)&gt;0,"Y",""),"")</f>
        <v/>
      </c>
      <c r="K10" s="108" t="s">
        <v>177</v>
      </c>
      <c r="L10" s="61" t="str">
        <f>IFERROR(VLOOKUP(TableHandbook[[#This Row],[UDC]],TableOBCONMN[],7,FALSE),"")</f>
        <v/>
      </c>
      <c r="M10" s="62" t="str">
        <f>IFERROR(VLOOKUP(TableHandbook[[#This Row],[UDC]],TableOUSHCONMN[],7,FALSE),"")</f>
        <v/>
      </c>
      <c r="N10" s="62" t="str">
        <f>IFERROR(VLOOKUP(TableHandbook[[#This Row],[UDC]],TableOUSUCONMN[],7,FALSE),"")</f>
        <v/>
      </c>
      <c r="O10" s="62" t="str">
        <f>IFERROR(VLOOKUP(TableHandbook[[#This Row],[UDC]],TableOSCUANGAD[],7,FALSE),"")</f>
        <v/>
      </c>
      <c r="P10" s="62" t="str">
        <f>IFERROR(VLOOKUP(TableHandbook[[#This Row],[UDC]],TableOSCUINARS[],7,FALSE),"")</f>
        <v/>
      </c>
      <c r="Q10" s="62" t="str">
        <f>IFERROR(VLOOKUP(TableHandbook[[#This Row],[UDC]],TableOSCUPLGEO[],7,FALSE),"")</f>
        <v/>
      </c>
    </row>
    <row r="11" spans="1:18" x14ac:dyDescent="0.25">
      <c r="A11" s="8" t="s">
        <v>416</v>
      </c>
      <c r="B11" s="46"/>
      <c r="C11" s="8"/>
      <c r="D11" s="136" t="s">
        <v>180</v>
      </c>
      <c r="E11" s="46">
        <v>25</v>
      </c>
      <c r="F11" s="58" t="s">
        <v>173</v>
      </c>
      <c r="G11" s="63" t="str">
        <f>IFERROR(IF(VLOOKUP(TableHandbook[[#This Row],[UDC]],TableAvailabilities[],2,FALSE)&gt;0,"Y",""),"")</f>
        <v/>
      </c>
      <c r="H11" s="71" t="str">
        <f>IFERROR(IF(VLOOKUP(TableHandbook[[#This Row],[UDC]],TableAvailabilities[],3,FALSE)&gt;0,"Y",""),"")</f>
        <v/>
      </c>
      <c r="I11" s="64" t="str">
        <f>IFERROR(IF(VLOOKUP(TableHandbook[[#This Row],[UDC]],TableAvailabilities[],4,FALSE)&gt;0,"Y",""),"")</f>
        <v/>
      </c>
      <c r="J11" s="65" t="str">
        <f>IFERROR(IF(VLOOKUP(TableHandbook[[#This Row],[UDC]],TableAvailabilities[],5,FALSE)&gt;0,"Y",""),"")</f>
        <v/>
      </c>
      <c r="K11" s="108"/>
      <c r="L11" s="61" t="str">
        <f>IFERROR(VLOOKUP(TableHandbook[[#This Row],[UDC]],TableOBCONMN[],7,FALSE),"")</f>
        <v/>
      </c>
      <c r="M11" s="62" t="str">
        <f>IFERROR(VLOOKUP(TableHandbook[[#This Row],[UDC]],TableOUSHCONMN[],7,FALSE),"")</f>
        <v/>
      </c>
      <c r="N11" s="62" t="str">
        <f>IFERROR(VLOOKUP(TableHandbook[[#This Row],[UDC]],TableOUSUCONMN[],7,FALSE),"")</f>
        <v/>
      </c>
      <c r="O11" s="62" t="str">
        <f>IFERROR(VLOOKUP(TableHandbook[[#This Row],[UDC]],TableOSCUANGAD[],7,FALSE),"")</f>
        <v/>
      </c>
      <c r="P11" s="62" t="str">
        <f>IFERROR(VLOOKUP(TableHandbook[[#This Row],[UDC]],TableOSCUINARS[],7,FALSE),"")</f>
        <v/>
      </c>
      <c r="Q11" s="62" t="str">
        <f>IFERROR(VLOOKUP(TableHandbook[[#This Row],[UDC]],TableOSCUPLGEO[],7,FALSE),"")</f>
        <v>AltCore</v>
      </c>
    </row>
    <row r="12" spans="1:18" x14ac:dyDescent="0.25">
      <c r="A12" s="8" t="s">
        <v>56</v>
      </c>
      <c r="B12" s="46">
        <v>3</v>
      </c>
      <c r="C12" s="8" t="s">
        <v>181</v>
      </c>
      <c r="D12" s="136" t="s">
        <v>182</v>
      </c>
      <c r="E12" s="46">
        <v>25</v>
      </c>
      <c r="F12" s="58" t="s">
        <v>183</v>
      </c>
      <c r="G12" s="63" t="str">
        <f>IFERROR(IF(VLOOKUP(TableHandbook[[#This Row],[UDC]],TableAvailabilities[],2,FALSE)&gt;0,"Y",""),"")</f>
        <v/>
      </c>
      <c r="H12" s="71" t="str">
        <f>IFERROR(IF(VLOOKUP(TableHandbook[[#This Row],[UDC]],TableAvailabilities[],3,FALSE)&gt;0,"Y",""),"")</f>
        <v>Y</v>
      </c>
      <c r="I12" s="64" t="str">
        <f>IFERROR(IF(VLOOKUP(TableHandbook[[#This Row],[UDC]],TableAvailabilities[],4,FALSE)&gt;0,"Y",""),"")</f>
        <v/>
      </c>
      <c r="J12" s="65" t="str">
        <f>IFERROR(IF(VLOOKUP(TableHandbook[[#This Row],[UDC]],TableAvailabilities[],5,FALSE)&gt;0,"Y",""),"")</f>
        <v>Y</v>
      </c>
      <c r="K12" s="108"/>
      <c r="L12" s="61" t="str">
        <f>IFERROR(VLOOKUP(TableHandbook[[#This Row],[UDC]],TableOBCONMN[],7,FALSE),"")</f>
        <v>Core</v>
      </c>
      <c r="M12" s="62" t="str">
        <f>IFERROR(VLOOKUP(TableHandbook[[#This Row],[UDC]],TableOUSHCONMN[],7,FALSE),"")</f>
        <v/>
      </c>
      <c r="N12" s="62" t="str">
        <f>IFERROR(VLOOKUP(TableHandbook[[#This Row],[UDC]],TableOUSUCONMN[],7,FALSE),"")</f>
        <v/>
      </c>
      <c r="O12" s="62" t="str">
        <f>IFERROR(VLOOKUP(TableHandbook[[#This Row],[UDC]],TableOSCUANGAD[],7,FALSE),"")</f>
        <v/>
      </c>
      <c r="P12" s="62" t="str">
        <f>IFERROR(VLOOKUP(TableHandbook[[#This Row],[UDC]],TableOSCUINARS[],7,FALSE),"")</f>
        <v/>
      </c>
      <c r="Q12" s="62" t="str">
        <f>IFERROR(VLOOKUP(TableHandbook[[#This Row],[UDC]],TableOSCUPLGEO[],7,FALSE),"")</f>
        <v/>
      </c>
    </row>
    <row r="13" spans="1:18" x14ac:dyDescent="0.25">
      <c r="A13" s="8" t="s">
        <v>45</v>
      </c>
      <c r="B13" s="46">
        <v>2</v>
      </c>
      <c r="C13" s="8" t="s">
        <v>184</v>
      </c>
      <c r="D13" s="136" t="s">
        <v>185</v>
      </c>
      <c r="E13" s="46">
        <v>25</v>
      </c>
      <c r="F13" s="58" t="s">
        <v>183</v>
      </c>
      <c r="G13" s="63" t="str">
        <f>IFERROR(IF(VLOOKUP(TableHandbook[[#This Row],[UDC]],TableAvailabilities[],2,FALSE)&gt;0,"Y",""),"")</f>
        <v>Y</v>
      </c>
      <c r="H13" s="71" t="str">
        <f>IFERROR(IF(VLOOKUP(TableHandbook[[#This Row],[UDC]],TableAvailabilities[],3,FALSE)&gt;0,"Y",""),"")</f>
        <v/>
      </c>
      <c r="I13" s="64" t="str">
        <f>IFERROR(IF(VLOOKUP(TableHandbook[[#This Row],[UDC]],TableAvailabilities[],4,FALSE)&gt;0,"Y",""),"")</f>
        <v>Y</v>
      </c>
      <c r="J13" s="65" t="str">
        <f>IFERROR(IF(VLOOKUP(TableHandbook[[#This Row],[UDC]],TableAvailabilities[],5,FALSE)&gt;0,"Y",""),"")</f>
        <v/>
      </c>
      <c r="K13" s="108"/>
      <c r="L13" s="61" t="str">
        <f>IFERROR(VLOOKUP(TableHandbook[[#This Row],[UDC]],TableOBCONMN[],7,FALSE),"")</f>
        <v>Core</v>
      </c>
      <c r="M13" s="62" t="str">
        <f>IFERROR(VLOOKUP(TableHandbook[[#This Row],[UDC]],TableOUSHCONMN[],7,FALSE),"")</f>
        <v/>
      </c>
      <c r="N13" s="62" t="str">
        <f>IFERROR(VLOOKUP(TableHandbook[[#This Row],[UDC]],TableOUSUCONMN[],7,FALSE),"")</f>
        <v/>
      </c>
      <c r="O13" s="62" t="str">
        <f>IFERROR(VLOOKUP(TableHandbook[[#This Row],[UDC]],TableOSCUANGAD[],7,FALSE),"")</f>
        <v/>
      </c>
      <c r="P13" s="62" t="str">
        <f>IFERROR(VLOOKUP(TableHandbook[[#This Row],[UDC]],TableOSCUINARS[],7,FALSE),"")</f>
        <v/>
      </c>
      <c r="Q13" s="62" t="str">
        <f>IFERROR(VLOOKUP(TableHandbook[[#This Row],[UDC]],TableOSCUPLGEO[],7,FALSE),"")</f>
        <v/>
      </c>
    </row>
    <row r="14" spans="1:18" x14ac:dyDescent="0.25">
      <c r="A14" s="8" t="s">
        <v>57</v>
      </c>
      <c r="B14" s="46">
        <v>3</v>
      </c>
      <c r="C14" s="8" t="s">
        <v>186</v>
      </c>
      <c r="D14" s="136" t="s">
        <v>187</v>
      </c>
      <c r="E14" s="46">
        <v>25</v>
      </c>
      <c r="F14" s="58" t="s">
        <v>184</v>
      </c>
      <c r="G14" s="63" t="str">
        <f>IFERROR(IF(VLOOKUP(TableHandbook[[#This Row],[UDC]],TableAvailabilities[],2,FALSE)&gt;0,"Y",""),"")</f>
        <v>Y</v>
      </c>
      <c r="H14" s="71" t="str">
        <f>IFERROR(IF(VLOOKUP(TableHandbook[[#This Row],[UDC]],TableAvailabilities[],3,FALSE)&gt;0,"Y",""),"")</f>
        <v/>
      </c>
      <c r="I14" s="64" t="str">
        <f>IFERROR(IF(VLOOKUP(TableHandbook[[#This Row],[UDC]],TableAvailabilities[],4,FALSE)&gt;0,"Y",""),"")</f>
        <v>Y</v>
      </c>
      <c r="J14" s="65" t="str">
        <f>IFERROR(IF(VLOOKUP(TableHandbook[[#This Row],[UDC]],TableAvailabilities[],5,FALSE)&gt;0,"Y",""),"")</f>
        <v/>
      </c>
      <c r="K14" s="108"/>
      <c r="L14" s="61" t="str">
        <f>IFERROR(VLOOKUP(TableHandbook[[#This Row],[UDC]],TableOBCONMN[],7,FALSE),"")</f>
        <v>Core</v>
      </c>
      <c r="M14" s="62" t="str">
        <f>IFERROR(VLOOKUP(TableHandbook[[#This Row],[UDC]],TableOUSHCONMN[],7,FALSE),"")</f>
        <v/>
      </c>
      <c r="N14" s="62" t="str">
        <f>IFERROR(VLOOKUP(TableHandbook[[#This Row],[UDC]],TableOUSUCONMN[],7,FALSE),"")</f>
        <v/>
      </c>
      <c r="O14" s="62" t="str">
        <f>IFERROR(VLOOKUP(TableHandbook[[#This Row],[UDC]],TableOSCUANGAD[],7,FALSE),"")</f>
        <v/>
      </c>
      <c r="P14" s="62" t="str">
        <f>IFERROR(VLOOKUP(TableHandbook[[#This Row],[UDC]],TableOSCUINARS[],7,FALSE),"")</f>
        <v/>
      </c>
      <c r="Q14" s="62" t="str">
        <f>IFERROR(VLOOKUP(TableHandbook[[#This Row],[UDC]],TableOSCUPLGEO[],7,FALSE),"")</f>
        <v/>
      </c>
    </row>
    <row r="15" spans="1:18" x14ac:dyDescent="0.25">
      <c r="A15" s="8" t="s">
        <v>41</v>
      </c>
      <c r="B15" s="46">
        <v>1</v>
      </c>
      <c r="C15" s="8" t="s">
        <v>188</v>
      </c>
      <c r="D15" s="136" t="s">
        <v>189</v>
      </c>
      <c r="E15" s="46">
        <v>25</v>
      </c>
      <c r="F15" s="58" t="s">
        <v>183</v>
      </c>
      <c r="G15" s="63" t="str">
        <f>IFERROR(IF(VLOOKUP(TableHandbook[[#This Row],[UDC]],TableAvailabilities[],2,FALSE)&gt;0,"Y",""),"")</f>
        <v/>
      </c>
      <c r="H15" s="71" t="str">
        <f>IFERROR(IF(VLOOKUP(TableHandbook[[#This Row],[UDC]],TableAvailabilities[],3,FALSE)&gt;0,"Y",""),"")</f>
        <v>Y</v>
      </c>
      <c r="I15" s="64" t="str">
        <f>IFERROR(IF(VLOOKUP(TableHandbook[[#This Row],[UDC]],TableAvailabilities[],4,FALSE)&gt;0,"Y",""),"")</f>
        <v/>
      </c>
      <c r="J15" s="65" t="str">
        <f>IFERROR(IF(VLOOKUP(TableHandbook[[#This Row],[UDC]],TableAvailabilities[],5,FALSE)&gt;0,"Y",""),"")</f>
        <v>Y</v>
      </c>
      <c r="K15" s="108"/>
      <c r="L15" s="61" t="str">
        <f>IFERROR(VLOOKUP(TableHandbook[[#This Row],[UDC]],TableOBCONMN[],7,FALSE),"")</f>
        <v>Core</v>
      </c>
      <c r="M15" s="62" t="str">
        <f>IFERROR(VLOOKUP(TableHandbook[[#This Row],[UDC]],TableOUSHCONMN[],7,FALSE),"")</f>
        <v/>
      </c>
      <c r="N15" s="62" t="str">
        <f>IFERROR(VLOOKUP(TableHandbook[[#This Row],[UDC]],TableOUSUCONMN[],7,FALSE),"")</f>
        <v/>
      </c>
      <c r="O15" s="62" t="str">
        <f>IFERROR(VLOOKUP(TableHandbook[[#This Row],[UDC]],TableOSCUANGAD[],7,FALSE),"")</f>
        <v/>
      </c>
      <c r="P15" s="62" t="str">
        <f>IFERROR(VLOOKUP(TableHandbook[[#This Row],[UDC]],TableOSCUINARS[],7,FALSE),"")</f>
        <v/>
      </c>
      <c r="Q15" s="62" t="str">
        <f>IFERROR(VLOOKUP(TableHandbook[[#This Row],[UDC]],TableOSCUPLGEO[],7,FALSE),"")</f>
        <v/>
      </c>
    </row>
    <row r="16" spans="1:18" x14ac:dyDescent="0.25">
      <c r="A16" s="8" t="s">
        <v>46</v>
      </c>
      <c r="B16" s="46">
        <v>3</v>
      </c>
      <c r="C16" s="8" t="s">
        <v>190</v>
      </c>
      <c r="D16" s="136" t="s">
        <v>191</v>
      </c>
      <c r="E16" s="46">
        <v>25</v>
      </c>
      <c r="F16" s="58" t="s">
        <v>183</v>
      </c>
      <c r="G16" s="63" t="str">
        <f>IFERROR(IF(VLOOKUP(TableHandbook[[#This Row],[UDC]],TableAvailabilities[],2,FALSE)&gt;0,"Y",""),"")</f>
        <v/>
      </c>
      <c r="H16" s="71" t="str">
        <f>IFERROR(IF(VLOOKUP(TableHandbook[[#This Row],[UDC]],TableAvailabilities[],3,FALSE)&gt;0,"Y",""),"")</f>
        <v>Y</v>
      </c>
      <c r="I16" s="64" t="str">
        <f>IFERROR(IF(VLOOKUP(TableHandbook[[#This Row],[UDC]],TableAvailabilities[],4,FALSE)&gt;0,"Y",""),"")</f>
        <v/>
      </c>
      <c r="J16" s="65" t="str">
        <f>IFERROR(IF(VLOOKUP(TableHandbook[[#This Row],[UDC]],TableAvailabilities[],5,FALSE)&gt;0,"Y",""),"")</f>
        <v>Y</v>
      </c>
      <c r="K16" s="108"/>
      <c r="L16" s="61" t="str">
        <f>IFERROR(VLOOKUP(TableHandbook[[#This Row],[UDC]],TableOBCONMN[],7,FALSE),"")</f>
        <v>Core</v>
      </c>
      <c r="M16" s="62" t="str">
        <f>IFERROR(VLOOKUP(TableHandbook[[#This Row],[UDC]],TableOUSHCONMN[],7,FALSE),"")</f>
        <v/>
      </c>
      <c r="N16" s="62" t="str">
        <f>IFERROR(VLOOKUP(TableHandbook[[#This Row],[UDC]],TableOUSUCONMN[],7,FALSE),"")</f>
        <v/>
      </c>
      <c r="O16" s="62" t="str">
        <f>IFERROR(VLOOKUP(TableHandbook[[#This Row],[UDC]],TableOSCUANGAD[],7,FALSE),"")</f>
        <v/>
      </c>
      <c r="P16" s="62" t="str">
        <f>IFERROR(VLOOKUP(TableHandbook[[#This Row],[UDC]],TableOSCUINARS[],7,FALSE),"")</f>
        <v/>
      </c>
      <c r="Q16" s="62" t="str">
        <f>IFERROR(VLOOKUP(TableHandbook[[#This Row],[UDC]],TableOSCUPLGEO[],7,FALSE),"")</f>
        <v/>
      </c>
    </row>
    <row r="17" spans="1:17" x14ac:dyDescent="0.25">
      <c r="A17" s="8" t="s">
        <v>55</v>
      </c>
      <c r="B17" s="46">
        <v>1</v>
      </c>
      <c r="C17" s="8" t="s">
        <v>192</v>
      </c>
      <c r="D17" s="136" t="s">
        <v>193</v>
      </c>
      <c r="E17" s="46">
        <v>25</v>
      </c>
      <c r="F17" s="58" t="s">
        <v>184</v>
      </c>
      <c r="G17" s="63" t="str">
        <f>IFERROR(IF(VLOOKUP(TableHandbook[[#This Row],[UDC]],TableAvailabilities[],2,FALSE)&gt;0,"Y",""),"")</f>
        <v>Y</v>
      </c>
      <c r="H17" s="71" t="str">
        <f>IFERROR(IF(VLOOKUP(TableHandbook[[#This Row],[UDC]],TableAvailabilities[],3,FALSE)&gt;0,"Y",""),"")</f>
        <v/>
      </c>
      <c r="I17" s="64" t="str">
        <f>IFERROR(IF(VLOOKUP(TableHandbook[[#This Row],[UDC]],TableAvailabilities[],4,FALSE)&gt;0,"Y",""),"")</f>
        <v>Y</v>
      </c>
      <c r="J17" s="65" t="str">
        <f>IFERROR(IF(VLOOKUP(TableHandbook[[#This Row],[UDC]],TableAvailabilities[],5,FALSE)&gt;0,"Y",""),"")</f>
        <v/>
      </c>
      <c r="K17" s="108"/>
      <c r="L17" s="61" t="str">
        <f>IFERROR(VLOOKUP(TableHandbook[[#This Row],[UDC]],TableOBCONMN[],7,FALSE),"")</f>
        <v>Core</v>
      </c>
      <c r="M17" s="62" t="str">
        <f>IFERROR(VLOOKUP(TableHandbook[[#This Row],[UDC]],TableOUSHCONMN[],7,FALSE),"")</f>
        <v/>
      </c>
      <c r="N17" s="62" t="str">
        <f>IFERROR(VLOOKUP(TableHandbook[[#This Row],[UDC]],TableOUSUCONMN[],7,FALSE),"")</f>
        <v/>
      </c>
      <c r="O17" s="62" t="str">
        <f>IFERROR(VLOOKUP(TableHandbook[[#This Row],[UDC]],TableOSCUANGAD[],7,FALSE),"")</f>
        <v/>
      </c>
      <c r="P17" s="62" t="str">
        <f>IFERROR(VLOOKUP(TableHandbook[[#This Row],[UDC]],TableOSCUINARS[],7,FALSE),"")</f>
        <v/>
      </c>
      <c r="Q17" s="62" t="str">
        <f>IFERROR(VLOOKUP(TableHandbook[[#This Row],[UDC]],TableOSCUPLGEO[],7,FALSE),"")</f>
        <v/>
      </c>
    </row>
    <row r="18" spans="1:17" x14ac:dyDescent="0.25">
      <c r="A18" s="8" t="s">
        <v>58</v>
      </c>
      <c r="B18" s="46">
        <v>1</v>
      </c>
      <c r="C18" s="8" t="s">
        <v>194</v>
      </c>
      <c r="D18" s="136" t="s">
        <v>195</v>
      </c>
      <c r="E18" s="46">
        <v>25</v>
      </c>
      <c r="F18" s="58" t="s">
        <v>184</v>
      </c>
      <c r="G18" s="63" t="str">
        <f>IFERROR(IF(VLOOKUP(TableHandbook[[#This Row],[UDC]],TableAvailabilities[],2,FALSE)&gt;0,"Y",""),"")</f>
        <v/>
      </c>
      <c r="H18" s="71" t="str">
        <f>IFERROR(IF(VLOOKUP(TableHandbook[[#This Row],[UDC]],TableAvailabilities[],3,FALSE)&gt;0,"Y",""),"")</f>
        <v>Y</v>
      </c>
      <c r="I18" s="64" t="str">
        <f>IFERROR(IF(VLOOKUP(TableHandbook[[#This Row],[UDC]],TableAvailabilities[],4,FALSE)&gt;0,"Y",""),"")</f>
        <v/>
      </c>
      <c r="J18" s="65" t="str">
        <f>IFERROR(IF(VLOOKUP(TableHandbook[[#This Row],[UDC]],TableAvailabilities[],5,FALSE)&gt;0,"Y",""),"")</f>
        <v>Y</v>
      </c>
      <c r="K18" s="108"/>
      <c r="L18" s="61" t="str">
        <f>IFERROR(VLOOKUP(TableHandbook[[#This Row],[UDC]],TableOBCONMN[],7,FALSE),"")</f>
        <v>Core</v>
      </c>
      <c r="M18" s="62" t="str">
        <f>IFERROR(VLOOKUP(TableHandbook[[#This Row],[UDC]],TableOUSHCONMN[],7,FALSE),"")</f>
        <v/>
      </c>
      <c r="N18" s="62" t="str">
        <f>IFERROR(VLOOKUP(TableHandbook[[#This Row],[UDC]],TableOUSUCONMN[],7,FALSE),"")</f>
        <v/>
      </c>
      <c r="O18" s="62" t="str">
        <f>IFERROR(VLOOKUP(TableHandbook[[#This Row],[UDC]],TableOSCUANGAD[],7,FALSE),"")</f>
        <v/>
      </c>
      <c r="P18" s="62" t="str">
        <f>IFERROR(VLOOKUP(TableHandbook[[#This Row],[UDC]],TableOSCUINARS[],7,FALSE),"")</f>
        <v/>
      </c>
      <c r="Q18" s="62" t="str">
        <f>IFERROR(VLOOKUP(TableHandbook[[#This Row],[UDC]],TableOSCUPLGEO[],7,FALSE),"")</f>
        <v/>
      </c>
    </row>
    <row r="19" spans="1:17" x14ac:dyDescent="0.25">
      <c r="A19" s="8" t="s">
        <v>77</v>
      </c>
      <c r="B19" s="46">
        <v>1</v>
      </c>
      <c r="C19" s="8" t="s">
        <v>196</v>
      </c>
      <c r="D19" s="136" t="s">
        <v>197</v>
      </c>
      <c r="E19" s="46">
        <v>25</v>
      </c>
      <c r="F19" s="58" t="s">
        <v>198</v>
      </c>
      <c r="G19" s="63" t="str">
        <f>IFERROR(IF(VLOOKUP(TableHandbook[[#This Row],[UDC]],TableAvailabilities[],2,FALSE)&gt;0,"Y",""),"")</f>
        <v/>
      </c>
      <c r="H19" s="71" t="str">
        <f>IFERROR(IF(VLOOKUP(TableHandbook[[#This Row],[UDC]],TableAvailabilities[],3,FALSE)&gt;0,"Y",""),"")</f>
        <v>Y</v>
      </c>
      <c r="I19" s="64" t="str">
        <f>IFERROR(IF(VLOOKUP(TableHandbook[[#This Row],[UDC]],TableAvailabilities[],4,FALSE)&gt;0,"Y",""),"")</f>
        <v/>
      </c>
      <c r="J19" s="65" t="str">
        <f>IFERROR(IF(VLOOKUP(TableHandbook[[#This Row],[UDC]],TableAvailabilities[],5,FALSE)&gt;0,"Y",""),"")</f>
        <v>Y</v>
      </c>
      <c r="K19" s="108"/>
      <c r="L19" s="61" t="str">
        <f>IFERROR(VLOOKUP(TableHandbook[[#This Row],[UDC]],TableOBCONMN[],7,FALSE),"")</f>
        <v>Core</v>
      </c>
      <c r="M19" s="62" t="str">
        <f>IFERROR(VLOOKUP(TableHandbook[[#This Row],[UDC]],TableOUSHCONMN[],7,FALSE),"")</f>
        <v/>
      </c>
      <c r="N19" s="62" t="str">
        <f>IFERROR(VLOOKUP(TableHandbook[[#This Row],[UDC]],TableOUSUCONMN[],7,FALSE),"")</f>
        <v/>
      </c>
      <c r="O19" s="62" t="str">
        <f>IFERROR(VLOOKUP(TableHandbook[[#This Row],[UDC]],TableOSCUANGAD[],7,FALSE),"")</f>
        <v/>
      </c>
      <c r="P19" s="62" t="str">
        <f>IFERROR(VLOOKUP(TableHandbook[[#This Row],[UDC]],TableOSCUINARS[],7,FALSE),"")</f>
        <v/>
      </c>
      <c r="Q19" s="62" t="str">
        <f>IFERROR(VLOOKUP(TableHandbook[[#This Row],[UDC]],TableOSCUPLGEO[],7,FALSE),"")</f>
        <v/>
      </c>
    </row>
    <row r="20" spans="1:17" x14ac:dyDescent="0.25">
      <c r="A20" s="8" t="s">
        <v>68</v>
      </c>
      <c r="B20" s="46">
        <v>1</v>
      </c>
      <c r="C20" s="8" t="s">
        <v>198</v>
      </c>
      <c r="D20" s="136" t="s">
        <v>199</v>
      </c>
      <c r="E20" s="46">
        <v>25</v>
      </c>
      <c r="F20" s="58" t="s">
        <v>186</v>
      </c>
      <c r="G20" s="63" t="str">
        <f>IFERROR(IF(VLOOKUP(TableHandbook[[#This Row],[UDC]],TableAvailabilities[],2,FALSE)&gt;0,"Y",""),"")</f>
        <v/>
      </c>
      <c r="H20" s="71" t="str">
        <f>IFERROR(IF(VLOOKUP(TableHandbook[[#This Row],[UDC]],TableAvailabilities[],3,FALSE)&gt;0,"Y",""),"")</f>
        <v>Y</v>
      </c>
      <c r="I20" s="64" t="str">
        <f>IFERROR(IF(VLOOKUP(TableHandbook[[#This Row],[UDC]],TableAvailabilities[],4,FALSE)&gt;0,"Y",""),"")</f>
        <v/>
      </c>
      <c r="J20" s="65" t="str">
        <f>IFERROR(IF(VLOOKUP(TableHandbook[[#This Row],[UDC]],TableAvailabilities[],5,FALSE)&gt;0,"Y",""),"")</f>
        <v>Y</v>
      </c>
      <c r="K20" s="108"/>
      <c r="L20" s="61" t="str">
        <f>IFERROR(VLOOKUP(TableHandbook[[#This Row],[UDC]],TableOBCONMN[],7,FALSE),"")</f>
        <v>Core</v>
      </c>
      <c r="M20" s="62" t="str">
        <f>IFERROR(VLOOKUP(TableHandbook[[#This Row],[UDC]],TableOUSHCONMN[],7,FALSE),"")</f>
        <v/>
      </c>
      <c r="N20" s="62" t="str">
        <f>IFERROR(VLOOKUP(TableHandbook[[#This Row],[UDC]],TableOUSUCONMN[],7,FALSE),"")</f>
        <v/>
      </c>
      <c r="O20" s="62" t="str">
        <f>IFERROR(VLOOKUP(TableHandbook[[#This Row],[UDC]],TableOSCUANGAD[],7,FALSE),"")</f>
        <v/>
      </c>
      <c r="P20" s="62" t="str">
        <f>IFERROR(VLOOKUP(TableHandbook[[#This Row],[UDC]],TableOSCUINARS[],7,FALSE),"")</f>
        <v/>
      </c>
      <c r="Q20" s="62" t="str">
        <f>IFERROR(VLOOKUP(TableHandbook[[#This Row],[UDC]],TableOSCUPLGEO[],7,FALSE),"")</f>
        <v/>
      </c>
    </row>
    <row r="21" spans="1:17" x14ac:dyDescent="0.25">
      <c r="A21" s="8" t="s">
        <v>66</v>
      </c>
      <c r="B21" s="46">
        <v>1</v>
      </c>
      <c r="C21" s="8" t="s">
        <v>200</v>
      </c>
      <c r="D21" s="136" t="s">
        <v>201</v>
      </c>
      <c r="E21" s="46">
        <v>25</v>
      </c>
      <c r="F21" s="58" t="s">
        <v>183</v>
      </c>
      <c r="G21" s="63" t="str">
        <f>IFERROR(IF(VLOOKUP(TableHandbook[[#This Row],[UDC]],TableAvailabilities[],2,FALSE)&gt;0,"Y",""),"")</f>
        <v>Y</v>
      </c>
      <c r="H21" s="71" t="str">
        <f>IFERROR(IF(VLOOKUP(TableHandbook[[#This Row],[UDC]],TableAvailabilities[],3,FALSE)&gt;0,"Y",""),"")</f>
        <v/>
      </c>
      <c r="I21" s="64" t="str">
        <f>IFERROR(IF(VLOOKUP(TableHandbook[[#This Row],[UDC]],TableAvailabilities[],4,FALSE)&gt;0,"Y",""),"")</f>
        <v>Y</v>
      </c>
      <c r="J21" s="65" t="str">
        <f>IFERROR(IF(VLOOKUP(TableHandbook[[#This Row],[UDC]],TableAvailabilities[],5,FALSE)&gt;0,"Y",""),"")</f>
        <v/>
      </c>
      <c r="K21" s="108"/>
      <c r="L21" s="61" t="str">
        <f>IFERROR(VLOOKUP(TableHandbook[[#This Row],[UDC]],TableOBCONMN[],7,FALSE),"")</f>
        <v>Core</v>
      </c>
      <c r="M21" s="62" t="str">
        <f>IFERROR(VLOOKUP(TableHandbook[[#This Row],[UDC]],TableOUSHCONMN[],7,FALSE),"")</f>
        <v/>
      </c>
      <c r="N21" s="62" t="str">
        <f>IFERROR(VLOOKUP(TableHandbook[[#This Row],[UDC]],TableOUSUCONMN[],7,FALSE),"")</f>
        <v/>
      </c>
      <c r="O21" s="62" t="str">
        <f>IFERROR(VLOOKUP(TableHandbook[[#This Row],[UDC]],TableOSCUANGAD[],7,FALSE),"")</f>
        <v/>
      </c>
      <c r="P21" s="62" t="str">
        <f>IFERROR(VLOOKUP(TableHandbook[[#This Row],[UDC]],TableOSCUINARS[],7,FALSE),"")</f>
        <v/>
      </c>
      <c r="Q21" s="62" t="str">
        <f>IFERROR(VLOOKUP(TableHandbook[[#This Row],[UDC]],TableOSCUPLGEO[],7,FALSE),"")</f>
        <v/>
      </c>
    </row>
    <row r="22" spans="1:17" x14ac:dyDescent="0.25">
      <c r="A22" s="8" t="s">
        <v>76</v>
      </c>
      <c r="B22" s="46">
        <v>3</v>
      </c>
      <c r="C22" s="8" t="s">
        <v>202</v>
      </c>
      <c r="D22" s="136" t="s">
        <v>203</v>
      </c>
      <c r="E22" s="46">
        <v>25</v>
      </c>
      <c r="F22" s="58" t="s">
        <v>183</v>
      </c>
      <c r="G22" s="63" t="str">
        <f>IFERROR(IF(VLOOKUP(TableHandbook[[#This Row],[UDC]],TableAvailabilities[],2,FALSE)&gt;0,"Y",""),"")</f>
        <v>Y</v>
      </c>
      <c r="H22" s="71" t="str">
        <f>IFERROR(IF(VLOOKUP(TableHandbook[[#This Row],[UDC]],TableAvailabilities[],3,FALSE)&gt;0,"Y",""),"")</f>
        <v/>
      </c>
      <c r="I22" s="64" t="str">
        <f>IFERROR(IF(VLOOKUP(TableHandbook[[#This Row],[UDC]],TableAvailabilities[],4,FALSE)&gt;0,"Y",""),"")</f>
        <v>Y</v>
      </c>
      <c r="J22" s="65" t="str">
        <f>IFERROR(IF(VLOOKUP(TableHandbook[[#This Row],[UDC]],TableAvailabilities[],5,FALSE)&gt;0,"Y",""),"")</f>
        <v/>
      </c>
      <c r="K22" s="108"/>
      <c r="L22" s="61" t="str">
        <f>IFERROR(VLOOKUP(TableHandbook[[#This Row],[UDC]],TableOBCONMN[],7,FALSE),"")</f>
        <v>Core</v>
      </c>
      <c r="M22" s="62" t="str">
        <f>IFERROR(VLOOKUP(TableHandbook[[#This Row],[UDC]],TableOUSHCONMN[],7,FALSE),"")</f>
        <v/>
      </c>
      <c r="N22" s="62" t="str">
        <f>IFERROR(VLOOKUP(TableHandbook[[#This Row],[UDC]],TableOUSUCONMN[],7,FALSE),"")</f>
        <v/>
      </c>
      <c r="O22" s="62" t="str">
        <f>IFERROR(VLOOKUP(TableHandbook[[#This Row],[UDC]],TableOSCUANGAD[],7,FALSE),"")</f>
        <v/>
      </c>
      <c r="P22" s="62" t="str">
        <f>IFERROR(VLOOKUP(TableHandbook[[#This Row],[UDC]],TableOSCUINARS[],7,FALSE),"")</f>
        <v/>
      </c>
      <c r="Q22" s="62" t="str">
        <f>IFERROR(VLOOKUP(TableHandbook[[#This Row],[UDC]],TableOSCUPLGEO[],7,FALSE),"")</f>
        <v/>
      </c>
    </row>
    <row r="23" spans="1:17" x14ac:dyDescent="0.25">
      <c r="A23" s="8" t="s">
        <v>79</v>
      </c>
      <c r="B23" s="46">
        <v>3</v>
      </c>
      <c r="C23" s="8" t="s">
        <v>204</v>
      </c>
      <c r="D23" s="136" t="s">
        <v>205</v>
      </c>
      <c r="E23" s="46">
        <v>25</v>
      </c>
      <c r="F23" s="58" t="s">
        <v>186</v>
      </c>
      <c r="G23" s="63" t="str">
        <f>IFERROR(IF(VLOOKUP(TableHandbook[[#This Row],[UDC]],TableAvailabilities[],2,FALSE)&gt;0,"Y",""),"")</f>
        <v>Y</v>
      </c>
      <c r="H23" s="71" t="str">
        <f>IFERROR(IF(VLOOKUP(TableHandbook[[#This Row],[UDC]],TableAvailabilities[],3,FALSE)&gt;0,"Y",""),"")</f>
        <v/>
      </c>
      <c r="I23" s="64" t="str">
        <f>IFERROR(IF(VLOOKUP(TableHandbook[[#This Row],[UDC]],TableAvailabilities[],4,FALSE)&gt;0,"Y",""),"")</f>
        <v>Y</v>
      </c>
      <c r="J23" s="65" t="str">
        <f>IFERROR(IF(VLOOKUP(TableHandbook[[#This Row],[UDC]],TableAvailabilities[],5,FALSE)&gt;0,"Y",""),"")</f>
        <v/>
      </c>
      <c r="K23" s="108"/>
      <c r="L23" s="61" t="str">
        <f>IFERROR(VLOOKUP(TableHandbook[[#This Row],[UDC]],TableOBCONMN[],7,FALSE),"")</f>
        <v>Core</v>
      </c>
      <c r="M23" s="62" t="str">
        <f>IFERROR(VLOOKUP(TableHandbook[[#This Row],[UDC]],TableOUSHCONMN[],7,FALSE),"")</f>
        <v/>
      </c>
      <c r="N23" s="62" t="str">
        <f>IFERROR(VLOOKUP(TableHandbook[[#This Row],[UDC]],TableOUSUCONMN[],7,FALSE),"")</f>
        <v/>
      </c>
      <c r="O23" s="62" t="str">
        <f>IFERROR(VLOOKUP(TableHandbook[[#This Row],[UDC]],TableOSCUANGAD[],7,FALSE),"")</f>
        <v/>
      </c>
      <c r="P23" s="62" t="str">
        <f>IFERROR(VLOOKUP(TableHandbook[[#This Row],[UDC]],TableOSCUINARS[],7,FALSE),"")</f>
        <v/>
      </c>
      <c r="Q23" s="62" t="str">
        <f>IFERROR(VLOOKUP(TableHandbook[[#This Row],[UDC]],TableOSCUPLGEO[],7,FALSE),"")</f>
        <v/>
      </c>
    </row>
    <row r="24" spans="1:17" x14ac:dyDescent="0.25">
      <c r="A24" s="6" t="s">
        <v>73</v>
      </c>
      <c r="B24" s="120">
        <v>1</v>
      </c>
      <c r="C24" s="6" t="s">
        <v>206</v>
      </c>
      <c r="D24" s="137" t="s">
        <v>207</v>
      </c>
      <c r="E24" s="46">
        <v>25</v>
      </c>
      <c r="F24" s="58" t="s">
        <v>208</v>
      </c>
      <c r="G24" s="129" t="str">
        <f>IFERROR(IF(VLOOKUP(TableHandbook[[#This Row],[UDC]],TableAvailabilities[],2,FALSE)&gt;0,"Y",""),"")</f>
        <v/>
      </c>
      <c r="H24" s="125" t="str">
        <f>IFERROR(IF(VLOOKUP(TableHandbook[[#This Row],[UDC]],TableAvailabilities[],3,FALSE)&gt;0,"Y",""),"")</f>
        <v>Y</v>
      </c>
      <c r="I24" s="130" t="str">
        <f>IFERROR(IF(VLOOKUP(TableHandbook[[#This Row],[UDC]],TableAvailabilities[],4,FALSE)&gt;0,"Y",""),"")</f>
        <v/>
      </c>
      <c r="J24" s="131" t="str">
        <f>IFERROR(IF(VLOOKUP(TableHandbook[[#This Row],[UDC]],TableAvailabilities[],5,FALSE)&gt;0,"Y",""),"")</f>
        <v>Y</v>
      </c>
      <c r="K24" s="126"/>
      <c r="L24" s="61" t="str">
        <f>IFERROR(VLOOKUP(TableHandbook[[#This Row],[UDC]],TableOBCONMN[],7,FALSE),"")</f>
        <v>Core</v>
      </c>
      <c r="M24" s="62" t="str">
        <f>IFERROR(VLOOKUP(TableHandbook[[#This Row],[UDC]],TableOUSHCONMN[],7,FALSE),"")</f>
        <v/>
      </c>
      <c r="N24" s="62" t="str">
        <f>IFERROR(VLOOKUP(TableHandbook[[#This Row],[UDC]],TableOUSUCONMN[],7,FALSE),"")</f>
        <v/>
      </c>
      <c r="O24" s="62" t="str">
        <f>IFERROR(VLOOKUP(TableHandbook[[#This Row],[UDC]],TableOSCUANGAD[],7,FALSE),"")</f>
        <v/>
      </c>
      <c r="P24" s="62" t="str">
        <f>IFERROR(VLOOKUP(TableHandbook[[#This Row],[UDC]],TableOSCUINARS[],7,FALSE),"")</f>
        <v/>
      </c>
      <c r="Q24" s="62" t="str">
        <f>IFERROR(VLOOKUP(TableHandbook[[#This Row],[UDC]],TableOSCUPLGEO[],7,FALSE),"")</f>
        <v/>
      </c>
    </row>
    <row r="25" spans="1:17" x14ac:dyDescent="0.25">
      <c r="A25" s="8" t="s">
        <v>89</v>
      </c>
      <c r="B25" s="46">
        <v>4</v>
      </c>
      <c r="C25" s="8" t="s">
        <v>209</v>
      </c>
      <c r="D25" s="136" t="s">
        <v>383</v>
      </c>
      <c r="E25" s="46">
        <v>25</v>
      </c>
      <c r="F25" s="58" t="s">
        <v>210</v>
      </c>
      <c r="G25" s="129" t="str">
        <f>IFERROR(IF(VLOOKUP(TableHandbook[[#This Row],[UDC]],TableAvailabilities[],2,FALSE)&gt;0,"Y",""),"")</f>
        <v/>
      </c>
      <c r="H25" s="125" t="str">
        <f>IFERROR(IF(VLOOKUP(TableHandbook[[#This Row],[UDC]],TableAvailabilities[],3,FALSE)&gt;0,"Y",""),"")</f>
        <v/>
      </c>
      <c r="I25" s="130" t="str">
        <f>IFERROR(IF(VLOOKUP(TableHandbook[[#This Row],[UDC]],TableAvailabilities[],4,FALSE)&gt;0,"Y",""),"")</f>
        <v/>
      </c>
      <c r="J25" s="131" t="str">
        <f>IFERROR(IF(VLOOKUP(TableHandbook[[#This Row],[UDC]],TableAvailabilities[],5,FALSE)&gt;0,"Y",""),"")</f>
        <v/>
      </c>
      <c r="K25" s="108"/>
      <c r="L25" s="61" t="str">
        <f>IFERROR(VLOOKUP(TableHandbook[[#This Row],[UDC]],TableOBCONMN[],7,FALSE),"")</f>
        <v>Core</v>
      </c>
      <c r="M25" s="62" t="str">
        <f>IFERROR(VLOOKUP(TableHandbook[[#This Row],[UDC]],TableOUSHCONMN[],7,FALSE),"")</f>
        <v/>
      </c>
      <c r="N25" s="62" t="str">
        <f>IFERROR(VLOOKUP(TableHandbook[[#This Row],[UDC]],TableOUSUCONMN[],7,FALSE),"")</f>
        <v/>
      </c>
      <c r="O25" s="62" t="str">
        <f>IFERROR(VLOOKUP(TableHandbook[[#This Row],[UDC]],TableOSCUANGAD[],7,FALSE),"")</f>
        <v/>
      </c>
      <c r="P25" s="62" t="str">
        <f>IFERROR(VLOOKUP(TableHandbook[[#This Row],[UDC]],TableOSCUINARS[],7,FALSE),"")</f>
        <v/>
      </c>
      <c r="Q25" s="62" t="str">
        <f>IFERROR(VLOOKUP(TableHandbook[[#This Row],[UDC]],TableOSCUPLGEO[],7,FALSE),"")</f>
        <v/>
      </c>
    </row>
    <row r="26" spans="1:17" x14ac:dyDescent="0.25">
      <c r="A26" s="8" t="s">
        <v>92</v>
      </c>
      <c r="B26" s="46">
        <v>2</v>
      </c>
      <c r="C26" s="8" t="s">
        <v>211</v>
      </c>
      <c r="D26" s="136" t="s">
        <v>384</v>
      </c>
      <c r="E26" s="46">
        <v>25</v>
      </c>
      <c r="F26" s="58" t="s">
        <v>186</v>
      </c>
      <c r="G26" s="129" t="str">
        <f>IFERROR(IF(VLOOKUP(TableHandbook[[#This Row],[UDC]],TableAvailabilities[],2,FALSE)&gt;0,"Y",""),"")</f>
        <v/>
      </c>
      <c r="H26" s="125" t="str">
        <f>IFERROR(IF(VLOOKUP(TableHandbook[[#This Row],[UDC]],TableAvailabilities[],3,FALSE)&gt;0,"Y",""),"")</f>
        <v/>
      </c>
      <c r="I26" s="130" t="str">
        <f>IFERROR(IF(VLOOKUP(TableHandbook[[#This Row],[UDC]],TableAvailabilities[],4,FALSE)&gt;0,"Y",""),"")</f>
        <v/>
      </c>
      <c r="J26" s="131" t="str">
        <f>IFERROR(IF(VLOOKUP(TableHandbook[[#This Row],[UDC]],TableAvailabilities[],5,FALSE)&gt;0,"Y",""),"")</f>
        <v/>
      </c>
      <c r="K26" s="108"/>
      <c r="L26" s="61" t="str">
        <f>IFERROR(VLOOKUP(TableHandbook[[#This Row],[UDC]],TableOBCONMN[],7,FALSE),"")</f>
        <v>Core</v>
      </c>
      <c r="M26" s="62" t="str">
        <f>IFERROR(VLOOKUP(TableHandbook[[#This Row],[UDC]],TableOUSHCONMN[],7,FALSE),"")</f>
        <v/>
      </c>
      <c r="N26" s="62" t="str">
        <f>IFERROR(VLOOKUP(TableHandbook[[#This Row],[UDC]],TableOUSUCONMN[],7,FALSE),"")</f>
        <v/>
      </c>
      <c r="O26" s="62" t="str">
        <f>IFERROR(VLOOKUP(TableHandbook[[#This Row],[UDC]],TableOSCUANGAD[],7,FALSE),"")</f>
        <v/>
      </c>
      <c r="P26" s="62" t="str">
        <f>IFERROR(VLOOKUP(TableHandbook[[#This Row],[UDC]],TableOSCUINARS[],7,FALSE),"")</f>
        <v/>
      </c>
      <c r="Q26" s="62" t="str">
        <f>IFERROR(VLOOKUP(TableHandbook[[#This Row],[UDC]],TableOSCUPLGEO[],7,FALSE),"")</f>
        <v/>
      </c>
    </row>
    <row r="27" spans="1:17" x14ac:dyDescent="0.25">
      <c r="A27" s="7" t="s">
        <v>99</v>
      </c>
      <c r="B27" s="20">
        <v>1</v>
      </c>
      <c r="C27" s="7" t="s">
        <v>212</v>
      </c>
      <c r="D27" s="138" t="s">
        <v>386</v>
      </c>
      <c r="E27" s="46">
        <v>25</v>
      </c>
      <c r="F27" s="58" t="s">
        <v>183</v>
      </c>
      <c r="G27" s="129" t="str">
        <f>IFERROR(IF(VLOOKUP(TableHandbook[[#This Row],[UDC]],TableAvailabilities[],2,FALSE)&gt;0,"Y",""),"")</f>
        <v/>
      </c>
      <c r="H27" s="125" t="str">
        <f>IFERROR(IF(VLOOKUP(TableHandbook[[#This Row],[UDC]],TableAvailabilities[],3,FALSE)&gt;0,"Y",""),"")</f>
        <v/>
      </c>
      <c r="I27" s="130" t="str">
        <f>IFERROR(IF(VLOOKUP(TableHandbook[[#This Row],[UDC]],TableAvailabilities[],4,FALSE)&gt;0,"Y",""),"")</f>
        <v/>
      </c>
      <c r="J27" s="131" t="str">
        <f>IFERROR(IF(VLOOKUP(TableHandbook[[#This Row],[UDC]],TableAvailabilities[],5,FALSE)&gt;0,"Y",""),"")</f>
        <v/>
      </c>
      <c r="K27" s="126" t="s">
        <v>213</v>
      </c>
      <c r="L27" s="61" t="str">
        <f>IFERROR(VLOOKUP(TableHandbook[[#This Row],[UDC]],TableOBCONMN[],7,FALSE),"")</f>
        <v>Core</v>
      </c>
      <c r="M27" s="62" t="str">
        <f>IFERROR(VLOOKUP(TableHandbook[[#This Row],[UDC]],TableOUSHCONMN[],7,FALSE),"")</f>
        <v/>
      </c>
      <c r="N27" s="62" t="str">
        <f>IFERROR(VLOOKUP(TableHandbook[[#This Row],[UDC]],TableOUSUCONMN[],7,FALSE),"")</f>
        <v/>
      </c>
      <c r="O27" s="62" t="str">
        <f>IFERROR(VLOOKUP(TableHandbook[[#This Row],[UDC]],TableOSCUANGAD[],7,FALSE),"")</f>
        <v/>
      </c>
      <c r="P27" s="62" t="str">
        <f>IFERROR(VLOOKUP(TableHandbook[[#This Row],[UDC]],TableOSCUINARS[],7,FALSE),"")</f>
        <v/>
      </c>
      <c r="Q27" s="62" t="str">
        <f>IFERROR(VLOOKUP(TableHandbook[[#This Row],[UDC]],TableOSCUPLGEO[],7,FALSE),"")</f>
        <v/>
      </c>
    </row>
    <row r="28" spans="1:17" x14ac:dyDescent="0.25">
      <c r="A28" s="7" t="s">
        <v>98</v>
      </c>
      <c r="B28" s="20">
        <v>1</v>
      </c>
      <c r="C28" s="7" t="s">
        <v>214</v>
      </c>
      <c r="D28" s="138" t="s">
        <v>387</v>
      </c>
      <c r="E28" s="46">
        <v>25</v>
      </c>
      <c r="F28" s="58" t="s">
        <v>215</v>
      </c>
      <c r="G28" s="129" t="str">
        <f>IFERROR(IF(VLOOKUP(TableHandbook[[#This Row],[UDC]],TableAvailabilities[],2,FALSE)&gt;0,"Y",""),"")</f>
        <v/>
      </c>
      <c r="H28" s="125" t="str">
        <f>IFERROR(IF(VLOOKUP(TableHandbook[[#This Row],[UDC]],TableAvailabilities[],3,FALSE)&gt;0,"Y",""),"")</f>
        <v/>
      </c>
      <c r="I28" s="130" t="str">
        <f>IFERROR(IF(VLOOKUP(TableHandbook[[#This Row],[UDC]],TableAvailabilities[],4,FALSE)&gt;0,"Y",""),"")</f>
        <v/>
      </c>
      <c r="J28" s="131" t="str">
        <f>IFERROR(IF(VLOOKUP(TableHandbook[[#This Row],[UDC]],TableAvailabilities[],5,FALSE)&gt;0,"Y",""),"")</f>
        <v/>
      </c>
      <c r="K28" s="126" t="s">
        <v>216</v>
      </c>
      <c r="L28" s="61" t="str">
        <f>IFERROR(VLOOKUP(TableHandbook[[#This Row],[UDC]],TableOBCONMN[],7,FALSE),"")</f>
        <v>Core</v>
      </c>
      <c r="M28" s="62" t="str">
        <f>IFERROR(VLOOKUP(TableHandbook[[#This Row],[UDC]],TableOUSHCONMN[],7,FALSE),"")</f>
        <v/>
      </c>
      <c r="N28" s="62" t="str">
        <f>IFERROR(VLOOKUP(TableHandbook[[#This Row],[UDC]],TableOUSUCONMN[],7,FALSE),"")</f>
        <v/>
      </c>
      <c r="O28" s="62" t="str">
        <f>IFERROR(VLOOKUP(TableHandbook[[#This Row],[UDC]],TableOSCUANGAD[],7,FALSE),"")</f>
        <v/>
      </c>
      <c r="P28" s="62" t="str">
        <f>IFERROR(VLOOKUP(TableHandbook[[#This Row],[UDC]],TableOSCUINARS[],7,FALSE),"")</f>
        <v/>
      </c>
      <c r="Q28" s="62" t="str">
        <f>IFERROR(VLOOKUP(TableHandbook[[#This Row],[UDC]],TableOSCUPLGEO[],7,FALSE),"")</f>
        <v/>
      </c>
    </row>
    <row r="29" spans="1:17" x14ac:dyDescent="0.25">
      <c r="A29" s="7" t="s">
        <v>87</v>
      </c>
      <c r="B29" s="20">
        <v>1</v>
      </c>
      <c r="C29" s="7" t="s">
        <v>217</v>
      </c>
      <c r="D29" s="138" t="s">
        <v>388</v>
      </c>
      <c r="E29" s="46">
        <v>25</v>
      </c>
      <c r="F29" s="58" t="s">
        <v>198</v>
      </c>
      <c r="G29" s="129" t="str">
        <f>IFERROR(IF(VLOOKUP(TableHandbook[[#This Row],[UDC]],TableAvailabilities[],2,FALSE)&gt;0,"Y",""),"")</f>
        <v/>
      </c>
      <c r="H29" s="125" t="str">
        <f>IFERROR(IF(VLOOKUP(TableHandbook[[#This Row],[UDC]],TableAvailabilities[],3,FALSE)&gt;0,"Y",""),"")</f>
        <v/>
      </c>
      <c r="I29" s="130" t="str">
        <f>IFERROR(IF(VLOOKUP(TableHandbook[[#This Row],[UDC]],TableAvailabilities[],4,FALSE)&gt;0,"Y",""),"")</f>
        <v/>
      </c>
      <c r="J29" s="131" t="str">
        <f>IFERROR(IF(VLOOKUP(TableHandbook[[#This Row],[UDC]],TableAvailabilities[],5,FALSE)&gt;0,"Y",""),"")</f>
        <v/>
      </c>
      <c r="K29" s="126" t="s">
        <v>216</v>
      </c>
      <c r="L29" s="61" t="str">
        <f>IFERROR(VLOOKUP(TableHandbook[[#This Row],[UDC]],TableOBCONMN[],7,FALSE),"")</f>
        <v>Core</v>
      </c>
      <c r="M29" s="62" t="str">
        <f>IFERROR(VLOOKUP(TableHandbook[[#This Row],[UDC]],TableOUSHCONMN[],7,FALSE),"")</f>
        <v/>
      </c>
      <c r="N29" s="62" t="str">
        <f>IFERROR(VLOOKUP(TableHandbook[[#This Row],[UDC]],TableOUSUCONMN[],7,FALSE),"")</f>
        <v/>
      </c>
      <c r="O29" s="62" t="str">
        <f>IFERROR(VLOOKUP(TableHandbook[[#This Row],[UDC]],TableOSCUANGAD[],7,FALSE),"")</f>
        <v/>
      </c>
      <c r="P29" s="62" t="str">
        <f>IFERROR(VLOOKUP(TableHandbook[[#This Row],[UDC]],TableOSCUINARS[],7,FALSE),"")</f>
        <v/>
      </c>
      <c r="Q29" s="62" t="str">
        <f>IFERROR(VLOOKUP(TableHandbook[[#This Row],[UDC]],TableOSCUPLGEO[],7,FALSE),"")</f>
        <v/>
      </c>
    </row>
    <row r="30" spans="1:17" x14ac:dyDescent="0.25">
      <c r="A30" s="94" t="s">
        <v>119</v>
      </c>
      <c r="B30" s="95">
        <v>2</v>
      </c>
      <c r="C30" s="94" t="s">
        <v>218</v>
      </c>
      <c r="D30" s="139" t="s">
        <v>219</v>
      </c>
      <c r="E30" s="46">
        <v>25</v>
      </c>
      <c r="F30" s="58"/>
      <c r="G30" s="63" t="str">
        <f>IFERROR(IF(VLOOKUP(TableHandbook[[#This Row],[UDC]],TableAvailabilities[],2,FALSE)&gt;0,"Y",""),"")</f>
        <v/>
      </c>
      <c r="H30" s="71" t="str">
        <f>IFERROR(IF(VLOOKUP(TableHandbook[[#This Row],[UDC]],TableAvailabilities[],3,FALSE)&gt;0,"Y",""),"")</f>
        <v/>
      </c>
      <c r="I30" s="64" t="str">
        <f>IFERROR(IF(VLOOKUP(TableHandbook[[#This Row],[UDC]],TableAvailabilities[],4,FALSE)&gt;0,"Y",""),"")</f>
        <v/>
      </c>
      <c r="J30" s="65" t="str">
        <f>IFERROR(IF(VLOOKUP(TableHandbook[[#This Row],[UDC]],TableAvailabilities[],5,FALSE)&gt;0,"Y",""),"")</f>
        <v/>
      </c>
      <c r="K30" s="108"/>
      <c r="L30" s="61" t="str">
        <f>IFERROR(VLOOKUP(TableHandbook[[#This Row],[UDC]],TableOBCONMN[],7,FALSE),"")</f>
        <v/>
      </c>
      <c r="M30" s="62" t="str">
        <f>IFERROR(VLOOKUP(TableHandbook[[#This Row],[UDC]],TableOUSHCONMN[],7,FALSE),"")</f>
        <v>Core</v>
      </c>
      <c r="N30" s="62" t="str">
        <f>IFERROR(VLOOKUP(TableHandbook[[#This Row],[UDC]],TableOUSUCONMN[],7,FALSE),"")</f>
        <v/>
      </c>
      <c r="O30" s="62" t="str">
        <f>IFERROR(VLOOKUP(TableHandbook[[#This Row],[UDC]],TableOSCUANGAD[],7,FALSE),"")</f>
        <v/>
      </c>
      <c r="P30" s="62" t="str">
        <f>IFERROR(VLOOKUP(TableHandbook[[#This Row],[UDC]],TableOSCUINARS[],7,FALSE),"")</f>
        <v/>
      </c>
      <c r="Q30" s="62" t="str">
        <f>IFERROR(VLOOKUP(TableHandbook[[#This Row],[UDC]],TableOSCUPLGEO[],7,FALSE),"")</f>
        <v/>
      </c>
    </row>
    <row r="31" spans="1:17" x14ac:dyDescent="0.25">
      <c r="A31" s="94" t="s">
        <v>122</v>
      </c>
      <c r="B31" s="95">
        <v>2</v>
      </c>
      <c r="C31" s="94" t="s">
        <v>220</v>
      </c>
      <c r="D31" s="139" t="s">
        <v>221</v>
      </c>
      <c r="E31" s="46">
        <v>50</v>
      </c>
      <c r="F31" s="58"/>
      <c r="G31" s="63" t="str">
        <f>IFERROR(IF(VLOOKUP(TableHandbook[[#This Row],[UDC]],TableAvailabilities[],2,FALSE)&gt;0,"Y",""),"")</f>
        <v/>
      </c>
      <c r="H31" s="71" t="str">
        <f>IFERROR(IF(VLOOKUP(TableHandbook[[#This Row],[UDC]],TableAvailabilities[],3,FALSE)&gt;0,"Y",""),"")</f>
        <v/>
      </c>
      <c r="I31" s="64" t="str">
        <f>IFERROR(IF(VLOOKUP(TableHandbook[[#This Row],[UDC]],TableAvailabilities[],4,FALSE)&gt;0,"Y",""),"")</f>
        <v/>
      </c>
      <c r="J31" s="65" t="str">
        <f>IFERROR(IF(VLOOKUP(TableHandbook[[#This Row],[UDC]],TableAvailabilities[],5,FALSE)&gt;0,"Y",""),"")</f>
        <v/>
      </c>
      <c r="K31" s="108"/>
      <c r="L31" s="61" t="str">
        <f>IFERROR(VLOOKUP(TableHandbook[[#This Row],[UDC]],TableOBCONMN[],7,FALSE),"")</f>
        <v/>
      </c>
      <c r="M31" s="62" t="str">
        <f>IFERROR(VLOOKUP(TableHandbook[[#This Row],[UDC]],TableOUSHCONMN[],7,FALSE),"")</f>
        <v>Core</v>
      </c>
      <c r="N31" s="62" t="str">
        <f>IFERROR(VLOOKUP(TableHandbook[[#This Row],[UDC]],TableOUSUCONMN[],7,FALSE),"")</f>
        <v/>
      </c>
      <c r="O31" s="62" t="str">
        <f>IFERROR(VLOOKUP(TableHandbook[[#This Row],[UDC]],TableOSCUANGAD[],7,FALSE),"")</f>
        <v/>
      </c>
      <c r="P31" s="62" t="str">
        <f>IFERROR(VLOOKUP(TableHandbook[[#This Row],[UDC]],TableOSCUINARS[],7,FALSE),"")</f>
        <v/>
      </c>
      <c r="Q31" s="62" t="str">
        <f>IFERROR(VLOOKUP(TableHandbook[[#This Row],[UDC]],TableOSCUPLGEO[],7,FALSE),"")</f>
        <v/>
      </c>
    </row>
    <row r="32" spans="1:17" x14ac:dyDescent="0.25">
      <c r="A32" s="94" t="s">
        <v>112</v>
      </c>
      <c r="B32" s="95">
        <v>2</v>
      </c>
      <c r="C32" s="94" t="s">
        <v>222</v>
      </c>
      <c r="D32" s="139" t="s">
        <v>223</v>
      </c>
      <c r="E32" s="46">
        <v>25</v>
      </c>
      <c r="F32" s="58"/>
      <c r="G32" s="63" t="str">
        <f>IFERROR(IF(VLOOKUP(TableHandbook[[#This Row],[UDC]],TableAvailabilities[],2,FALSE)&gt;0,"Y",""),"")</f>
        <v/>
      </c>
      <c r="H32" s="71" t="str">
        <f>IFERROR(IF(VLOOKUP(TableHandbook[[#This Row],[UDC]],TableAvailabilities[],3,FALSE)&gt;0,"Y",""),"")</f>
        <v/>
      </c>
      <c r="I32" s="64" t="str">
        <f>IFERROR(IF(VLOOKUP(TableHandbook[[#This Row],[UDC]],TableAvailabilities[],4,FALSE)&gt;0,"Y",""),"")</f>
        <v/>
      </c>
      <c r="J32" s="65" t="str">
        <f>IFERROR(IF(VLOOKUP(TableHandbook[[#This Row],[UDC]],TableAvailabilities[],5,FALSE)&gt;0,"Y",""),"")</f>
        <v/>
      </c>
      <c r="K32" s="108"/>
      <c r="L32" s="61" t="str">
        <f>IFERROR(VLOOKUP(TableHandbook[[#This Row],[UDC]],TableOBCONMN[],7,FALSE),"")</f>
        <v/>
      </c>
      <c r="M32" s="62" t="str">
        <f>IFERROR(VLOOKUP(TableHandbook[[#This Row],[UDC]],TableOUSHCONMN[],7,FALSE),"")</f>
        <v>Core</v>
      </c>
      <c r="N32" s="62" t="str">
        <f>IFERROR(VLOOKUP(TableHandbook[[#This Row],[UDC]],TableOUSUCONMN[],7,FALSE),"")</f>
        <v>Core</v>
      </c>
      <c r="O32" s="62" t="str">
        <f>IFERROR(VLOOKUP(TableHandbook[[#This Row],[UDC]],TableOSCUANGAD[],7,FALSE),"")</f>
        <v/>
      </c>
      <c r="P32" s="62" t="str">
        <f>IFERROR(VLOOKUP(TableHandbook[[#This Row],[UDC]],TableOSCUINARS[],7,FALSE),"")</f>
        <v/>
      </c>
      <c r="Q32" s="62" t="str">
        <f>IFERROR(VLOOKUP(TableHandbook[[#This Row],[UDC]],TableOSCUPLGEO[],7,FALSE),"")</f>
        <v/>
      </c>
    </row>
    <row r="33" spans="1:17" x14ac:dyDescent="0.25">
      <c r="A33" s="8" t="s">
        <v>114</v>
      </c>
      <c r="B33" s="20">
        <v>3</v>
      </c>
      <c r="C33" s="8" t="s">
        <v>224</v>
      </c>
      <c r="D33" s="138" t="s">
        <v>225</v>
      </c>
      <c r="E33" s="46">
        <v>25</v>
      </c>
      <c r="F33" s="58"/>
      <c r="G33" s="63" t="str">
        <f>IFERROR(IF(VLOOKUP(TableHandbook[[#This Row],[UDC]],TableAvailabilities[],2,FALSE)&gt;0,"Y",""),"")</f>
        <v/>
      </c>
      <c r="H33" s="71" t="str">
        <f>IFERROR(IF(VLOOKUP(TableHandbook[[#This Row],[UDC]],TableAvailabilities[],3,FALSE)&gt;0,"Y",""),"")</f>
        <v/>
      </c>
      <c r="I33" s="64" t="str">
        <f>IFERROR(IF(VLOOKUP(TableHandbook[[#This Row],[UDC]],TableAvailabilities[],4,FALSE)&gt;0,"Y",""),"")</f>
        <v/>
      </c>
      <c r="J33" s="65" t="str">
        <f>IFERROR(IF(VLOOKUP(TableHandbook[[#This Row],[UDC]],TableAvailabilities[],5,FALSE)&gt;0,"Y",""),"")</f>
        <v/>
      </c>
      <c r="K33" s="126" t="s">
        <v>226</v>
      </c>
      <c r="L33" s="61" t="str">
        <f>IFERROR(VLOOKUP(TableHandbook[[#This Row],[UDC]],TableOBCONMN[],7,FALSE),"")</f>
        <v/>
      </c>
      <c r="M33" s="62" t="str">
        <f>IFERROR(VLOOKUP(TableHandbook[[#This Row],[UDC]],TableOUSHCONMN[],7,FALSE),"")</f>
        <v/>
      </c>
      <c r="N33" s="62" t="str">
        <f>IFERROR(VLOOKUP(TableHandbook[[#This Row],[UDC]],TableOUSUCONMN[],7,FALSE),"")</f>
        <v>Core</v>
      </c>
      <c r="O33" s="62" t="str">
        <f>IFERROR(VLOOKUP(TableHandbook[[#This Row],[UDC]],TableOSCUANGAD[],7,FALSE),"")</f>
        <v/>
      </c>
      <c r="P33" s="62" t="str">
        <f>IFERROR(VLOOKUP(TableHandbook[[#This Row],[UDC]],TableOSCUINARS[],7,FALSE),"")</f>
        <v/>
      </c>
      <c r="Q33" s="62" t="str">
        <f>IFERROR(VLOOKUP(TableHandbook[[#This Row],[UDC]],TableOSCUPLGEO[],7,FALSE),"")</f>
        <v/>
      </c>
    </row>
    <row r="34" spans="1:17" x14ac:dyDescent="0.25">
      <c r="A34" s="94" t="s">
        <v>115</v>
      </c>
      <c r="B34" s="95">
        <v>3</v>
      </c>
      <c r="C34" s="94" t="s">
        <v>227</v>
      </c>
      <c r="D34" s="139" t="s">
        <v>228</v>
      </c>
      <c r="E34" s="135">
        <v>25</v>
      </c>
      <c r="F34" s="58"/>
      <c r="G34" s="63" t="str">
        <f>IFERROR(IF(VLOOKUP(TableHandbook[[#This Row],[UDC]],TableAvailabilities[],2,FALSE)&gt;0,"Y",""),"")</f>
        <v/>
      </c>
      <c r="H34" s="71" t="str">
        <f>IFERROR(IF(VLOOKUP(TableHandbook[[#This Row],[UDC]],TableAvailabilities[],3,FALSE)&gt;0,"Y",""),"")</f>
        <v/>
      </c>
      <c r="I34" s="64" t="str">
        <f>IFERROR(IF(VLOOKUP(TableHandbook[[#This Row],[UDC]],TableAvailabilities[],4,FALSE)&gt;0,"Y",""),"")</f>
        <v/>
      </c>
      <c r="J34" s="65" t="str">
        <f>IFERROR(IF(VLOOKUP(TableHandbook[[#This Row],[UDC]],TableAvailabilities[],5,FALSE)&gt;0,"Y",""),"")</f>
        <v/>
      </c>
      <c r="K34" s="108"/>
      <c r="L34" s="61" t="str">
        <f>IFERROR(VLOOKUP(TableHandbook[[#This Row],[UDC]],TableOBCONMN[],7,FALSE),"")</f>
        <v/>
      </c>
      <c r="M34" s="62" t="str">
        <f>IFERROR(VLOOKUP(TableHandbook[[#This Row],[UDC]],TableOUSHCONMN[],7,FALSE),"")</f>
        <v>Core</v>
      </c>
      <c r="N34" s="62" t="str">
        <f>IFERROR(VLOOKUP(TableHandbook[[#This Row],[UDC]],TableOUSUCONMN[],7,FALSE),"")</f>
        <v>Core</v>
      </c>
      <c r="O34" s="62" t="str">
        <f>IFERROR(VLOOKUP(TableHandbook[[#This Row],[UDC]],TableOSCUANGAD[],7,FALSE),"")</f>
        <v/>
      </c>
      <c r="P34" s="62" t="str">
        <f>IFERROR(VLOOKUP(TableHandbook[[#This Row],[UDC]],TableOSCUINARS[],7,FALSE),"")</f>
        <v/>
      </c>
      <c r="Q34" s="62" t="str">
        <f>IFERROR(VLOOKUP(TableHandbook[[#This Row],[UDC]],TableOSCUPLGEO[],7,FALSE),"")</f>
        <v/>
      </c>
    </row>
    <row r="35" spans="1:17" x14ac:dyDescent="0.25">
      <c r="A35" s="6" t="s">
        <v>117</v>
      </c>
      <c r="B35" s="20">
        <v>2</v>
      </c>
      <c r="C35" s="6" t="s">
        <v>229</v>
      </c>
      <c r="D35" s="138" t="s">
        <v>230</v>
      </c>
      <c r="E35" s="46">
        <v>25</v>
      </c>
      <c r="F35" s="58"/>
      <c r="G35" s="63" t="str">
        <f>IFERROR(IF(VLOOKUP(TableHandbook[[#This Row],[UDC]],TableAvailabilities[],2,FALSE)&gt;0,"Y",""),"")</f>
        <v/>
      </c>
      <c r="H35" s="71" t="str">
        <f>IFERROR(IF(VLOOKUP(TableHandbook[[#This Row],[UDC]],TableAvailabilities[],3,FALSE)&gt;0,"Y",""),"")</f>
        <v/>
      </c>
      <c r="I35" s="64" t="str">
        <f>IFERROR(IF(VLOOKUP(TableHandbook[[#This Row],[UDC]],TableAvailabilities[],4,FALSE)&gt;0,"Y",""),"")</f>
        <v/>
      </c>
      <c r="J35" s="65" t="str">
        <f>IFERROR(IF(VLOOKUP(TableHandbook[[#This Row],[UDC]],TableAvailabilities[],5,FALSE)&gt;0,"Y",""),"")</f>
        <v/>
      </c>
      <c r="K35" s="126" t="s">
        <v>226</v>
      </c>
      <c r="L35" s="61" t="str">
        <f>IFERROR(VLOOKUP(TableHandbook[[#This Row],[UDC]],TableOBCONMN[],7,FALSE),"")</f>
        <v/>
      </c>
      <c r="M35" s="62" t="str">
        <f>IFERROR(VLOOKUP(TableHandbook[[#This Row],[UDC]],TableOUSHCONMN[],7,FALSE),"")</f>
        <v>Core</v>
      </c>
      <c r="N35" s="62" t="str">
        <f>IFERROR(VLOOKUP(TableHandbook[[#This Row],[UDC]],TableOUSUCONMN[],7,FALSE),"")</f>
        <v>Core</v>
      </c>
      <c r="O35" s="62" t="str">
        <f>IFERROR(VLOOKUP(TableHandbook[[#This Row],[UDC]],TableOSCUANGAD[],7,FALSE),"")</f>
        <v/>
      </c>
      <c r="P35" s="62" t="str">
        <f>IFERROR(VLOOKUP(TableHandbook[[#This Row],[UDC]],TableOSCUINARS[],7,FALSE),"")</f>
        <v/>
      </c>
      <c r="Q35" s="62" t="str">
        <f>IFERROR(VLOOKUP(TableHandbook[[#This Row],[UDC]],TableOSCUPLGEO[],7,FALSE),"")</f>
        <v/>
      </c>
    </row>
    <row r="36" spans="1:17" x14ac:dyDescent="0.25">
      <c r="A36" s="94" t="s">
        <v>110</v>
      </c>
      <c r="B36" s="95">
        <v>1</v>
      </c>
      <c r="C36" s="94" t="s">
        <v>231</v>
      </c>
      <c r="D36" s="139" t="s">
        <v>232</v>
      </c>
      <c r="E36" s="46">
        <v>25</v>
      </c>
      <c r="F36" s="58"/>
      <c r="G36" s="63" t="str">
        <f>IFERROR(IF(VLOOKUP(TableHandbook[[#This Row],[UDC]],TableAvailabilities[],2,FALSE)&gt;0,"Y",""),"")</f>
        <v/>
      </c>
      <c r="H36" s="71" t="str">
        <f>IFERROR(IF(VLOOKUP(TableHandbook[[#This Row],[UDC]],TableAvailabilities[],3,FALSE)&gt;0,"Y",""),"")</f>
        <v/>
      </c>
      <c r="I36" s="64" t="str">
        <f>IFERROR(IF(VLOOKUP(TableHandbook[[#This Row],[UDC]],TableAvailabilities[],4,FALSE)&gt;0,"Y",""),"")</f>
        <v/>
      </c>
      <c r="J36" s="65" t="str">
        <f>IFERROR(IF(VLOOKUP(TableHandbook[[#This Row],[UDC]],TableAvailabilities[],5,FALSE)&gt;0,"Y",""),"")</f>
        <v/>
      </c>
      <c r="K36" s="108"/>
      <c r="L36" s="61" t="str">
        <f>IFERROR(VLOOKUP(TableHandbook[[#This Row],[UDC]],TableOBCONMN[],7,FALSE),"")</f>
        <v/>
      </c>
      <c r="M36" s="62" t="str">
        <f>IFERROR(VLOOKUP(TableHandbook[[#This Row],[UDC]],TableOUSHCONMN[],7,FALSE),"")</f>
        <v>Core</v>
      </c>
      <c r="N36" s="62" t="str">
        <f>IFERROR(VLOOKUP(TableHandbook[[#This Row],[UDC]],TableOUSUCONMN[],7,FALSE),"")</f>
        <v>Core</v>
      </c>
      <c r="O36" s="62" t="str">
        <f>IFERROR(VLOOKUP(TableHandbook[[#This Row],[UDC]],TableOSCUANGAD[],7,FALSE),"")</f>
        <v/>
      </c>
      <c r="P36" s="62" t="str">
        <f>IFERROR(VLOOKUP(TableHandbook[[#This Row],[UDC]],TableOSCUINARS[],7,FALSE),"")</f>
        <v/>
      </c>
      <c r="Q36" s="62" t="str">
        <f>IFERROR(VLOOKUP(TableHandbook[[#This Row],[UDC]],TableOSCUPLGEO[],7,FALSE),"")</f>
        <v/>
      </c>
    </row>
    <row r="37" spans="1:17" x14ac:dyDescent="0.25">
      <c r="A37" s="8" t="s">
        <v>233</v>
      </c>
      <c r="B37" s="46">
        <v>1</v>
      </c>
      <c r="C37" s="8" t="s">
        <v>234</v>
      </c>
      <c r="D37" s="136" t="s">
        <v>235</v>
      </c>
      <c r="E37" s="46">
        <v>25</v>
      </c>
      <c r="F37" s="58"/>
      <c r="G37" s="63" t="str">
        <f>IFERROR(IF(VLOOKUP(TableHandbook[[#This Row],[UDC]],TableAvailabilities[],2,FALSE)&gt;0,"Y",""),"")</f>
        <v/>
      </c>
      <c r="H37" s="71" t="str">
        <f>IFERROR(IF(VLOOKUP(TableHandbook[[#This Row],[UDC]],TableAvailabilities[],3,FALSE)&gt;0,"Y",""),"")</f>
        <v/>
      </c>
      <c r="I37" s="64" t="str">
        <f>IFERROR(IF(VLOOKUP(TableHandbook[[#This Row],[UDC]],TableAvailabilities[],4,FALSE)&gt;0,"Y",""),"")</f>
        <v/>
      </c>
      <c r="J37" s="65" t="str">
        <f>IFERROR(IF(VLOOKUP(TableHandbook[[#This Row],[UDC]],TableAvailabilities[],5,FALSE)&gt;0,"Y",""),"")</f>
        <v/>
      </c>
      <c r="K37" s="108" t="s">
        <v>236</v>
      </c>
      <c r="L37" s="61" t="str">
        <f>IFERROR(VLOOKUP(TableHandbook[[#This Row],[UDC]],TableOBCONMN[],7,FALSE),"")</f>
        <v/>
      </c>
      <c r="M37" s="62" t="str">
        <f>IFERROR(VLOOKUP(TableHandbook[[#This Row],[UDC]],TableOUSHCONMN[],7,FALSE),"")</f>
        <v/>
      </c>
      <c r="N37" s="62" t="str">
        <f>IFERROR(VLOOKUP(TableHandbook[[#This Row],[UDC]],TableOUSUCONMN[],7,FALSE),"")</f>
        <v/>
      </c>
      <c r="O37" s="62" t="str">
        <f>IFERROR(VLOOKUP(TableHandbook[[#This Row],[UDC]],TableOSCUANGAD[],7,FALSE),"")</f>
        <v/>
      </c>
      <c r="P37" s="62" t="str">
        <f>IFERROR(VLOOKUP(TableHandbook[[#This Row],[UDC]],TableOSCUINARS[],7,FALSE),"")</f>
        <v/>
      </c>
      <c r="Q37" s="62" t="str">
        <f>IFERROR(VLOOKUP(TableHandbook[[#This Row],[UDC]],TableOSCUPLGEO[],7,FALSE),"")</f>
        <v/>
      </c>
    </row>
    <row r="38" spans="1:17" x14ac:dyDescent="0.25">
      <c r="A38" s="94" t="s">
        <v>121</v>
      </c>
      <c r="B38" s="95">
        <v>1</v>
      </c>
      <c r="C38" s="94" t="s">
        <v>237</v>
      </c>
      <c r="D38" s="139" t="s">
        <v>238</v>
      </c>
      <c r="E38" s="46">
        <v>50</v>
      </c>
      <c r="F38" s="58"/>
      <c r="G38" s="63" t="str">
        <f>IFERROR(IF(VLOOKUP(TableHandbook[[#This Row],[UDC]],TableAvailabilities[],2,FALSE)&gt;0,"Y",""),"")</f>
        <v/>
      </c>
      <c r="H38" s="71" t="str">
        <f>IFERROR(IF(VLOOKUP(TableHandbook[[#This Row],[UDC]],TableAvailabilities[],3,FALSE)&gt;0,"Y",""),"")</f>
        <v/>
      </c>
      <c r="I38" s="64" t="str">
        <f>IFERROR(IF(VLOOKUP(TableHandbook[[#This Row],[UDC]],TableAvailabilities[],4,FALSE)&gt;0,"Y",""),"")</f>
        <v/>
      </c>
      <c r="J38" s="65" t="str">
        <f>IFERROR(IF(VLOOKUP(TableHandbook[[#This Row],[UDC]],TableAvailabilities[],5,FALSE)&gt;0,"Y",""),"")</f>
        <v/>
      </c>
      <c r="K38" s="108"/>
      <c r="L38" s="61" t="str">
        <f>IFERROR(VLOOKUP(TableHandbook[[#This Row],[UDC]],TableOBCONMN[],7,FALSE),"")</f>
        <v/>
      </c>
      <c r="M38" s="62" t="str">
        <f>IFERROR(VLOOKUP(TableHandbook[[#This Row],[UDC]],TableOUSHCONMN[],7,FALSE),"")</f>
        <v/>
      </c>
      <c r="N38" s="62" t="str">
        <f>IFERROR(VLOOKUP(TableHandbook[[#This Row],[UDC]],TableOUSUCONMN[],7,FALSE),"")</f>
        <v>Core</v>
      </c>
      <c r="O38" s="62" t="str">
        <f>IFERROR(VLOOKUP(TableHandbook[[#This Row],[UDC]],TableOSCUANGAD[],7,FALSE),"")</f>
        <v/>
      </c>
      <c r="P38" s="62" t="str">
        <f>IFERROR(VLOOKUP(TableHandbook[[#This Row],[UDC]],TableOSCUINARS[],7,FALSE),"")</f>
        <v/>
      </c>
      <c r="Q38" s="62" t="str">
        <f>IFERROR(VLOOKUP(TableHandbook[[#This Row],[UDC]],TableOSCUPLGEO[],7,FALSE),"")</f>
        <v/>
      </c>
    </row>
    <row r="39" spans="1:17" x14ac:dyDescent="0.25">
      <c r="A39" s="7" t="s">
        <v>111</v>
      </c>
      <c r="B39" s="20">
        <v>1</v>
      </c>
      <c r="C39" s="7" t="s">
        <v>239</v>
      </c>
      <c r="D39" s="138" t="s">
        <v>240</v>
      </c>
      <c r="E39" s="46">
        <v>25</v>
      </c>
      <c r="F39" s="58"/>
      <c r="G39" s="63" t="str">
        <f>IFERROR(IF(VLOOKUP(TableHandbook[[#This Row],[UDC]],TableAvailabilities[],2,FALSE)&gt;0,"Y",""),"")</f>
        <v/>
      </c>
      <c r="H39" s="71" t="str">
        <f>IFERROR(IF(VLOOKUP(TableHandbook[[#This Row],[UDC]],TableAvailabilities[],3,FALSE)&gt;0,"Y",""),"")</f>
        <v/>
      </c>
      <c r="I39" s="64" t="str">
        <f>IFERROR(IF(VLOOKUP(TableHandbook[[#This Row],[UDC]],TableAvailabilities[],4,FALSE)&gt;0,"Y",""),"")</f>
        <v/>
      </c>
      <c r="J39" s="65" t="str">
        <f>IFERROR(IF(VLOOKUP(TableHandbook[[#This Row],[UDC]],TableAvailabilities[],5,FALSE)&gt;0,"Y",""),"")</f>
        <v/>
      </c>
      <c r="K39" s="126" t="s">
        <v>241</v>
      </c>
      <c r="L39" s="61" t="str">
        <f>IFERROR(VLOOKUP(TableHandbook[[#This Row],[UDC]],TableOBCONMN[],7,FALSE),"")</f>
        <v/>
      </c>
      <c r="M39" s="62" t="str">
        <f>IFERROR(VLOOKUP(TableHandbook[[#This Row],[UDC]],TableOUSHCONMN[],7,FALSE),"")</f>
        <v>Core</v>
      </c>
      <c r="N39" s="62" t="str">
        <f>IFERROR(VLOOKUP(TableHandbook[[#This Row],[UDC]],TableOUSUCONMN[],7,FALSE),"")</f>
        <v>Core</v>
      </c>
      <c r="O39" s="62" t="str">
        <f>IFERROR(VLOOKUP(TableHandbook[[#This Row],[UDC]],TableOSCUANGAD[],7,FALSE),"")</f>
        <v/>
      </c>
      <c r="P39" s="62" t="str">
        <f>IFERROR(VLOOKUP(TableHandbook[[#This Row],[UDC]],TableOSCUINARS[],7,FALSE),"")</f>
        <v/>
      </c>
      <c r="Q39" s="62" t="str">
        <f>IFERROR(VLOOKUP(TableHandbook[[#This Row],[UDC]],TableOSCUPLGEO[],7,FALSE),"")</f>
        <v/>
      </c>
    </row>
    <row r="40" spans="1:17" x14ac:dyDescent="0.25">
      <c r="A40" s="8" t="s">
        <v>39</v>
      </c>
      <c r="B40" s="46">
        <v>1</v>
      </c>
      <c r="C40" s="8" t="s">
        <v>242</v>
      </c>
      <c r="D40" s="136" t="s">
        <v>243</v>
      </c>
      <c r="E40" s="46">
        <v>25</v>
      </c>
      <c r="F40" s="58" t="s">
        <v>183</v>
      </c>
      <c r="G40" s="63" t="str">
        <f>IFERROR(IF(VLOOKUP(TableHandbook[[#This Row],[UDC]],TableAvailabilities[],2,FALSE)&gt;0,"Y",""),"")</f>
        <v>Y</v>
      </c>
      <c r="H40" s="71" t="str">
        <f>IFERROR(IF(VLOOKUP(TableHandbook[[#This Row],[UDC]],TableAvailabilities[],3,FALSE)&gt;0,"Y",""),"")</f>
        <v>Y</v>
      </c>
      <c r="I40" s="64" t="str">
        <f>IFERROR(IF(VLOOKUP(TableHandbook[[#This Row],[UDC]],TableAvailabilities[],4,FALSE)&gt;0,"Y",""),"")</f>
        <v>Y</v>
      </c>
      <c r="J40" s="65" t="str">
        <f>IFERROR(IF(VLOOKUP(TableHandbook[[#This Row],[UDC]],TableAvailabilities[],5,FALSE)&gt;0,"Y",""),"")</f>
        <v>Y</v>
      </c>
      <c r="K40" s="108"/>
      <c r="L40" s="61" t="str">
        <f>IFERROR(VLOOKUP(TableHandbook[[#This Row],[UDC]],TableOBCONMN[],7,FALSE),"")</f>
        <v>Core</v>
      </c>
      <c r="M40" s="62" t="str">
        <f>IFERROR(VLOOKUP(TableHandbook[[#This Row],[UDC]],TableOUSHCONMN[],7,FALSE),"")</f>
        <v/>
      </c>
      <c r="N40" s="62" t="str">
        <f>IFERROR(VLOOKUP(TableHandbook[[#This Row],[UDC]],TableOUSUCONMN[],7,FALSE),"")</f>
        <v/>
      </c>
      <c r="O40" s="62" t="str">
        <f>IFERROR(VLOOKUP(TableHandbook[[#This Row],[UDC]],TableOSCUANGAD[],7,FALSE),"")</f>
        <v/>
      </c>
      <c r="P40" s="62" t="str">
        <f>IFERROR(VLOOKUP(TableHandbook[[#This Row],[UDC]],TableOSCUINARS[],7,FALSE),"")</f>
        <v/>
      </c>
      <c r="Q40" s="62" t="str">
        <f>IFERROR(VLOOKUP(TableHandbook[[#This Row],[UDC]],TableOSCUPLGEO[],7,FALSE),"")</f>
        <v/>
      </c>
    </row>
    <row r="41" spans="1:17" x14ac:dyDescent="0.25">
      <c r="A41" s="8" t="s">
        <v>148</v>
      </c>
      <c r="B41" s="46">
        <v>2</v>
      </c>
      <c r="C41" s="8" t="s">
        <v>244</v>
      </c>
      <c r="D41" s="136" t="s">
        <v>245</v>
      </c>
      <c r="E41" s="46">
        <v>25</v>
      </c>
      <c r="F41" s="58" t="s">
        <v>183</v>
      </c>
      <c r="G41" s="63" t="str">
        <f>IFERROR(IF(VLOOKUP(TableHandbook[[#This Row],[UDC]],TableAvailabilities[],2,FALSE)&gt;0,"Y",""),"")</f>
        <v>Y</v>
      </c>
      <c r="H41" s="71" t="str">
        <f>IFERROR(IF(VLOOKUP(TableHandbook[[#This Row],[UDC]],TableAvailabilities[],3,FALSE)&gt;0,"Y",""),"")</f>
        <v/>
      </c>
      <c r="I41" s="64" t="str">
        <f>IFERROR(IF(VLOOKUP(TableHandbook[[#This Row],[UDC]],TableAvailabilities[],4,FALSE)&gt;0,"Y",""),"")</f>
        <v>Y</v>
      </c>
      <c r="J41" s="65" t="str">
        <f>IFERROR(IF(VLOOKUP(TableHandbook[[#This Row],[UDC]],TableAvailabilities[],5,FALSE)&gt;0,"Y",""),"")</f>
        <v/>
      </c>
      <c r="K41" s="108"/>
      <c r="L41" s="61" t="str">
        <f>IFERROR(VLOOKUP(TableHandbook[[#This Row],[UDC]],TableOBCONMN[],7,FALSE),"")</f>
        <v/>
      </c>
      <c r="M41" s="62" t="str">
        <f>IFERROR(VLOOKUP(TableHandbook[[#This Row],[UDC]],TableOUSHCONMN[],7,FALSE),"")</f>
        <v/>
      </c>
      <c r="N41" s="62" t="str">
        <f>IFERROR(VLOOKUP(TableHandbook[[#This Row],[UDC]],TableOUSUCONMN[],7,FALSE),"")</f>
        <v/>
      </c>
      <c r="O41" s="62" t="str">
        <f>IFERROR(VLOOKUP(TableHandbook[[#This Row],[UDC]],TableOSCUANGAD[],7,FALSE),"")</f>
        <v/>
      </c>
      <c r="P41" s="62" t="str">
        <f>IFERROR(VLOOKUP(TableHandbook[[#This Row],[UDC]],TableOSCUINARS[],7,FALSE),"")</f>
        <v/>
      </c>
      <c r="Q41" s="62" t="str">
        <f>IFERROR(VLOOKUP(TableHandbook[[#This Row],[UDC]],TableOSCUPLGEO[],7,FALSE),"")</f>
        <v>AltCore</v>
      </c>
    </row>
    <row r="42" spans="1:17" x14ac:dyDescent="0.25">
      <c r="A42" s="8" t="s">
        <v>128</v>
      </c>
      <c r="B42" s="46">
        <v>1</v>
      </c>
      <c r="C42" s="8" t="s">
        <v>246</v>
      </c>
      <c r="D42" s="136" t="s">
        <v>247</v>
      </c>
      <c r="E42" s="46">
        <v>25</v>
      </c>
      <c r="F42" s="58" t="s">
        <v>183</v>
      </c>
      <c r="G42" s="63" t="str">
        <f>IFERROR(IF(VLOOKUP(TableHandbook[[#This Row],[UDC]],TableAvailabilities[],2,FALSE)&gt;0,"Y",""),"")</f>
        <v/>
      </c>
      <c r="H42" s="71" t="str">
        <f>IFERROR(IF(VLOOKUP(TableHandbook[[#This Row],[UDC]],TableAvailabilities[],3,FALSE)&gt;0,"Y",""),"")</f>
        <v>Y</v>
      </c>
      <c r="I42" s="64" t="str">
        <f>IFERROR(IF(VLOOKUP(TableHandbook[[#This Row],[UDC]],TableAvailabilities[],4,FALSE)&gt;0,"Y",""),"")</f>
        <v/>
      </c>
      <c r="J42" s="65" t="str">
        <f>IFERROR(IF(VLOOKUP(TableHandbook[[#This Row],[UDC]],TableAvailabilities[],5,FALSE)&gt;0,"Y",""),"")</f>
        <v>Y</v>
      </c>
      <c r="K42" s="108"/>
      <c r="L42" s="61" t="str">
        <f>IFERROR(VLOOKUP(TableHandbook[[#This Row],[UDC]],TableOBCONMN[],7,FALSE),"")</f>
        <v/>
      </c>
      <c r="M42" s="62" t="str">
        <f>IFERROR(VLOOKUP(TableHandbook[[#This Row],[UDC]],TableOUSHCONMN[],7,FALSE),"")</f>
        <v/>
      </c>
      <c r="N42" s="62" t="str">
        <f>IFERROR(VLOOKUP(TableHandbook[[#This Row],[UDC]],TableOUSUCONMN[],7,FALSE),"")</f>
        <v/>
      </c>
      <c r="O42" s="62" t="str">
        <f>IFERROR(VLOOKUP(TableHandbook[[#This Row],[UDC]],TableOSCUANGAD[],7,FALSE),"")</f>
        <v>Core</v>
      </c>
      <c r="P42" s="62" t="str">
        <f>IFERROR(VLOOKUP(TableHandbook[[#This Row],[UDC]],TableOSCUINARS[],7,FALSE),"")</f>
        <v/>
      </c>
      <c r="Q42" s="62" t="str">
        <f>IFERROR(VLOOKUP(TableHandbook[[#This Row],[UDC]],TableOSCUPLGEO[],7,FALSE),"")</f>
        <v/>
      </c>
    </row>
    <row r="43" spans="1:17" x14ac:dyDescent="0.25">
      <c r="A43" s="8" t="s">
        <v>131</v>
      </c>
      <c r="B43" s="46">
        <v>1</v>
      </c>
      <c r="C43" s="8" t="s">
        <v>248</v>
      </c>
      <c r="D43" s="136" t="s">
        <v>249</v>
      </c>
      <c r="E43" s="46">
        <v>25</v>
      </c>
      <c r="F43" s="58" t="s">
        <v>250</v>
      </c>
      <c r="G43" s="63" t="str">
        <f>IFERROR(IF(VLOOKUP(TableHandbook[[#This Row],[UDC]],TableAvailabilities[],2,FALSE)&gt;0,"Y",""),"")</f>
        <v>Y</v>
      </c>
      <c r="H43" s="71" t="str">
        <f>IFERROR(IF(VLOOKUP(TableHandbook[[#This Row],[UDC]],TableAvailabilities[],3,FALSE)&gt;0,"Y",""),"")</f>
        <v/>
      </c>
      <c r="I43" s="64" t="str">
        <f>IFERROR(IF(VLOOKUP(TableHandbook[[#This Row],[UDC]],TableAvailabilities[],4,FALSE)&gt;0,"Y",""),"")</f>
        <v>Y</v>
      </c>
      <c r="J43" s="65" t="str">
        <f>IFERROR(IF(VLOOKUP(TableHandbook[[#This Row],[UDC]],TableAvailabilities[],5,FALSE)&gt;0,"Y",""),"")</f>
        <v/>
      </c>
      <c r="K43" s="108"/>
      <c r="L43" s="61" t="str">
        <f>IFERROR(VLOOKUP(TableHandbook[[#This Row],[UDC]],TableOBCONMN[],7,FALSE),"")</f>
        <v/>
      </c>
      <c r="M43" s="62" t="str">
        <f>IFERROR(VLOOKUP(TableHandbook[[#This Row],[UDC]],TableOUSHCONMN[],7,FALSE),"")</f>
        <v/>
      </c>
      <c r="N43" s="62" t="str">
        <f>IFERROR(VLOOKUP(TableHandbook[[#This Row],[UDC]],TableOUSUCONMN[],7,FALSE),"")</f>
        <v/>
      </c>
      <c r="O43" s="62" t="str">
        <f>IFERROR(VLOOKUP(TableHandbook[[#This Row],[UDC]],TableOSCUANGAD[],7,FALSE),"")</f>
        <v>Core</v>
      </c>
      <c r="P43" s="62" t="str">
        <f>IFERROR(VLOOKUP(TableHandbook[[#This Row],[UDC]],TableOSCUINARS[],7,FALSE),"")</f>
        <v/>
      </c>
      <c r="Q43" s="62" t="str">
        <f>IFERROR(VLOOKUP(TableHandbook[[#This Row],[UDC]],TableOSCUPLGEO[],7,FALSE),"")</f>
        <v/>
      </c>
    </row>
    <row r="44" spans="1:17" x14ac:dyDescent="0.25">
      <c r="A44" s="8" t="s">
        <v>135</v>
      </c>
      <c r="B44" s="46">
        <v>1</v>
      </c>
      <c r="C44" s="8" t="s">
        <v>251</v>
      </c>
      <c r="D44" s="136" t="s">
        <v>252</v>
      </c>
      <c r="E44" s="46">
        <v>25</v>
      </c>
      <c r="F44" s="58" t="s">
        <v>183</v>
      </c>
      <c r="G44" s="81" t="str">
        <f>IFERROR(IF(VLOOKUP(TableHandbook[[#This Row],[UDC]],TableAvailabilities[],2,FALSE)&gt;0,"Y",""),"")</f>
        <v/>
      </c>
      <c r="H44" s="71" t="str">
        <f>IFERROR(IF(VLOOKUP(TableHandbook[[#This Row],[UDC]],TableAvailabilities[],3,FALSE)&gt;0,"Y",""),"")</f>
        <v>Y</v>
      </c>
      <c r="I44" s="83" t="str">
        <f>IFERROR(IF(VLOOKUP(TableHandbook[[#This Row],[UDC]],TableAvailabilities[],4,FALSE)&gt;0,"Y",""),"")</f>
        <v/>
      </c>
      <c r="J44" s="84" t="str">
        <f>IFERROR(IF(VLOOKUP(TableHandbook[[#This Row],[UDC]],TableAvailabilities[],5,FALSE)&gt;0,"Y",""),"")</f>
        <v>Y</v>
      </c>
      <c r="K44" s="108"/>
      <c r="L44" s="61" t="str">
        <f>IFERROR(VLOOKUP(TableHandbook[[#This Row],[UDC]],TableOBCONMN[],7,FALSE),"")</f>
        <v/>
      </c>
      <c r="M44" s="62" t="str">
        <f>IFERROR(VLOOKUP(TableHandbook[[#This Row],[UDC]],TableOUSHCONMN[],7,FALSE),"")</f>
        <v/>
      </c>
      <c r="N44" s="62" t="str">
        <f>IFERROR(VLOOKUP(TableHandbook[[#This Row],[UDC]],TableOUSUCONMN[],7,FALSE),"")</f>
        <v/>
      </c>
      <c r="O44" s="62" t="str">
        <f>IFERROR(VLOOKUP(TableHandbook[[#This Row],[UDC]],TableOSCUANGAD[],7,FALSE),"")</f>
        <v>Core</v>
      </c>
      <c r="P44" s="62" t="str">
        <f>IFERROR(VLOOKUP(TableHandbook[[#This Row],[UDC]],TableOSCUINARS[],7,FALSE),"")</f>
        <v/>
      </c>
      <c r="Q44" s="62" t="str">
        <f>IFERROR(VLOOKUP(TableHandbook[[#This Row],[UDC]],TableOSCUPLGEO[],7,FALSE),"")</f>
        <v/>
      </c>
    </row>
    <row r="45" spans="1:17" x14ac:dyDescent="0.25">
      <c r="A45" s="6" t="s">
        <v>146</v>
      </c>
      <c r="B45" s="120">
        <v>2</v>
      </c>
      <c r="C45" s="6" t="s">
        <v>253</v>
      </c>
      <c r="D45" s="137" t="s">
        <v>254</v>
      </c>
      <c r="E45" s="120">
        <v>25</v>
      </c>
      <c r="F45" s="78" t="s">
        <v>255</v>
      </c>
      <c r="G45" s="81" t="str">
        <f>IFERROR(IF(VLOOKUP(TableHandbook[[#This Row],[UDC]],TableAvailabilities[],2,FALSE)&gt;0,"Y",""),"")</f>
        <v>Y</v>
      </c>
      <c r="H45" s="71" t="str">
        <f>IFERROR(IF(VLOOKUP(TableHandbook[[#This Row],[UDC]],TableAvailabilities[],3,FALSE)&gt;0,"Y",""),"")</f>
        <v/>
      </c>
      <c r="I45" s="83" t="str">
        <f>IFERROR(IF(VLOOKUP(TableHandbook[[#This Row],[UDC]],TableAvailabilities[],4,FALSE)&gt;0,"Y",""),"")</f>
        <v>Y</v>
      </c>
      <c r="J45" s="84" t="str">
        <f>IFERROR(IF(VLOOKUP(TableHandbook[[#This Row],[UDC]],TableAvailabilities[],5,FALSE)&gt;0,"Y",""),"")</f>
        <v/>
      </c>
      <c r="K45" s="126" t="s">
        <v>256</v>
      </c>
      <c r="L45" s="61" t="str">
        <f>IFERROR(VLOOKUP(TableHandbook[[#This Row],[UDC]],TableOBCONMN[],7,FALSE),"")</f>
        <v/>
      </c>
      <c r="M45" s="62" t="str">
        <f>IFERROR(VLOOKUP(TableHandbook[[#This Row],[UDC]],TableOUSHCONMN[],7,FALSE),"")</f>
        <v/>
      </c>
      <c r="N45" s="62" t="str">
        <f>IFERROR(VLOOKUP(TableHandbook[[#This Row],[UDC]],TableOUSUCONMN[],7,FALSE),"")</f>
        <v/>
      </c>
      <c r="O45" s="62" t="str">
        <f>IFERROR(VLOOKUP(TableHandbook[[#This Row],[UDC]],TableOSCUANGAD[],7,FALSE),"")</f>
        <v>AltCore</v>
      </c>
      <c r="P45" s="62" t="str">
        <f>IFERROR(VLOOKUP(TableHandbook[[#This Row],[UDC]],TableOSCUINARS[],7,FALSE),"")</f>
        <v/>
      </c>
      <c r="Q45" s="62" t="str">
        <f>IFERROR(VLOOKUP(TableHandbook[[#This Row],[UDC]],TableOSCUPLGEO[],7,FALSE),"")</f>
        <v/>
      </c>
    </row>
    <row r="46" spans="1:17" x14ac:dyDescent="0.25">
      <c r="A46" s="8" t="s">
        <v>132</v>
      </c>
      <c r="B46" s="46">
        <v>4</v>
      </c>
      <c r="C46" s="8" t="s">
        <v>257</v>
      </c>
      <c r="D46" s="136" t="s">
        <v>258</v>
      </c>
      <c r="E46" s="46">
        <v>25</v>
      </c>
      <c r="F46" s="58" t="s">
        <v>183</v>
      </c>
      <c r="G46" s="81" t="str">
        <f>IFERROR(IF(VLOOKUP(TableHandbook[[#This Row],[UDC]],TableAvailabilities[],2,FALSE)&gt;0,"Y",""),"")</f>
        <v>Y</v>
      </c>
      <c r="H46" s="71" t="str">
        <f>IFERROR(IF(VLOOKUP(TableHandbook[[#This Row],[UDC]],TableAvailabilities[],3,FALSE)&gt;0,"Y",""),"")</f>
        <v/>
      </c>
      <c r="I46" s="83" t="str">
        <f>IFERROR(IF(VLOOKUP(TableHandbook[[#This Row],[UDC]],TableAvailabilities[],4,FALSE)&gt;0,"Y",""),"")</f>
        <v>Y</v>
      </c>
      <c r="J46" s="84" t="str">
        <f>IFERROR(IF(VLOOKUP(TableHandbook[[#This Row],[UDC]],TableAvailabilities[],5,FALSE)&gt;0,"Y",""),"")</f>
        <v/>
      </c>
      <c r="K46" s="108" t="s">
        <v>226</v>
      </c>
      <c r="L46" s="61" t="str">
        <f>IFERROR(VLOOKUP(TableHandbook[[#This Row],[UDC]],TableOBCONMN[],7,FALSE),"")</f>
        <v/>
      </c>
      <c r="M46" s="62" t="str">
        <f>IFERROR(VLOOKUP(TableHandbook[[#This Row],[UDC]],TableOUSHCONMN[],7,FALSE),"")</f>
        <v/>
      </c>
      <c r="N46" s="62" t="str">
        <f>IFERROR(VLOOKUP(TableHandbook[[#This Row],[UDC]],TableOUSUCONMN[],7,FALSE),"")</f>
        <v/>
      </c>
      <c r="O46" s="62" t="str">
        <f>IFERROR(VLOOKUP(TableHandbook[[#This Row],[UDC]],TableOSCUANGAD[],7,FALSE),"")</f>
        <v/>
      </c>
      <c r="P46" s="62" t="str">
        <f>IFERROR(VLOOKUP(TableHandbook[[#This Row],[UDC]],TableOSCUINARS[],7,FALSE),"")</f>
        <v>AltCore</v>
      </c>
      <c r="Q46" s="62" t="str">
        <f>IFERROR(VLOOKUP(TableHandbook[[#This Row],[UDC]],TableOSCUPLGEO[],7,FALSE),"")</f>
        <v/>
      </c>
    </row>
    <row r="47" spans="1:17" x14ac:dyDescent="0.25">
      <c r="A47" s="8" t="s">
        <v>259</v>
      </c>
      <c r="B47" s="46">
        <v>3</v>
      </c>
      <c r="C47" s="8" t="s">
        <v>257</v>
      </c>
      <c r="D47" s="136" t="s">
        <v>260</v>
      </c>
      <c r="E47" s="46">
        <v>25</v>
      </c>
      <c r="F47" s="58" t="s">
        <v>183</v>
      </c>
      <c r="G47" s="81" t="str">
        <f>IFERROR(IF(VLOOKUP(TableHandbook[[#This Row],[UDC]],TableAvailabilities[],2,FALSE)&gt;0,"Y",""),"")</f>
        <v/>
      </c>
      <c r="H47" s="71" t="str">
        <f>IFERROR(IF(VLOOKUP(TableHandbook[[#This Row],[UDC]],TableAvailabilities[],3,FALSE)&gt;0,"Y",""),"")</f>
        <v/>
      </c>
      <c r="I47" s="83" t="str">
        <f>IFERROR(IF(VLOOKUP(TableHandbook[[#This Row],[UDC]],TableAvailabilities[],4,FALSE)&gt;0,"Y",""),"")</f>
        <v/>
      </c>
      <c r="J47" s="84" t="str">
        <f>IFERROR(IF(VLOOKUP(TableHandbook[[#This Row],[UDC]],TableAvailabilities[],5,FALSE)&gt;0,"Y",""),"")</f>
        <v/>
      </c>
      <c r="K47" s="127" t="s">
        <v>261</v>
      </c>
      <c r="L47" s="61" t="str">
        <f>IFERROR(VLOOKUP(TableHandbook[[#This Row],[UDC]],TableOBCONMN[],7,FALSE),"")</f>
        <v/>
      </c>
      <c r="M47" s="62" t="str">
        <f>IFERROR(VLOOKUP(TableHandbook[[#This Row],[UDC]],TableOUSHCONMN[],7,FALSE),"")</f>
        <v/>
      </c>
      <c r="N47" s="62" t="str">
        <f>IFERROR(VLOOKUP(TableHandbook[[#This Row],[UDC]],TableOUSUCONMN[],7,FALSE),"")</f>
        <v/>
      </c>
      <c r="O47" s="62" t="str">
        <f>IFERROR(VLOOKUP(TableHandbook[[#This Row],[UDC]],TableOSCUANGAD[],7,FALSE),"")</f>
        <v/>
      </c>
      <c r="P47" s="62" t="str">
        <f>IFERROR(VLOOKUP(TableHandbook[[#This Row],[UDC]],TableOSCUINARS[],7,FALSE),"")</f>
        <v/>
      </c>
      <c r="Q47" s="62" t="str">
        <f>IFERROR(VLOOKUP(TableHandbook[[#This Row],[UDC]],TableOSCUPLGEO[],7,FALSE),"")</f>
        <v/>
      </c>
    </row>
    <row r="48" spans="1:17" x14ac:dyDescent="0.25">
      <c r="A48" s="8" t="s">
        <v>136</v>
      </c>
      <c r="B48" s="46">
        <v>1</v>
      </c>
      <c r="C48" s="8" t="s">
        <v>262</v>
      </c>
      <c r="D48" s="136" t="s">
        <v>263</v>
      </c>
      <c r="E48" s="46">
        <v>25</v>
      </c>
      <c r="F48" s="58" t="s">
        <v>183</v>
      </c>
      <c r="G48" s="81" t="str">
        <f>IFERROR(IF(VLOOKUP(TableHandbook[[#This Row],[UDC]],TableAvailabilities[],2,FALSE)&gt;0,"Y",""),"")</f>
        <v>Y</v>
      </c>
      <c r="H48" s="71" t="str">
        <f>IFERROR(IF(VLOOKUP(TableHandbook[[#This Row],[UDC]],TableAvailabilities[],3,FALSE)&gt;0,"Y",""),"")</f>
        <v/>
      </c>
      <c r="I48" s="83" t="str">
        <f>IFERROR(IF(VLOOKUP(TableHandbook[[#This Row],[UDC]],TableAvailabilities[],4,FALSE)&gt;0,"Y",""),"")</f>
        <v>Y</v>
      </c>
      <c r="J48" s="84" t="str">
        <f>IFERROR(IF(VLOOKUP(TableHandbook[[#This Row],[UDC]],TableAvailabilities[],5,FALSE)&gt;0,"Y",""),"")</f>
        <v/>
      </c>
      <c r="K48" s="108"/>
      <c r="L48" s="61" t="str">
        <f>IFERROR(VLOOKUP(TableHandbook[[#This Row],[UDC]],TableOBCONMN[],7,FALSE),"")</f>
        <v/>
      </c>
      <c r="M48" s="62" t="str">
        <f>IFERROR(VLOOKUP(TableHandbook[[#This Row],[UDC]],TableOUSHCONMN[],7,FALSE),"")</f>
        <v/>
      </c>
      <c r="N48" s="62" t="str">
        <f>IFERROR(VLOOKUP(TableHandbook[[#This Row],[UDC]],TableOUSUCONMN[],7,FALSE),"")</f>
        <v/>
      </c>
      <c r="O48" s="62" t="str">
        <f>IFERROR(VLOOKUP(TableHandbook[[#This Row],[UDC]],TableOSCUANGAD[],7,FALSE),"")</f>
        <v/>
      </c>
      <c r="P48" s="62" t="str">
        <f>IFERROR(VLOOKUP(TableHandbook[[#This Row],[UDC]],TableOSCUINARS[],7,FALSE),"")</f>
        <v>AltCore</v>
      </c>
      <c r="Q48" s="62" t="str">
        <f>IFERROR(VLOOKUP(TableHandbook[[#This Row],[UDC]],TableOSCUPLGEO[],7,FALSE),"")</f>
        <v/>
      </c>
    </row>
    <row r="49" spans="1:17" x14ac:dyDescent="0.25">
      <c r="A49" s="8" t="s">
        <v>153</v>
      </c>
      <c r="B49" s="46">
        <v>4</v>
      </c>
      <c r="C49" s="8" t="s">
        <v>264</v>
      </c>
      <c r="D49" s="136" t="s">
        <v>265</v>
      </c>
      <c r="E49" s="46">
        <v>25</v>
      </c>
      <c r="F49" s="58" t="s">
        <v>257</v>
      </c>
      <c r="G49" s="81" t="str">
        <f>IFERROR(IF(VLOOKUP(TableHandbook[[#This Row],[UDC]],TableAvailabilities[],2,FALSE)&gt;0,"Y",""),"")</f>
        <v>Y</v>
      </c>
      <c r="H49" s="71" t="str">
        <f>IFERROR(IF(VLOOKUP(TableHandbook[[#This Row],[UDC]],TableAvailabilities[],3,FALSE)&gt;0,"Y",""),"")</f>
        <v/>
      </c>
      <c r="I49" s="83" t="str">
        <f>IFERROR(IF(VLOOKUP(TableHandbook[[#This Row],[UDC]],TableAvailabilities[],4,FALSE)&gt;0,"Y",""),"")</f>
        <v>Y</v>
      </c>
      <c r="J49" s="84" t="str">
        <f>IFERROR(IF(VLOOKUP(TableHandbook[[#This Row],[UDC]],TableAvailabilities[],5,FALSE)&gt;0,"Y",""),"")</f>
        <v/>
      </c>
      <c r="K49" s="108" t="s">
        <v>226</v>
      </c>
      <c r="L49" s="61" t="str">
        <f>IFERROR(VLOOKUP(TableHandbook[[#This Row],[UDC]],TableOBCONMN[],7,FALSE),"")</f>
        <v/>
      </c>
      <c r="M49" s="62" t="str">
        <f>IFERROR(VLOOKUP(TableHandbook[[#This Row],[UDC]],TableOUSHCONMN[],7,FALSE),"")</f>
        <v/>
      </c>
      <c r="N49" s="62" t="str">
        <f>IFERROR(VLOOKUP(TableHandbook[[#This Row],[UDC]],TableOUSUCONMN[],7,FALSE),"")</f>
        <v/>
      </c>
      <c r="O49" s="62" t="str">
        <f>IFERROR(VLOOKUP(TableHandbook[[#This Row],[UDC]],TableOSCUANGAD[],7,FALSE),"")</f>
        <v/>
      </c>
      <c r="P49" s="62" t="str">
        <f>IFERROR(VLOOKUP(TableHandbook[[#This Row],[UDC]],TableOSCUINARS[],7,FALSE),"")</f>
        <v>Option</v>
      </c>
      <c r="Q49" s="62" t="str">
        <f>IFERROR(VLOOKUP(TableHandbook[[#This Row],[UDC]],TableOSCUPLGEO[],7,FALSE),"")</f>
        <v/>
      </c>
    </row>
    <row r="50" spans="1:17" x14ac:dyDescent="0.25">
      <c r="A50" s="6" t="s">
        <v>266</v>
      </c>
      <c r="B50" s="120">
        <v>3</v>
      </c>
      <c r="C50" s="6" t="s">
        <v>264</v>
      </c>
      <c r="D50" s="137" t="s">
        <v>267</v>
      </c>
      <c r="E50" s="120">
        <v>25</v>
      </c>
      <c r="F50" s="121" t="s">
        <v>268</v>
      </c>
      <c r="G50" s="122" t="str">
        <f>IFERROR(IF(VLOOKUP(TableHandbook[[#This Row],[UDC]],TableAvailabilities[],2,FALSE)&gt;0,"Y",""),"")</f>
        <v/>
      </c>
      <c r="H50" s="125" t="str">
        <f>IFERROR(IF(VLOOKUP(TableHandbook[[#This Row],[UDC]],TableAvailabilities[],3,FALSE)&gt;0,"Y",""),"")</f>
        <v/>
      </c>
      <c r="I50" s="123" t="str">
        <f>IFERROR(IF(VLOOKUP(TableHandbook[[#This Row],[UDC]],TableAvailabilities[],4,FALSE)&gt;0,"Y",""),"")</f>
        <v/>
      </c>
      <c r="J50" s="124" t="str">
        <f>IFERROR(IF(VLOOKUP(TableHandbook[[#This Row],[UDC]],TableAvailabilities[],5,FALSE)&gt;0,"Y",""),"")</f>
        <v/>
      </c>
      <c r="K50" s="127" t="s">
        <v>261</v>
      </c>
      <c r="L50" s="61" t="str">
        <f>IFERROR(VLOOKUP(TableHandbook[[#This Row],[UDC]],TableOBCONMN[],7,FALSE),"")</f>
        <v/>
      </c>
      <c r="M50" s="62" t="str">
        <f>IFERROR(VLOOKUP(TableHandbook[[#This Row],[UDC]],TableOUSHCONMN[],7,FALSE),"")</f>
        <v/>
      </c>
      <c r="N50" s="62" t="str">
        <f>IFERROR(VLOOKUP(TableHandbook[[#This Row],[UDC]],TableOUSUCONMN[],7,FALSE),"")</f>
        <v/>
      </c>
      <c r="O50" s="62" t="str">
        <f>IFERROR(VLOOKUP(TableHandbook[[#This Row],[UDC]],TableOSCUANGAD[],7,FALSE),"")</f>
        <v/>
      </c>
      <c r="P50" s="62" t="str">
        <f>IFERROR(VLOOKUP(TableHandbook[[#This Row],[UDC]],TableOSCUINARS[],7,FALSE),"")</f>
        <v/>
      </c>
      <c r="Q50" s="62" t="str">
        <f>IFERROR(VLOOKUP(TableHandbook[[#This Row],[UDC]],TableOSCUPLGEO[],7,FALSE),"")</f>
        <v/>
      </c>
    </row>
    <row r="51" spans="1:17" x14ac:dyDescent="0.25">
      <c r="A51" s="8" t="s">
        <v>143</v>
      </c>
      <c r="B51" s="46">
        <v>1</v>
      </c>
      <c r="C51" s="8" t="s">
        <v>269</v>
      </c>
      <c r="D51" s="136" t="s">
        <v>270</v>
      </c>
      <c r="E51" s="46">
        <v>25</v>
      </c>
      <c r="F51" s="58" t="s">
        <v>183</v>
      </c>
      <c r="G51" s="81" t="str">
        <f>IFERROR(IF(VLOOKUP(TableHandbook[[#This Row],[UDC]],TableAvailabilities[],2,FALSE)&gt;0,"Y",""),"")</f>
        <v/>
      </c>
      <c r="H51" s="71" t="str">
        <f>IFERROR(IF(VLOOKUP(TableHandbook[[#This Row],[UDC]],TableAvailabilities[],3,FALSE)&gt;0,"Y",""),"")</f>
        <v>Y</v>
      </c>
      <c r="I51" s="83" t="str">
        <f>IFERROR(IF(VLOOKUP(TableHandbook[[#This Row],[UDC]],TableAvailabilities[],4,FALSE)&gt;0,"Y",""),"")</f>
        <v/>
      </c>
      <c r="J51" s="84" t="str">
        <f>IFERROR(IF(VLOOKUP(TableHandbook[[#This Row],[UDC]],TableAvailabilities[],5,FALSE)&gt;0,"Y",""),"")</f>
        <v>Y</v>
      </c>
      <c r="K51" s="108"/>
      <c r="L51" s="61" t="str">
        <f>IFERROR(VLOOKUP(TableHandbook[[#This Row],[UDC]],TableOBCONMN[],7,FALSE),"")</f>
        <v/>
      </c>
      <c r="M51" s="62" t="str">
        <f>IFERROR(VLOOKUP(TableHandbook[[#This Row],[UDC]],TableOUSHCONMN[],7,FALSE),"")</f>
        <v/>
      </c>
      <c r="N51" s="62" t="str">
        <f>IFERROR(VLOOKUP(TableHandbook[[#This Row],[UDC]],TableOUSUCONMN[],7,FALSE),"")</f>
        <v/>
      </c>
      <c r="O51" s="62" t="str">
        <f>IFERROR(VLOOKUP(TableHandbook[[#This Row],[UDC]],TableOSCUANGAD[],7,FALSE),"")</f>
        <v/>
      </c>
      <c r="P51" s="62" t="str">
        <f>IFERROR(VLOOKUP(TableHandbook[[#This Row],[UDC]],TableOSCUINARS[],7,FALSE),"")</f>
        <v>Core</v>
      </c>
      <c r="Q51" s="62" t="str">
        <f>IFERROR(VLOOKUP(TableHandbook[[#This Row],[UDC]],TableOSCUPLGEO[],7,FALSE),"")</f>
        <v/>
      </c>
    </row>
    <row r="52" spans="1:17" x14ac:dyDescent="0.25">
      <c r="A52" s="8" t="s">
        <v>155</v>
      </c>
      <c r="B52" s="46">
        <v>1</v>
      </c>
      <c r="C52" s="8" t="s">
        <v>271</v>
      </c>
      <c r="D52" s="136" t="s">
        <v>272</v>
      </c>
      <c r="E52" s="46">
        <v>25</v>
      </c>
      <c r="F52" s="58" t="s">
        <v>183</v>
      </c>
      <c r="G52" s="81" t="str">
        <f>IFERROR(IF(VLOOKUP(TableHandbook[[#This Row],[UDC]],TableAvailabilities[],2,FALSE)&gt;0,"Y",""),"")</f>
        <v>Y</v>
      </c>
      <c r="H52" s="82" t="str">
        <f>IFERROR(IF(VLOOKUP(TableHandbook[[#This Row],[UDC]],TableAvailabilities[],3,FALSE)&gt;0,"Y",""),"")</f>
        <v/>
      </c>
      <c r="I52" s="83" t="str">
        <f>IFERROR(IF(VLOOKUP(TableHandbook[[#This Row],[UDC]],TableAvailabilities[],4,FALSE)&gt;0,"Y",""),"")</f>
        <v>Y</v>
      </c>
      <c r="J52" s="84" t="str">
        <f>IFERROR(IF(VLOOKUP(TableHandbook[[#This Row],[UDC]],TableAvailabilities[],5,FALSE)&gt;0,"Y",""),"")</f>
        <v/>
      </c>
      <c r="K52" s="126"/>
      <c r="L52" s="61" t="str">
        <f>IFERROR(VLOOKUP(TableHandbook[[#This Row],[UDC]],TableOBCONMN[],7,FALSE),"")</f>
        <v/>
      </c>
      <c r="M52" s="62" t="str">
        <f>IFERROR(VLOOKUP(TableHandbook[[#This Row],[UDC]],TableOUSHCONMN[],7,FALSE),"")</f>
        <v/>
      </c>
      <c r="N52" s="62" t="str">
        <f>IFERROR(VLOOKUP(TableHandbook[[#This Row],[UDC]],TableOUSUCONMN[],7,FALSE),"")</f>
        <v/>
      </c>
      <c r="O52" s="62" t="str">
        <f>IFERROR(VLOOKUP(TableHandbook[[#This Row],[UDC]],TableOSCUANGAD[],7,FALSE),"")</f>
        <v/>
      </c>
      <c r="P52" s="62" t="str">
        <f>IFERROR(VLOOKUP(TableHandbook[[#This Row],[UDC]],TableOSCUINARS[],7,FALSE),"")</f>
        <v>Option</v>
      </c>
      <c r="Q52" s="62" t="str">
        <f>IFERROR(VLOOKUP(TableHandbook[[#This Row],[UDC]],TableOSCUPLGEO[],7,FALSE),"")</f>
        <v/>
      </c>
    </row>
    <row r="53" spans="1:17" x14ac:dyDescent="0.25">
      <c r="A53" s="8" t="s">
        <v>147</v>
      </c>
      <c r="B53" s="46">
        <v>1</v>
      </c>
      <c r="C53" s="8" t="s">
        <v>273</v>
      </c>
      <c r="D53" s="136" t="s">
        <v>274</v>
      </c>
      <c r="E53" s="46">
        <v>25</v>
      </c>
      <c r="F53" s="58" t="s">
        <v>183</v>
      </c>
      <c r="G53" s="81" t="str">
        <f>IFERROR(IF(VLOOKUP(TableHandbook[[#This Row],[UDC]],TableAvailabilities[],2,FALSE)&gt;0,"Y",""),"")</f>
        <v/>
      </c>
      <c r="H53" s="82" t="str">
        <f>IFERROR(IF(VLOOKUP(TableHandbook[[#This Row],[UDC]],TableAvailabilities[],3,FALSE)&gt;0,"Y",""),"")</f>
        <v/>
      </c>
      <c r="I53" s="83" t="str">
        <f>IFERROR(IF(VLOOKUP(TableHandbook[[#This Row],[UDC]],TableAvailabilities[],4,FALSE)&gt;0,"Y",""),"")</f>
        <v/>
      </c>
      <c r="J53" s="84" t="str">
        <f>IFERROR(IF(VLOOKUP(TableHandbook[[#This Row],[UDC]],TableAvailabilities[],5,FALSE)&gt;0,"Y",""),"")</f>
        <v/>
      </c>
      <c r="K53" s="126" t="s">
        <v>216</v>
      </c>
      <c r="L53" s="61" t="str">
        <f>IFERROR(VLOOKUP(TableHandbook[[#This Row],[UDC]],TableOBCONMN[],7,FALSE),"")</f>
        <v/>
      </c>
      <c r="M53" s="62" t="str">
        <f>IFERROR(VLOOKUP(TableHandbook[[#This Row],[UDC]],TableOUSHCONMN[],7,FALSE),"")</f>
        <v/>
      </c>
      <c r="N53" s="62" t="str">
        <f>IFERROR(VLOOKUP(TableHandbook[[#This Row],[UDC]],TableOUSUCONMN[],7,FALSE),"")</f>
        <v/>
      </c>
      <c r="O53" s="62" t="str">
        <f>IFERROR(VLOOKUP(TableHandbook[[#This Row],[UDC]],TableOSCUANGAD[],7,FALSE),"")</f>
        <v/>
      </c>
      <c r="P53" s="62" t="str">
        <f>IFERROR(VLOOKUP(TableHandbook[[#This Row],[UDC]],TableOSCUINARS[],7,FALSE),"")</f>
        <v>Core</v>
      </c>
      <c r="Q53" s="62" t="str">
        <f>IFERROR(VLOOKUP(TableHandbook[[#This Row],[UDC]],TableOSCUPLGEO[],7,FALSE),"")</f>
        <v/>
      </c>
    </row>
    <row r="54" spans="1:17" x14ac:dyDescent="0.25">
      <c r="A54" s="8" t="s">
        <v>417</v>
      </c>
      <c r="B54" s="46">
        <v>0</v>
      </c>
      <c r="C54" s="8"/>
      <c r="D54" s="136" t="s">
        <v>275</v>
      </c>
      <c r="E54" s="46" t="s">
        <v>276</v>
      </c>
      <c r="F54" s="58"/>
      <c r="G54" s="81" t="str">
        <f>IFERROR(IF(VLOOKUP(TableHandbook[[#This Row],[UDC]],TableAvailabilities[],2,FALSE)&gt;0,"Y",""),"")</f>
        <v/>
      </c>
      <c r="H54" s="82" t="str">
        <f>IFERROR(IF(VLOOKUP(TableHandbook[[#This Row],[UDC]],TableAvailabilities[],3,FALSE)&gt;0,"Y",""),"")</f>
        <v/>
      </c>
      <c r="I54" s="83" t="str">
        <f>IFERROR(IF(VLOOKUP(TableHandbook[[#This Row],[UDC]],TableAvailabilities[],4,FALSE)&gt;0,"Y",""),"")</f>
        <v/>
      </c>
      <c r="J54" s="84" t="str">
        <f>IFERROR(IF(VLOOKUP(TableHandbook[[#This Row],[UDC]],TableAvailabilities[],5,FALSE)&gt;0,"Y",""),"")</f>
        <v/>
      </c>
      <c r="K54" s="108"/>
      <c r="L54" s="61" t="str">
        <f>IFERROR(VLOOKUP(TableHandbook[[#This Row],[UDC]],TableOBCONMN[],7,FALSE),"")</f>
        <v/>
      </c>
      <c r="M54" s="62" t="str">
        <f>IFERROR(VLOOKUP(TableHandbook[[#This Row],[UDC]],TableOUSHCONMN[],7,FALSE),"")</f>
        <v/>
      </c>
      <c r="N54" s="62" t="str">
        <f>IFERROR(VLOOKUP(TableHandbook[[#This Row],[UDC]],TableOUSUCONMN[],7,FALSE),"")</f>
        <v/>
      </c>
      <c r="O54" s="62" t="str">
        <f>IFERROR(VLOOKUP(TableHandbook[[#This Row],[UDC]],TableOSCUANGAD[],7,FALSE),"")</f>
        <v/>
      </c>
      <c r="P54" s="62" t="str">
        <f>IFERROR(VLOOKUP(TableHandbook[[#This Row],[UDC]],TableOSCUINARS[],7,FALSE),"")</f>
        <v>Option</v>
      </c>
      <c r="Q54" s="62" t="str">
        <f>IFERROR(VLOOKUP(TableHandbook[[#This Row],[UDC]],TableOSCUPLGEO[],7,FALSE),"")</f>
        <v/>
      </c>
    </row>
    <row r="55" spans="1:17" x14ac:dyDescent="0.25">
      <c r="A55" s="7" t="s">
        <v>95</v>
      </c>
      <c r="B55" s="20">
        <v>1</v>
      </c>
      <c r="C55" s="7"/>
      <c r="D55" s="138" t="s">
        <v>13</v>
      </c>
      <c r="E55" s="46">
        <v>100</v>
      </c>
      <c r="F55" s="58"/>
      <c r="G55" s="81" t="str">
        <f>IFERROR(IF(VLOOKUP(TableHandbook[[#This Row],[UDC]],TableAvailabilities[],2,FALSE)&gt;0,"Y",""),"")</f>
        <v/>
      </c>
      <c r="H55" s="82" t="str">
        <f>IFERROR(IF(VLOOKUP(TableHandbook[[#This Row],[UDC]],TableAvailabilities[],3,FALSE)&gt;0,"Y",""),"")</f>
        <v/>
      </c>
      <c r="I55" s="83" t="str">
        <f>IFERROR(IF(VLOOKUP(TableHandbook[[#This Row],[UDC]],TableAvailabilities[],4,FALSE)&gt;0,"Y",""),"")</f>
        <v/>
      </c>
      <c r="J55" s="84" t="str">
        <f>IFERROR(IF(VLOOKUP(TableHandbook[[#This Row],[UDC]],TableAvailabilities[],5,FALSE)&gt;0,"Y",""),"")</f>
        <v/>
      </c>
      <c r="K55" s="126" t="s">
        <v>277</v>
      </c>
      <c r="L55" s="61" t="str">
        <f>IFERROR(VLOOKUP(TableHandbook[[#This Row],[UDC]],TableOBCONMN[],7,FALSE),"")</f>
        <v>Option</v>
      </c>
      <c r="M55" s="62" t="str">
        <f>IFERROR(VLOOKUP(TableHandbook[[#This Row],[UDC]],TableOUSHCONMN[],7,FALSE),"")</f>
        <v/>
      </c>
      <c r="N55" s="62" t="str">
        <f>IFERROR(VLOOKUP(TableHandbook[[#This Row],[UDC]],TableOUSUCONMN[],7,FALSE),"")</f>
        <v/>
      </c>
      <c r="O55" s="62" t="str">
        <f>IFERROR(VLOOKUP(TableHandbook[[#This Row],[UDC]],TableOSCUANGAD[],7,FALSE),"")</f>
        <v/>
      </c>
      <c r="P55" s="62" t="str">
        <f>IFERROR(VLOOKUP(TableHandbook[[#This Row],[UDC]],TableOSCUINARS[],7,FALSE),"")</f>
        <v/>
      </c>
      <c r="Q55" s="62" t="str">
        <f>IFERROR(VLOOKUP(TableHandbook[[#This Row],[UDC]],TableOSCUPLGEO[],7,FALSE),"")</f>
        <v/>
      </c>
    </row>
    <row r="56" spans="1:17" x14ac:dyDescent="0.25">
      <c r="A56" s="8" t="s">
        <v>101</v>
      </c>
      <c r="B56" s="46">
        <v>3</v>
      </c>
      <c r="C56" s="8"/>
      <c r="D56" s="136" t="s">
        <v>100</v>
      </c>
      <c r="E56" s="46">
        <v>100</v>
      </c>
      <c r="F56" s="58"/>
      <c r="G56" s="81" t="str">
        <f>IFERROR(IF(VLOOKUP(TableHandbook[[#This Row],[UDC]],TableAvailabilities[],2,FALSE)&gt;0,"Y",""),"")</f>
        <v/>
      </c>
      <c r="H56" s="82" t="str">
        <f>IFERROR(IF(VLOOKUP(TableHandbook[[#This Row],[UDC]],TableAvailabilities[],3,FALSE)&gt;0,"Y",""),"")</f>
        <v/>
      </c>
      <c r="I56" s="83" t="str">
        <f>IFERROR(IF(VLOOKUP(TableHandbook[[#This Row],[UDC]],TableAvailabilities[],4,FALSE)&gt;0,"Y",""),"")</f>
        <v/>
      </c>
      <c r="J56" s="84" t="str">
        <f>IFERROR(IF(VLOOKUP(TableHandbook[[#This Row],[UDC]],TableAvailabilities[],5,FALSE)&gt;0,"Y",""),"")</f>
        <v/>
      </c>
      <c r="K56" s="108" t="s">
        <v>278</v>
      </c>
      <c r="L56" s="61" t="str">
        <f>IFERROR(VLOOKUP(TableHandbook[[#This Row],[UDC]],TableOBCONMN[],7,FALSE),"")</f>
        <v>Option</v>
      </c>
      <c r="M56" s="62" t="str">
        <f>IFERROR(VLOOKUP(TableHandbook[[#This Row],[UDC]],TableOUSHCONMN[],7,FALSE),"")</f>
        <v/>
      </c>
      <c r="N56" s="62" t="str">
        <f>IFERROR(VLOOKUP(TableHandbook[[#This Row],[UDC]],TableOUSUCONMN[],7,FALSE),"")</f>
        <v/>
      </c>
      <c r="O56" s="62" t="str">
        <f>IFERROR(VLOOKUP(TableHandbook[[#This Row],[UDC]],TableOSCUANGAD[],7,FALSE),"")</f>
        <v/>
      </c>
      <c r="P56" s="62" t="str">
        <f>IFERROR(VLOOKUP(TableHandbook[[#This Row],[UDC]],TableOSCUINARS[],7,FALSE),"")</f>
        <v/>
      </c>
      <c r="Q56" s="62" t="str">
        <f>IFERROR(VLOOKUP(TableHandbook[[#This Row],[UDC]],TableOSCUPLGEO[],7,FALSE),"")</f>
        <v/>
      </c>
    </row>
    <row r="57" spans="1:17" x14ac:dyDescent="0.25">
      <c r="A57" s="6" t="s">
        <v>279</v>
      </c>
      <c r="B57" s="120">
        <v>2</v>
      </c>
      <c r="C57" s="6"/>
      <c r="D57" s="137" t="s">
        <v>100</v>
      </c>
      <c r="E57" s="120">
        <v>100</v>
      </c>
      <c r="F57" s="121"/>
      <c r="G57" s="122" t="str">
        <f>IFERROR(IF(VLOOKUP(TableHandbook[[#This Row],[UDC]],TableAvailabilities[],2,FALSE)&gt;0,"Y",""),"")</f>
        <v/>
      </c>
      <c r="H57" s="123" t="str">
        <f>IFERROR(IF(VLOOKUP(TableHandbook[[#This Row],[UDC]],TableAvailabilities[],3,FALSE)&gt;0,"Y",""),"")</f>
        <v/>
      </c>
      <c r="I57" s="123" t="str">
        <f>IFERROR(IF(VLOOKUP(TableHandbook[[#This Row],[UDC]],TableAvailabilities[],4,FALSE)&gt;0,"Y",""),"")</f>
        <v/>
      </c>
      <c r="J57" s="124" t="str">
        <f>IFERROR(IF(VLOOKUP(TableHandbook[[#This Row],[UDC]],TableAvailabilities[],5,FALSE)&gt;0,"Y",""),"")</f>
        <v/>
      </c>
      <c r="K57" s="127" t="s">
        <v>261</v>
      </c>
      <c r="L57" s="61" t="str">
        <f>IFERROR(VLOOKUP(TableHandbook[[#This Row],[UDC]],TableOBCONMN[],7,FALSE),"")</f>
        <v/>
      </c>
      <c r="M57" s="62" t="str">
        <f>IFERROR(VLOOKUP(TableHandbook[[#This Row],[UDC]],TableOUSHCONMN[],7,FALSE),"")</f>
        <v/>
      </c>
      <c r="N57" s="62" t="str">
        <f>IFERROR(VLOOKUP(TableHandbook[[#This Row],[UDC]],TableOUSUCONMN[],7,FALSE),"")</f>
        <v/>
      </c>
      <c r="O57" s="62" t="str">
        <f>IFERROR(VLOOKUP(TableHandbook[[#This Row],[UDC]],TableOSCUANGAD[],7,FALSE),"")</f>
        <v/>
      </c>
      <c r="P57" s="62" t="str">
        <f>IFERROR(VLOOKUP(TableHandbook[[#This Row],[UDC]],TableOSCUINARS[],7,FALSE),"")</f>
        <v/>
      </c>
      <c r="Q57" s="62" t="str">
        <f>IFERROR(VLOOKUP(TableHandbook[[#This Row],[UDC]],TableOSCUPLGEO[],7,FALSE),"")</f>
        <v/>
      </c>
    </row>
    <row r="58" spans="1:17" x14ac:dyDescent="0.25">
      <c r="A58" s="8" t="s">
        <v>105</v>
      </c>
      <c r="B58" s="46">
        <v>1</v>
      </c>
      <c r="C58" s="8"/>
      <c r="D58" s="136" t="s">
        <v>104</v>
      </c>
      <c r="E58" s="46">
        <v>100</v>
      </c>
      <c r="F58" s="58"/>
      <c r="G58" s="81" t="str">
        <f>IFERROR(IF(VLOOKUP(TableHandbook[[#This Row],[UDC]],TableAvailabilities[],2,FALSE)&gt;0,"Y",""),"")</f>
        <v/>
      </c>
      <c r="H58" s="82" t="str">
        <f>IFERROR(IF(VLOOKUP(TableHandbook[[#This Row],[UDC]],TableAvailabilities[],3,FALSE)&gt;0,"Y",""),"")</f>
        <v/>
      </c>
      <c r="I58" s="83" t="str">
        <f>IFERROR(IF(VLOOKUP(TableHandbook[[#This Row],[UDC]],TableAvailabilities[],4,FALSE)&gt;0,"Y",""),"")</f>
        <v/>
      </c>
      <c r="J58" s="84" t="str">
        <f>IFERROR(IF(VLOOKUP(TableHandbook[[#This Row],[UDC]],TableAvailabilities[],5,FALSE)&gt;0,"Y",""),"")</f>
        <v/>
      </c>
      <c r="K58" s="108"/>
      <c r="L58" s="61" t="str">
        <f>IFERROR(VLOOKUP(TableHandbook[[#This Row],[UDC]],TableOBCONMN[],7,FALSE),"")</f>
        <v>Option</v>
      </c>
      <c r="M58" s="62" t="str">
        <f>IFERROR(VLOOKUP(TableHandbook[[#This Row],[UDC]],TableOUSHCONMN[],7,FALSE),"")</f>
        <v/>
      </c>
      <c r="N58" s="62" t="str">
        <f>IFERROR(VLOOKUP(TableHandbook[[#This Row],[UDC]],TableOUSUCONMN[],7,FALSE),"")</f>
        <v/>
      </c>
      <c r="O58" s="62" t="str">
        <f>IFERROR(VLOOKUP(TableHandbook[[#This Row],[UDC]],TableOSCUANGAD[],7,FALSE),"")</f>
        <v/>
      </c>
      <c r="P58" s="62" t="str">
        <f>IFERROR(VLOOKUP(TableHandbook[[#This Row],[UDC]],TableOSCUINARS[],7,FALSE),"")</f>
        <v/>
      </c>
      <c r="Q58" s="62" t="str">
        <f>IFERROR(VLOOKUP(TableHandbook[[#This Row],[UDC]],TableOSCUPLGEO[],7,FALSE),"")</f>
        <v/>
      </c>
    </row>
    <row r="59" spans="1:17" x14ac:dyDescent="0.25">
      <c r="A59" s="8" t="s">
        <v>81</v>
      </c>
      <c r="B59" s="46">
        <v>2</v>
      </c>
      <c r="C59" s="8"/>
      <c r="D59" s="136" t="s">
        <v>80</v>
      </c>
      <c r="E59" s="46">
        <v>200</v>
      </c>
      <c r="F59" s="58"/>
      <c r="G59" s="81" t="str">
        <f>IFERROR(IF(VLOOKUP(TableHandbook[[#This Row],[UDC]],TableAvailabilities[],2,FALSE)&gt;0,"Y",""),"")</f>
        <v/>
      </c>
      <c r="H59" s="82" t="str">
        <f>IFERROR(IF(VLOOKUP(TableHandbook[[#This Row],[UDC]],TableAvailabilities[],3,FALSE)&gt;0,"Y",""),"")</f>
        <v/>
      </c>
      <c r="I59" s="83" t="str">
        <f>IFERROR(IF(VLOOKUP(TableHandbook[[#This Row],[UDC]],TableAvailabilities[],4,FALSE)&gt;0,"Y",""),"")</f>
        <v/>
      </c>
      <c r="J59" s="84" t="str">
        <f>IFERROR(IF(VLOOKUP(TableHandbook[[#This Row],[UDC]],TableAvailabilities[],5,FALSE)&gt;0,"Y",""),"")</f>
        <v/>
      </c>
      <c r="K59" s="108" t="s">
        <v>278</v>
      </c>
      <c r="L59" s="61" t="str">
        <f>IFERROR(VLOOKUP(TableHandbook[[#This Row],[UDC]],TableOBCONMN[],7,FALSE),"")</f>
        <v>AltCore</v>
      </c>
      <c r="M59" s="62" t="str">
        <f>IFERROR(VLOOKUP(TableHandbook[[#This Row],[UDC]],TableOUSHCONMN[],7,FALSE),"")</f>
        <v/>
      </c>
      <c r="N59" s="62" t="str">
        <f>IFERROR(VLOOKUP(TableHandbook[[#This Row],[UDC]],TableOUSUCONMN[],7,FALSE),"")</f>
        <v/>
      </c>
      <c r="O59" s="62" t="str">
        <f>IFERROR(VLOOKUP(TableHandbook[[#This Row],[UDC]],TableOSCUANGAD[],7,FALSE),"")</f>
        <v/>
      </c>
      <c r="P59" s="62" t="str">
        <f>IFERROR(VLOOKUP(TableHandbook[[#This Row],[UDC]],TableOSCUINARS[],7,FALSE),"")</f>
        <v/>
      </c>
      <c r="Q59" s="62" t="str">
        <f>IFERROR(VLOOKUP(TableHandbook[[#This Row],[UDC]],TableOSCUPLGEO[],7,FALSE),"")</f>
        <v/>
      </c>
    </row>
    <row r="60" spans="1:17" x14ac:dyDescent="0.25">
      <c r="A60" s="8" t="s">
        <v>280</v>
      </c>
      <c r="B60" s="46">
        <v>1</v>
      </c>
      <c r="C60" s="8"/>
      <c r="D60" s="136" t="s">
        <v>80</v>
      </c>
      <c r="E60" s="46">
        <v>200</v>
      </c>
      <c r="F60" s="58"/>
      <c r="G60" s="81" t="str">
        <f>IFERROR(IF(VLOOKUP(TableHandbook[[#This Row],[UDC]],TableAvailabilities[],2,FALSE)&gt;0,"Y",""),"")</f>
        <v/>
      </c>
      <c r="H60" s="82" t="str">
        <f>IFERROR(IF(VLOOKUP(TableHandbook[[#This Row],[UDC]],TableAvailabilities[],3,FALSE)&gt;0,"Y",""),"")</f>
        <v/>
      </c>
      <c r="I60" s="83" t="str">
        <f>IFERROR(IF(VLOOKUP(TableHandbook[[#This Row],[UDC]],TableAvailabilities[],4,FALSE)&gt;0,"Y",""),"")</f>
        <v/>
      </c>
      <c r="J60" s="84" t="str">
        <f>IFERROR(IF(VLOOKUP(TableHandbook[[#This Row],[UDC]],TableAvailabilities[],5,FALSE)&gt;0,"Y",""),"")</f>
        <v/>
      </c>
      <c r="K60" s="127" t="s">
        <v>261</v>
      </c>
      <c r="L60" s="61" t="str">
        <f>IFERROR(VLOOKUP(TableHandbook[[#This Row],[UDC]],TableOBCONMN[],7,FALSE),"")</f>
        <v/>
      </c>
      <c r="M60" s="62" t="str">
        <f>IFERROR(VLOOKUP(TableHandbook[[#This Row],[UDC]],TableOUSHCONMN[],7,FALSE),"")</f>
        <v/>
      </c>
      <c r="N60" s="62" t="str">
        <f>IFERROR(VLOOKUP(TableHandbook[[#This Row],[UDC]],TableOUSUCONMN[],7,FALSE),"")</f>
        <v/>
      </c>
      <c r="O60" s="62" t="str">
        <f>IFERROR(VLOOKUP(TableHandbook[[#This Row],[UDC]],TableOSCUANGAD[],7,FALSE),"")</f>
        <v/>
      </c>
      <c r="P60" s="62" t="str">
        <f>IFERROR(VLOOKUP(TableHandbook[[#This Row],[UDC]],TableOSCUINARS[],7,FALSE),"")</f>
        <v/>
      </c>
      <c r="Q60" s="62" t="str">
        <f>IFERROR(VLOOKUP(TableHandbook[[#This Row],[UDC]],TableOSCUPLGEO[],7,FALSE),"")</f>
        <v/>
      </c>
    </row>
    <row r="61" spans="1:17" x14ac:dyDescent="0.25">
      <c r="A61" s="8" t="s">
        <v>85</v>
      </c>
      <c r="B61" s="46">
        <v>2</v>
      </c>
      <c r="C61" s="8"/>
      <c r="D61" s="136" t="s">
        <v>84</v>
      </c>
      <c r="E61" s="46">
        <v>200</v>
      </c>
      <c r="F61" s="58"/>
      <c r="G61" s="81" t="str">
        <f>IFERROR(IF(VLOOKUP(TableHandbook[[#This Row],[UDC]],TableAvailabilities[],2,FALSE)&gt;0,"Y",""),"")</f>
        <v/>
      </c>
      <c r="H61" s="82" t="str">
        <f>IFERROR(IF(VLOOKUP(TableHandbook[[#This Row],[UDC]],TableAvailabilities[],3,FALSE)&gt;0,"Y",""),"")</f>
        <v/>
      </c>
      <c r="I61" s="83" t="str">
        <f>IFERROR(IF(VLOOKUP(TableHandbook[[#This Row],[UDC]],TableAvailabilities[],4,FALSE)&gt;0,"Y",""),"")</f>
        <v/>
      </c>
      <c r="J61" s="84" t="str">
        <f>IFERROR(IF(VLOOKUP(TableHandbook[[#This Row],[UDC]],TableAvailabilities[],5,FALSE)&gt;0,"Y",""),"")</f>
        <v/>
      </c>
      <c r="K61" s="108" t="s">
        <v>278</v>
      </c>
      <c r="L61" s="61" t="str">
        <f>IFERROR(VLOOKUP(TableHandbook[[#This Row],[UDC]],TableOBCONMN[],7,FALSE),"")</f>
        <v>AltCore</v>
      </c>
      <c r="M61" s="62" t="str">
        <f>IFERROR(VLOOKUP(TableHandbook[[#This Row],[UDC]],TableOUSHCONMN[],7,FALSE),"")</f>
        <v/>
      </c>
      <c r="N61" s="62" t="str">
        <f>IFERROR(VLOOKUP(TableHandbook[[#This Row],[UDC]],TableOUSUCONMN[],7,FALSE),"")</f>
        <v/>
      </c>
      <c r="O61" s="62" t="str">
        <f>IFERROR(VLOOKUP(TableHandbook[[#This Row],[UDC]],TableOSCUANGAD[],7,FALSE),"")</f>
        <v/>
      </c>
      <c r="P61" s="62" t="str">
        <f>IFERROR(VLOOKUP(TableHandbook[[#This Row],[UDC]],TableOSCUINARS[],7,FALSE),"")</f>
        <v/>
      </c>
      <c r="Q61" s="62" t="str">
        <f>IFERROR(VLOOKUP(TableHandbook[[#This Row],[UDC]],TableOSCUPLGEO[],7,FALSE),"")</f>
        <v/>
      </c>
    </row>
    <row r="62" spans="1:17" x14ac:dyDescent="0.25">
      <c r="A62" s="8" t="s">
        <v>281</v>
      </c>
      <c r="B62" s="46">
        <v>1</v>
      </c>
      <c r="C62" s="8"/>
      <c r="D62" s="136" t="s">
        <v>84</v>
      </c>
      <c r="E62" s="46">
        <v>200</v>
      </c>
      <c r="F62" s="58"/>
      <c r="G62" s="81" t="str">
        <f>IFERROR(IF(VLOOKUP(TableHandbook[[#This Row],[UDC]],TableAvailabilities[],2,FALSE)&gt;0,"Y",""),"")</f>
        <v/>
      </c>
      <c r="H62" s="82" t="str">
        <f>IFERROR(IF(VLOOKUP(TableHandbook[[#This Row],[UDC]],TableAvailabilities[],3,FALSE)&gt;0,"Y",""),"")</f>
        <v/>
      </c>
      <c r="I62" s="83" t="str">
        <f>IFERROR(IF(VLOOKUP(TableHandbook[[#This Row],[UDC]],TableAvailabilities[],4,FALSE)&gt;0,"Y",""),"")</f>
        <v/>
      </c>
      <c r="J62" s="84" t="str">
        <f>IFERROR(IF(VLOOKUP(TableHandbook[[#This Row],[UDC]],TableAvailabilities[],5,FALSE)&gt;0,"Y",""),"")</f>
        <v/>
      </c>
      <c r="K62" s="127" t="s">
        <v>261</v>
      </c>
      <c r="L62" s="61" t="str">
        <f>IFERROR(VLOOKUP(TableHandbook[[#This Row],[UDC]],TableOBCONMN[],7,FALSE),"")</f>
        <v/>
      </c>
      <c r="M62" s="62" t="str">
        <f>IFERROR(VLOOKUP(TableHandbook[[#This Row],[UDC]],TableOUSHCONMN[],7,FALSE),"")</f>
        <v/>
      </c>
      <c r="N62" s="62" t="str">
        <f>IFERROR(VLOOKUP(TableHandbook[[#This Row],[UDC]],TableOUSUCONMN[],7,FALSE),"")</f>
        <v/>
      </c>
      <c r="O62" s="62" t="str">
        <f>IFERROR(VLOOKUP(TableHandbook[[#This Row],[UDC]],TableOSCUANGAD[],7,FALSE),"")</f>
        <v/>
      </c>
      <c r="P62" s="62" t="str">
        <f>IFERROR(VLOOKUP(TableHandbook[[#This Row],[UDC]],TableOSCUINARS[],7,FALSE),"")</f>
        <v/>
      </c>
      <c r="Q62" s="62" t="str">
        <f>IFERROR(VLOOKUP(TableHandbook[[#This Row],[UDC]],TableOSCUPLGEO[],7,FALSE),"")</f>
        <v/>
      </c>
    </row>
    <row r="63" spans="1:17" x14ac:dyDescent="0.25">
      <c r="A63" s="8" t="s">
        <v>137</v>
      </c>
      <c r="B63" s="46">
        <v>3</v>
      </c>
      <c r="C63" s="8" t="s">
        <v>282</v>
      </c>
      <c r="D63" s="136" t="s">
        <v>283</v>
      </c>
      <c r="E63" s="46">
        <v>25</v>
      </c>
      <c r="F63" s="58" t="s">
        <v>183</v>
      </c>
      <c r="G63" s="81" t="str">
        <f>IFERROR(IF(VLOOKUP(TableHandbook[[#This Row],[UDC]],TableAvailabilities[],2,FALSE)&gt;0,"Y",""),"")</f>
        <v>Y</v>
      </c>
      <c r="H63" s="82" t="str">
        <f>IFERROR(IF(VLOOKUP(TableHandbook[[#This Row],[UDC]],TableAvailabilities[],3,FALSE)&gt;0,"Y",""),"")</f>
        <v/>
      </c>
      <c r="I63" s="83" t="str">
        <f>IFERROR(IF(VLOOKUP(TableHandbook[[#This Row],[UDC]],TableAvailabilities[],4,FALSE)&gt;0,"Y",""),"")</f>
        <v>Y</v>
      </c>
      <c r="J63" s="84" t="str">
        <f>IFERROR(IF(VLOOKUP(TableHandbook[[#This Row],[UDC]],TableAvailabilities[],5,FALSE)&gt;0,"Y",""),"")</f>
        <v/>
      </c>
      <c r="K63" s="108"/>
      <c r="L63" s="61" t="str">
        <f>IFERROR(VLOOKUP(TableHandbook[[#This Row],[UDC]],TableOBCONMN[],7,FALSE),"")</f>
        <v/>
      </c>
      <c r="M63" s="62" t="str">
        <f>IFERROR(VLOOKUP(TableHandbook[[#This Row],[UDC]],TableOUSHCONMN[],7,FALSE),"")</f>
        <v/>
      </c>
      <c r="N63" s="62" t="str">
        <f>IFERROR(VLOOKUP(TableHandbook[[#This Row],[UDC]],TableOUSUCONMN[],7,FALSE),"")</f>
        <v/>
      </c>
      <c r="O63" s="62" t="str">
        <f>IFERROR(VLOOKUP(TableHandbook[[#This Row],[UDC]],TableOSCUANGAD[],7,FALSE),"")</f>
        <v/>
      </c>
      <c r="P63" s="62" t="str">
        <f>IFERROR(VLOOKUP(TableHandbook[[#This Row],[UDC]],TableOSCUINARS[],7,FALSE),"")</f>
        <v/>
      </c>
      <c r="Q63" s="62" t="str">
        <f>IFERROR(VLOOKUP(TableHandbook[[#This Row],[UDC]],TableOSCUPLGEO[],7,FALSE),"")</f>
        <v>Core</v>
      </c>
    </row>
    <row r="64" spans="1:17" x14ac:dyDescent="0.25">
      <c r="A64" s="8" t="s">
        <v>72</v>
      </c>
      <c r="B64" s="46"/>
      <c r="C64" s="8"/>
      <c r="D64" s="136" t="s">
        <v>284</v>
      </c>
      <c r="E64" s="46">
        <v>25</v>
      </c>
      <c r="F64" s="58" t="s">
        <v>173</v>
      </c>
      <c r="G64" s="81" t="str">
        <f>IFERROR(IF(VLOOKUP(TableHandbook[[#This Row],[UDC]],TableAvailabilities[],2,FALSE)&gt;0,"Y",""),"")</f>
        <v/>
      </c>
      <c r="H64" s="82" t="str">
        <f>IFERROR(IF(VLOOKUP(TableHandbook[[#This Row],[UDC]],TableAvailabilities[],3,FALSE)&gt;0,"Y",""),"")</f>
        <v/>
      </c>
      <c r="I64" s="83" t="str">
        <f>IFERROR(IF(VLOOKUP(TableHandbook[[#This Row],[UDC]],TableAvailabilities[],4,FALSE)&gt;0,"Y",""),"")</f>
        <v/>
      </c>
      <c r="J64" s="84" t="str">
        <f>IFERROR(IF(VLOOKUP(TableHandbook[[#This Row],[UDC]],TableAvailabilities[],5,FALSE)&gt;0,"Y",""),"")</f>
        <v/>
      </c>
      <c r="K64" s="108"/>
      <c r="L64" s="61" t="str">
        <f>IFERROR(VLOOKUP(TableHandbook[[#This Row],[UDC]],TableOBCONMN[],7,FALSE),"")</f>
        <v/>
      </c>
      <c r="M64" s="62" t="str">
        <f>IFERROR(VLOOKUP(TableHandbook[[#This Row],[UDC]],TableOUSHCONMN[],7,FALSE),"")</f>
        <v/>
      </c>
      <c r="N64" s="62" t="str">
        <f>IFERROR(VLOOKUP(TableHandbook[[#This Row],[UDC]],TableOUSUCONMN[],7,FALSE),"")</f>
        <v/>
      </c>
      <c r="O64" s="62" t="str">
        <f>IFERROR(VLOOKUP(TableHandbook[[#This Row],[UDC]],TableOSCUANGAD[],7,FALSE),"")</f>
        <v/>
      </c>
      <c r="P64" s="62" t="str">
        <f>IFERROR(VLOOKUP(TableHandbook[[#This Row],[UDC]],TableOSCUINARS[],7,FALSE),"")</f>
        <v/>
      </c>
      <c r="Q64" s="62" t="str">
        <f>IFERROR(VLOOKUP(TableHandbook[[#This Row],[UDC]],TableOSCUPLGEO[],7,FALSE),"")</f>
        <v/>
      </c>
    </row>
    <row r="65" spans="1:17" ht="26.25" x14ac:dyDescent="0.25">
      <c r="A65" s="8" t="s">
        <v>285</v>
      </c>
      <c r="B65" s="46">
        <v>0</v>
      </c>
      <c r="C65" s="8"/>
      <c r="D65" s="136" t="s">
        <v>286</v>
      </c>
      <c r="E65" s="46">
        <v>100</v>
      </c>
      <c r="F65" s="58"/>
      <c r="G65" s="81" t="str">
        <f>IFERROR(IF(VLOOKUP(TableHandbook[[#This Row],[UDC]],TableAvailabilities[],2,FALSE)&gt;0,"Y",""),"")</f>
        <v/>
      </c>
      <c r="H65" s="82" t="str">
        <f>IFERROR(IF(VLOOKUP(TableHandbook[[#This Row],[UDC]],TableAvailabilities[],3,FALSE)&gt;0,"Y",""),"")</f>
        <v/>
      </c>
      <c r="I65" s="83" t="str">
        <f>IFERROR(IF(VLOOKUP(TableHandbook[[#This Row],[UDC]],TableAvailabilities[],4,FALSE)&gt;0,"Y",""),"")</f>
        <v/>
      </c>
      <c r="J65" s="84" t="str">
        <f>IFERROR(IF(VLOOKUP(TableHandbook[[#This Row],[UDC]],TableAvailabilities[],5,FALSE)&gt;0,"Y",""),"")</f>
        <v/>
      </c>
      <c r="K65" s="108"/>
      <c r="L65" s="61" t="str">
        <f>IFERROR(VLOOKUP(TableHandbook[[#This Row],[UDC]],TableOBCONMN[],7,FALSE),"")</f>
        <v>Option</v>
      </c>
      <c r="M65" s="62" t="str">
        <f>IFERROR(VLOOKUP(TableHandbook[[#This Row],[UDC]],TableOUSHCONMN[],7,FALSE),"")</f>
        <v/>
      </c>
      <c r="N65" s="62" t="str">
        <f>IFERROR(VLOOKUP(TableHandbook[[#This Row],[UDC]],TableOUSUCONMN[],7,FALSE),"")</f>
        <v/>
      </c>
      <c r="O65" s="62" t="str">
        <f>IFERROR(VLOOKUP(TableHandbook[[#This Row],[UDC]],TableOSCUANGAD[],7,FALSE),"")</f>
        <v/>
      </c>
      <c r="P65" s="62" t="str">
        <f>IFERROR(VLOOKUP(TableHandbook[[#This Row],[UDC]],TableOSCUINARS[],7,FALSE),"")</f>
        <v/>
      </c>
      <c r="Q65" s="62" t="str">
        <f>IFERROR(VLOOKUP(TableHandbook[[#This Row],[UDC]],TableOSCUPLGEO[],7,FALSE),"")</f>
        <v/>
      </c>
    </row>
    <row r="66" spans="1:17" x14ac:dyDescent="0.25">
      <c r="A66" s="8" t="s">
        <v>129</v>
      </c>
      <c r="B66" s="46">
        <v>1</v>
      </c>
      <c r="C66" s="8" t="s">
        <v>287</v>
      </c>
      <c r="D66" s="136" t="s">
        <v>288</v>
      </c>
      <c r="E66" s="46">
        <v>25</v>
      </c>
      <c r="F66" s="58" t="s">
        <v>183</v>
      </c>
      <c r="G66" s="81" t="str">
        <f>IFERROR(IF(VLOOKUP(TableHandbook[[#This Row],[UDC]],TableAvailabilities[],2,FALSE)&gt;0,"Y",""),"")</f>
        <v>Y</v>
      </c>
      <c r="H66" s="82" t="str">
        <f>IFERROR(IF(VLOOKUP(TableHandbook[[#This Row],[UDC]],TableAvailabilities[],3,FALSE)&gt;0,"Y",""),"")</f>
        <v/>
      </c>
      <c r="I66" s="83" t="str">
        <f>IFERROR(IF(VLOOKUP(TableHandbook[[#This Row],[UDC]],TableAvailabilities[],4,FALSE)&gt;0,"Y",""),"")</f>
        <v>Y</v>
      </c>
      <c r="J66" s="84" t="str">
        <f>IFERROR(IF(VLOOKUP(TableHandbook[[#This Row],[UDC]],TableAvailabilities[],5,FALSE)&gt;0,"Y",""),"")</f>
        <v/>
      </c>
      <c r="K66" s="108"/>
      <c r="L66" s="61" t="str">
        <f>IFERROR(VLOOKUP(TableHandbook[[#This Row],[UDC]],TableOBCONMN[],7,FALSE),"")</f>
        <v/>
      </c>
      <c r="M66" s="62" t="str">
        <f>IFERROR(VLOOKUP(TableHandbook[[#This Row],[UDC]],TableOUSHCONMN[],7,FALSE),"")</f>
        <v/>
      </c>
      <c r="N66" s="62" t="str">
        <f>IFERROR(VLOOKUP(TableHandbook[[#This Row],[UDC]],TableOUSUCONMN[],7,FALSE),"")</f>
        <v/>
      </c>
      <c r="O66" s="62" t="str">
        <f>IFERROR(VLOOKUP(TableHandbook[[#This Row],[UDC]],TableOSCUANGAD[],7,FALSE),"")</f>
        <v/>
      </c>
      <c r="P66" s="62" t="str">
        <f>IFERROR(VLOOKUP(TableHandbook[[#This Row],[UDC]],TableOSCUINARS[],7,FALSE),"")</f>
        <v/>
      </c>
      <c r="Q66" s="62" t="str">
        <f>IFERROR(VLOOKUP(TableHandbook[[#This Row],[UDC]],TableOSCUPLGEO[],7,FALSE),"")</f>
        <v>Core</v>
      </c>
    </row>
    <row r="67" spans="1:17" x14ac:dyDescent="0.25">
      <c r="A67" s="8" t="s">
        <v>133</v>
      </c>
      <c r="B67" s="46">
        <v>1</v>
      </c>
      <c r="C67" s="8" t="s">
        <v>289</v>
      </c>
      <c r="D67" s="136" t="s">
        <v>290</v>
      </c>
      <c r="E67" s="46">
        <v>25</v>
      </c>
      <c r="F67" s="58" t="s">
        <v>183</v>
      </c>
      <c r="G67" s="81" t="str">
        <f>IFERROR(IF(VLOOKUP(TableHandbook[[#This Row],[UDC]],TableAvailabilities[],2,FALSE)&gt;0,"Y",""),"")</f>
        <v/>
      </c>
      <c r="H67" s="82" t="str">
        <f>IFERROR(IF(VLOOKUP(TableHandbook[[#This Row],[UDC]],TableAvailabilities[],3,FALSE)&gt;0,"Y",""),"")</f>
        <v>Y</v>
      </c>
      <c r="I67" s="83" t="str">
        <f>IFERROR(IF(VLOOKUP(TableHandbook[[#This Row],[UDC]],TableAvailabilities[],4,FALSE)&gt;0,"Y",""),"")</f>
        <v/>
      </c>
      <c r="J67" s="84" t="str">
        <f>IFERROR(IF(VLOOKUP(TableHandbook[[#This Row],[UDC]],TableAvailabilities[],5,FALSE)&gt;0,"Y",""),"")</f>
        <v>Y</v>
      </c>
      <c r="K67" s="108"/>
      <c r="L67" s="61" t="str">
        <f>IFERROR(VLOOKUP(TableHandbook[[#This Row],[UDC]],TableOBCONMN[],7,FALSE),"")</f>
        <v/>
      </c>
      <c r="M67" s="62" t="str">
        <f>IFERROR(VLOOKUP(TableHandbook[[#This Row],[UDC]],TableOUSHCONMN[],7,FALSE),"")</f>
        <v/>
      </c>
      <c r="N67" s="62" t="str">
        <f>IFERROR(VLOOKUP(TableHandbook[[#This Row],[UDC]],TableOUSUCONMN[],7,FALSE),"")</f>
        <v/>
      </c>
      <c r="O67" s="62" t="str">
        <f>IFERROR(VLOOKUP(TableHandbook[[#This Row],[UDC]],TableOSCUANGAD[],7,FALSE),"")</f>
        <v/>
      </c>
      <c r="P67" s="62" t="str">
        <f>IFERROR(VLOOKUP(TableHandbook[[#This Row],[UDC]],TableOSCUINARS[],7,FALSE),"")</f>
        <v/>
      </c>
      <c r="Q67" s="62" t="str">
        <f>IFERROR(VLOOKUP(TableHandbook[[#This Row],[UDC]],TableOSCUPLGEO[],7,FALSE),"")</f>
        <v>Core</v>
      </c>
    </row>
    <row r="68" spans="1:17" x14ac:dyDescent="0.25">
      <c r="A68" s="7" t="s">
        <v>103</v>
      </c>
      <c r="B68" s="20">
        <v>1</v>
      </c>
      <c r="C68" s="7" t="s">
        <v>291</v>
      </c>
      <c r="D68" s="138" t="s">
        <v>385</v>
      </c>
      <c r="E68" s="46">
        <v>25</v>
      </c>
      <c r="F68" s="58" t="s">
        <v>183</v>
      </c>
      <c r="G68" s="122" t="str">
        <f>IFERROR(IF(VLOOKUP(TableHandbook[[#This Row],[UDC]],TableAvailabilities[],2,FALSE)&gt;0,"Y",""),"")</f>
        <v/>
      </c>
      <c r="H68" s="123" t="str">
        <f>IFERROR(IF(VLOOKUP(TableHandbook[[#This Row],[UDC]],TableAvailabilities[],3,FALSE)&gt;0,"Y",""),"")</f>
        <v/>
      </c>
      <c r="I68" s="123" t="str">
        <f>IFERROR(IF(VLOOKUP(TableHandbook[[#This Row],[UDC]],TableAvailabilities[],4,FALSE)&gt;0,"Y",""),"")</f>
        <v/>
      </c>
      <c r="J68" s="124" t="str">
        <f>IFERROR(IF(VLOOKUP(TableHandbook[[#This Row],[UDC]],TableAvailabilities[],5,FALSE)&gt;0,"Y",""),"")</f>
        <v/>
      </c>
      <c r="K68" s="128" t="s">
        <v>292</v>
      </c>
      <c r="L68" s="61" t="str">
        <f>IFERROR(VLOOKUP(TableHandbook[[#This Row],[UDC]],TableOBCONMN[],7,FALSE),"")</f>
        <v>Core</v>
      </c>
      <c r="M68" s="62" t="str">
        <f>IFERROR(VLOOKUP(TableHandbook[[#This Row],[UDC]],TableOUSHCONMN[],7,FALSE),"")</f>
        <v/>
      </c>
      <c r="N68" s="62" t="str">
        <f>IFERROR(VLOOKUP(TableHandbook[[#This Row],[UDC]],TableOUSUCONMN[],7,FALSE),"")</f>
        <v/>
      </c>
      <c r="O68" s="62" t="str">
        <f>IFERROR(VLOOKUP(TableHandbook[[#This Row],[UDC]],TableOSCUANGAD[],7,FALSE),"")</f>
        <v/>
      </c>
      <c r="P68" s="62" t="str">
        <f>IFERROR(VLOOKUP(TableHandbook[[#This Row],[UDC]],TableOSCUINARS[],7,FALSE),"")</f>
        <v/>
      </c>
      <c r="Q68" s="62" t="str">
        <f>IFERROR(VLOOKUP(TableHandbook[[#This Row],[UDC]],TableOSCUPLGEO[],7,FALSE),"")</f>
        <v/>
      </c>
    </row>
    <row r="69" spans="1:17" x14ac:dyDescent="0.25">
      <c r="A69" s="8" t="s">
        <v>157</v>
      </c>
      <c r="B69" s="46">
        <v>2</v>
      </c>
      <c r="C69" s="8" t="s">
        <v>293</v>
      </c>
      <c r="D69" s="136" t="s">
        <v>294</v>
      </c>
      <c r="E69" s="46">
        <v>25</v>
      </c>
      <c r="F69" s="58" t="s">
        <v>295</v>
      </c>
      <c r="G69" s="81" t="str">
        <f>IFERROR(IF(VLOOKUP(TableHandbook[[#This Row],[UDC]],TableAvailabilities[],2,FALSE)&gt;0,"Y",""),"")</f>
        <v/>
      </c>
      <c r="H69" s="82" t="str">
        <f>IFERROR(IF(VLOOKUP(TableHandbook[[#This Row],[UDC]],TableAvailabilities[],3,FALSE)&gt;0,"Y",""),"")</f>
        <v/>
      </c>
      <c r="I69" s="83" t="str">
        <f>IFERROR(IF(VLOOKUP(TableHandbook[[#This Row],[UDC]],TableAvailabilities[],4,FALSE)&gt;0,"Y",""),"")</f>
        <v/>
      </c>
      <c r="J69" s="84" t="str">
        <f>IFERROR(IF(VLOOKUP(TableHandbook[[#This Row],[UDC]],TableAvailabilities[],5,FALSE)&gt;0,"Y",""),"")</f>
        <v/>
      </c>
      <c r="K69" s="108" t="s">
        <v>278</v>
      </c>
      <c r="L69" s="61" t="str">
        <f>IFERROR(VLOOKUP(TableHandbook[[#This Row],[UDC]],TableOBCONMN[],7,FALSE),"")</f>
        <v/>
      </c>
      <c r="M69" s="62" t="str">
        <f>IFERROR(VLOOKUP(TableHandbook[[#This Row],[UDC]],TableOUSHCONMN[],7,FALSE),"")</f>
        <v/>
      </c>
      <c r="N69" s="62" t="str">
        <f>IFERROR(VLOOKUP(TableHandbook[[#This Row],[UDC]],TableOUSUCONMN[],7,FALSE),"")</f>
        <v/>
      </c>
      <c r="O69" s="62" t="str">
        <f>IFERROR(VLOOKUP(TableHandbook[[#This Row],[UDC]],TableOSCUANGAD[],7,FALSE),"")</f>
        <v/>
      </c>
      <c r="P69" s="62" t="str">
        <f>IFERROR(VLOOKUP(TableHandbook[[#This Row],[UDC]],TableOSCUINARS[],7,FALSE),"")</f>
        <v>Option</v>
      </c>
      <c r="Q69" s="62" t="str">
        <f>IFERROR(VLOOKUP(TableHandbook[[#This Row],[UDC]],TableOSCUPLGEO[],7,FALSE),"")</f>
        <v/>
      </c>
    </row>
    <row r="70" spans="1:17" x14ac:dyDescent="0.25">
      <c r="A70" s="8" t="s">
        <v>296</v>
      </c>
      <c r="B70" s="46">
        <v>1</v>
      </c>
      <c r="C70" s="8" t="s">
        <v>293</v>
      </c>
      <c r="D70" s="136" t="s">
        <v>294</v>
      </c>
      <c r="E70" s="46">
        <v>25</v>
      </c>
      <c r="F70" s="58" t="s">
        <v>295</v>
      </c>
      <c r="G70" s="81" t="str">
        <f>IFERROR(IF(VLOOKUP(TableHandbook[[#This Row],[UDC]],TableAvailabilities[],2,FALSE)&gt;0,"Y",""),"")</f>
        <v/>
      </c>
      <c r="H70" s="82" t="str">
        <f>IFERROR(IF(VLOOKUP(TableHandbook[[#This Row],[UDC]],TableAvailabilities[],3,FALSE)&gt;0,"Y",""),"")</f>
        <v/>
      </c>
      <c r="I70" s="83" t="str">
        <f>IFERROR(IF(VLOOKUP(TableHandbook[[#This Row],[UDC]],TableAvailabilities[],4,FALSE)&gt;0,"Y",""),"")</f>
        <v/>
      </c>
      <c r="J70" s="84" t="str">
        <f>IFERROR(IF(VLOOKUP(TableHandbook[[#This Row],[UDC]],TableAvailabilities[],5,FALSE)&gt;0,"Y",""),"")</f>
        <v/>
      </c>
      <c r="K70" s="127" t="s">
        <v>297</v>
      </c>
      <c r="L70" s="61" t="str">
        <f>IFERROR(VLOOKUP(TableHandbook[[#This Row],[UDC]],TableOBCONMN[],7,FALSE),"")</f>
        <v/>
      </c>
      <c r="M70" s="62" t="str">
        <f>IFERROR(VLOOKUP(TableHandbook[[#This Row],[UDC]],TableOUSHCONMN[],7,FALSE),"")</f>
        <v/>
      </c>
      <c r="N70" s="62" t="str">
        <f>IFERROR(VLOOKUP(TableHandbook[[#This Row],[UDC]],TableOUSUCONMN[],7,FALSE),"")</f>
        <v/>
      </c>
      <c r="O70" s="62" t="str">
        <f>IFERROR(VLOOKUP(TableHandbook[[#This Row],[UDC]],TableOSCUANGAD[],7,FALSE),"")</f>
        <v/>
      </c>
      <c r="P70" s="62" t="str">
        <f>IFERROR(VLOOKUP(TableHandbook[[#This Row],[UDC]],TableOSCUINARS[],7,FALSE),"")</f>
        <v/>
      </c>
      <c r="Q70" s="62" t="str">
        <f>IFERROR(VLOOKUP(TableHandbook[[#This Row],[UDC]],TableOSCUPLGEO[],7,FALSE),"")</f>
        <v/>
      </c>
    </row>
    <row r="71" spans="1:17" x14ac:dyDescent="0.25">
      <c r="A71" s="8" t="s">
        <v>159</v>
      </c>
      <c r="B71" s="46">
        <v>1</v>
      </c>
      <c r="C71" s="8" t="s">
        <v>298</v>
      </c>
      <c r="D71" s="136" t="s">
        <v>299</v>
      </c>
      <c r="E71" s="46">
        <v>25</v>
      </c>
      <c r="F71" s="58" t="s">
        <v>295</v>
      </c>
      <c r="G71" s="81" t="str">
        <f>IFERROR(IF(VLOOKUP(TableHandbook[[#This Row],[UDC]],TableAvailabilities[],2,FALSE)&gt;0,"Y",""),"")</f>
        <v/>
      </c>
      <c r="H71" s="82" t="str">
        <f>IFERROR(IF(VLOOKUP(TableHandbook[[#This Row],[UDC]],TableAvailabilities[],3,FALSE)&gt;0,"Y",""),"")</f>
        <v/>
      </c>
      <c r="I71" s="83" t="str">
        <f>IFERROR(IF(VLOOKUP(TableHandbook[[#This Row],[UDC]],TableAvailabilities[],4,FALSE)&gt;0,"Y",""),"")</f>
        <v/>
      </c>
      <c r="J71" s="84" t="str">
        <f>IFERROR(IF(VLOOKUP(TableHandbook[[#This Row],[UDC]],TableAvailabilities[],5,FALSE)&gt;0,"Y",""),"")</f>
        <v/>
      </c>
      <c r="K71" s="108"/>
      <c r="L71" s="61" t="str">
        <f>IFERROR(VLOOKUP(TableHandbook[[#This Row],[UDC]],TableOBCONMN[],7,FALSE),"")</f>
        <v/>
      </c>
      <c r="M71" s="62" t="str">
        <f>IFERROR(VLOOKUP(TableHandbook[[#This Row],[UDC]],TableOUSHCONMN[],7,FALSE),"")</f>
        <v/>
      </c>
      <c r="N71" s="62" t="str">
        <f>IFERROR(VLOOKUP(TableHandbook[[#This Row],[UDC]],TableOUSUCONMN[],7,FALSE),"")</f>
        <v/>
      </c>
      <c r="O71" s="62" t="str">
        <f>IFERROR(VLOOKUP(TableHandbook[[#This Row],[UDC]],TableOSCUANGAD[],7,FALSE),"")</f>
        <v/>
      </c>
      <c r="P71" s="62" t="str">
        <f>IFERROR(VLOOKUP(TableHandbook[[#This Row],[UDC]],TableOSCUINARS[],7,FALSE),"")</f>
        <v>Option</v>
      </c>
      <c r="Q71" s="62" t="str">
        <f>IFERROR(VLOOKUP(TableHandbook[[#This Row],[UDC]],TableOSCUPLGEO[],7,FALSE),"")</f>
        <v/>
      </c>
    </row>
    <row r="72" spans="1:17" x14ac:dyDescent="0.25">
      <c r="A72" s="8" t="s">
        <v>150</v>
      </c>
      <c r="B72" s="46">
        <v>1</v>
      </c>
      <c r="C72" s="8" t="s">
        <v>300</v>
      </c>
      <c r="D72" s="136" t="s">
        <v>301</v>
      </c>
      <c r="E72" s="46">
        <v>25</v>
      </c>
      <c r="F72" s="58" t="s">
        <v>295</v>
      </c>
      <c r="G72" s="81" t="str">
        <f>IFERROR(IF(VLOOKUP(TableHandbook[[#This Row],[UDC]],TableAvailabilities[],2,FALSE)&gt;0,"Y",""),"")</f>
        <v/>
      </c>
      <c r="H72" s="82" t="str">
        <f>IFERROR(IF(VLOOKUP(TableHandbook[[#This Row],[UDC]],TableAvailabilities[],3,FALSE)&gt;0,"Y",""),"")</f>
        <v/>
      </c>
      <c r="I72" s="83" t="str">
        <f>IFERROR(IF(VLOOKUP(TableHandbook[[#This Row],[UDC]],TableAvailabilities[],4,FALSE)&gt;0,"Y",""),"")</f>
        <v/>
      </c>
      <c r="J72" s="84" t="str">
        <f>IFERROR(IF(VLOOKUP(TableHandbook[[#This Row],[UDC]],TableAvailabilities[],5,FALSE)&gt;0,"Y",""),"")</f>
        <v/>
      </c>
      <c r="K72" s="108"/>
      <c r="L72" s="61" t="str">
        <f>IFERROR(VLOOKUP(TableHandbook[[#This Row],[UDC]],TableOBCONMN[],7,FALSE),"")</f>
        <v/>
      </c>
      <c r="M72" s="62" t="str">
        <f>IFERROR(VLOOKUP(TableHandbook[[#This Row],[UDC]],TableOUSHCONMN[],7,FALSE),"")</f>
        <v/>
      </c>
      <c r="N72" s="62" t="str">
        <f>IFERROR(VLOOKUP(TableHandbook[[#This Row],[UDC]],TableOUSUCONMN[],7,FALSE),"")</f>
        <v/>
      </c>
      <c r="O72" s="62" t="str">
        <f>IFERROR(VLOOKUP(TableHandbook[[#This Row],[UDC]],TableOSCUANGAD[],7,FALSE),"")</f>
        <v>AltCore</v>
      </c>
      <c r="P72" s="62" t="str">
        <f>IFERROR(VLOOKUP(TableHandbook[[#This Row],[UDC]],TableOSCUINARS[],7,FALSE),"")</f>
        <v>Option</v>
      </c>
      <c r="Q72" s="62" t="str">
        <f>IFERROR(VLOOKUP(TableHandbook[[#This Row],[UDC]],TableOSCUPLGEO[],7,FALSE),"")</f>
        <v>AltCore</v>
      </c>
    </row>
    <row r="73" spans="1:17" x14ac:dyDescent="0.25">
      <c r="A73" s="8" t="s">
        <v>162</v>
      </c>
      <c r="B73" s="46">
        <v>1</v>
      </c>
      <c r="C73" s="8" t="s">
        <v>302</v>
      </c>
      <c r="D73" s="136" t="s">
        <v>303</v>
      </c>
      <c r="E73" s="46">
        <v>25</v>
      </c>
      <c r="F73" s="58" t="s">
        <v>295</v>
      </c>
      <c r="G73" s="81" t="str">
        <f>IFERROR(IF(VLOOKUP(TableHandbook[[#This Row],[UDC]],TableAvailabilities[],2,FALSE)&gt;0,"Y",""),"")</f>
        <v/>
      </c>
      <c r="H73" s="82" t="str">
        <f>IFERROR(IF(VLOOKUP(TableHandbook[[#This Row],[UDC]],TableAvailabilities[],3,FALSE)&gt;0,"Y",""),"")</f>
        <v/>
      </c>
      <c r="I73" s="83" t="str">
        <f>IFERROR(IF(VLOOKUP(TableHandbook[[#This Row],[UDC]],TableAvailabilities[],4,FALSE)&gt;0,"Y",""),"")</f>
        <v/>
      </c>
      <c r="J73" s="84" t="str">
        <f>IFERROR(IF(VLOOKUP(TableHandbook[[#This Row],[UDC]],TableAvailabilities[],5,FALSE)&gt;0,"Y",""),"")</f>
        <v/>
      </c>
      <c r="K73" s="108"/>
      <c r="L73" s="61" t="str">
        <f>IFERROR(VLOOKUP(TableHandbook[[#This Row],[UDC]],TableOBCONMN[],7,FALSE),"")</f>
        <v/>
      </c>
      <c r="M73" s="62" t="str">
        <f>IFERROR(VLOOKUP(TableHandbook[[#This Row],[UDC]],TableOUSHCONMN[],7,FALSE),"")</f>
        <v/>
      </c>
      <c r="N73" s="62" t="str">
        <f>IFERROR(VLOOKUP(TableHandbook[[#This Row],[UDC]],TableOUSUCONMN[],7,FALSE),"")</f>
        <v/>
      </c>
      <c r="O73" s="62" t="str">
        <f>IFERROR(VLOOKUP(TableHandbook[[#This Row],[UDC]],TableOSCUANGAD[],7,FALSE),"")</f>
        <v/>
      </c>
      <c r="P73" s="62" t="str">
        <f>IFERROR(VLOOKUP(TableHandbook[[#This Row],[UDC]],TableOSCUINARS[],7,FALSE),"")</f>
        <v>Option</v>
      </c>
      <c r="Q73" s="62" t="str">
        <f>IFERROR(VLOOKUP(TableHandbook[[#This Row],[UDC]],TableOSCUPLGEO[],7,FALSE),"")</f>
        <v/>
      </c>
    </row>
  </sheetData>
  <sortState ref="A24:D37">
    <sortCondition ref="A24"/>
  </sortState>
  <conditionalFormatting sqref="A4:A73">
    <cfRule type="duplicateValues" dxfId="93" priority="40"/>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zoomScale="70" zoomScaleNormal="70" workbookViewId="0">
      <selection activeCell="R9" sqref="R9"/>
    </sheetView>
  </sheetViews>
  <sheetFormatPr defaultRowHeight="15.75" x14ac:dyDescent="0.25"/>
  <cols>
    <col min="1" max="1" width="14.625" bestFit="1" customWidth="1"/>
    <col min="2" max="2" width="6.875" style="2" bestFit="1" customWidth="1"/>
    <col min="3" max="3" width="12" bestFit="1" customWidth="1"/>
    <col min="4" max="4" width="60.125"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customWidth="1"/>
    <col min="12" max="12" width="65.5" customWidth="1"/>
    <col min="13" max="13" width="14.375" bestFit="1" customWidth="1"/>
    <col min="14" max="14" width="12.5" bestFit="1" customWidth="1"/>
    <col min="15" max="15" width="11.25" bestFit="1" customWidth="1"/>
    <col min="17" max="17" width="14.75" bestFit="1" customWidth="1"/>
    <col min="18" max="18" width="11.5" bestFit="1" customWidth="1"/>
    <col min="19" max="19" width="10.125" bestFit="1" customWidth="1"/>
    <col min="21" max="21" width="22.875" customWidth="1"/>
  </cols>
  <sheetData>
    <row r="1" spans="1:18" x14ac:dyDescent="0.25">
      <c r="B1"/>
      <c r="E1"/>
      <c r="F1" s="40"/>
      <c r="G1" s="41" t="s">
        <v>304</v>
      </c>
      <c r="H1" s="42">
        <v>44927</v>
      </c>
      <c r="I1" s="101"/>
      <c r="J1" s="102" t="s">
        <v>166</v>
      </c>
      <c r="K1" s="43" t="s">
        <v>82</v>
      </c>
      <c r="L1" s="101" t="s">
        <v>11</v>
      </c>
      <c r="M1" s="101"/>
      <c r="N1" s="103" t="s">
        <v>305</v>
      </c>
      <c r="O1" s="104">
        <v>45306</v>
      </c>
    </row>
    <row r="2" spans="1:18" x14ac:dyDescent="0.25">
      <c r="A2" t="s">
        <v>0</v>
      </c>
      <c r="B2" s="2" t="s">
        <v>306</v>
      </c>
      <c r="C2" t="s">
        <v>20</v>
      </c>
      <c r="D2" t="s">
        <v>3</v>
      </c>
      <c r="E2" s="44" t="s">
        <v>307</v>
      </c>
      <c r="F2" t="s">
        <v>308</v>
      </c>
      <c r="G2" t="s">
        <v>309</v>
      </c>
      <c r="H2" t="s">
        <v>310</v>
      </c>
      <c r="I2" t="s">
        <v>21</v>
      </c>
      <c r="J2" t="s">
        <v>311</v>
      </c>
      <c r="K2" t="s">
        <v>1</v>
      </c>
      <c r="L2" t="s">
        <v>312</v>
      </c>
      <c r="M2" t="s">
        <v>49</v>
      </c>
      <c r="N2" t="s">
        <v>313</v>
      </c>
      <c r="O2" t="s">
        <v>314</v>
      </c>
      <c r="Q2" t="s">
        <v>315</v>
      </c>
      <c r="R2" t="s">
        <v>316</v>
      </c>
    </row>
    <row r="3" spans="1:18" x14ac:dyDescent="0.25">
      <c r="A3" t="str">
        <f>TableOBCONMN[[#This Row],[Study Package Code]]</f>
        <v>COMS1007</v>
      </c>
      <c r="B3" s="2">
        <f>TableOBCONMN[[#This Row],[Ver]]</f>
        <v>1</v>
      </c>
      <c r="C3" t="str">
        <f>LEFT(TableOBCONMN[[#This Row],[Structure Line]],6)</f>
        <v>APC100</v>
      </c>
      <c r="D3" t="str">
        <f>MID(TableOBCONMN[[#This Row],[Structure Line]],10,LEN(TableOBCONMN[[#This Row],[Structure Line]]))</f>
        <v>Academic and Professional Communications</v>
      </c>
      <c r="E3" s="44">
        <f>TableOBCONMN[[#This Row],[Credit Points]]</f>
        <v>25</v>
      </c>
      <c r="F3">
        <v>1</v>
      </c>
      <c r="G3" t="s">
        <v>317</v>
      </c>
      <c r="H3">
        <v>1</v>
      </c>
      <c r="I3" t="s">
        <v>318</v>
      </c>
      <c r="J3" t="s">
        <v>39</v>
      </c>
      <c r="K3" s="59">
        <v>1</v>
      </c>
      <c r="L3" s="59" t="s">
        <v>319</v>
      </c>
      <c r="M3" s="59">
        <v>25</v>
      </c>
      <c r="N3" s="109">
        <v>42005</v>
      </c>
      <c r="O3" s="109"/>
      <c r="Q3" t="s">
        <v>39</v>
      </c>
      <c r="R3">
        <v>1</v>
      </c>
    </row>
    <row r="4" spans="1:18" x14ac:dyDescent="0.25">
      <c r="A4" t="str">
        <f>TableOBCONMN[[#This Row],[Study Package Code]]</f>
        <v>ARCH1021</v>
      </c>
      <c r="B4" s="2">
        <f>TableOBCONMN[[#This Row],[Ver]]</f>
        <v>3</v>
      </c>
      <c r="C4" t="str">
        <f>LEFT(TableOBCONMN[[#This Row],[Structure Line]],6)</f>
        <v>BAS145</v>
      </c>
      <c r="D4" t="str">
        <f>MID(TableOBCONMN[[#This Row],[Structure Line]],8,LEN(TableOBCONMN[[#This Row],[Structure Line]]))</f>
        <v>Architecture and Interior Architecture Methods 1B - Digital Literacy</v>
      </c>
      <c r="E4" s="44">
        <f>TableOBCONMN[[#This Row],[Credit Points]]</f>
        <v>25</v>
      </c>
      <c r="F4">
        <v>2</v>
      </c>
      <c r="G4" t="s">
        <v>317</v>
      </c>
      <c r="H4">
        <v>1</v>
      </c>
      <c r="I4" t="s">
        <v>318</v>
      </c>
      <c r="J4" t="s">
        <v>56</v>
      </c>
      <c r="K4" s="59">
        <v>3</v>
      </c>
      <c r="L4" s="59" t="s">
        <v>320</v>
      </c>
      <c r="M4" s="59">
        <v>25</v>
      </c>
      <c r="N4" s="109">
        <v>44562</v>
      </c>
      <c r="O4" s="109"/>
      <c r="Q4" t="s">
        <v>56</v>
      </c>
      <c r="R4">
        <v>3</v>
      </c>
    </row>
    <row r="5" spans="1:18" x14ac:dyDescent="0.25">
      <c r="A5" t="str">
        <f>TableOBCONMN[[#This Row],[Study Package Code]]</f>
        <v>BLDG1005</v>
      </c>
      <c r="B5" s="2">
        <f>TableOBCONMN[[#This Row],[Ver]]</f>
        <v>2</v>
      </c>
      <c r="C5" t="str">
        <f>LEFT(TableOBCONMN[[#This Row],[Structure Line]],6)</f>
        <v>CME101</v>
      </c>
      <c r="D5" t="str">
        <f>MID(TableOBCONMN[[#This Row],[Structure Line]],8,LEN(TableOBCONMN[[#This Row],[Structure Line]]))</f>
        <v>Low Rise Construction</v>
      </c>
      <c r="E5" s="44">
        <f>TableOBCONMN[[#This Row],[Credit Points]]</f>
        <v>25</v>
      </c>
      <c r="F5">
        <v>3</v>
      </c>
      <c r="G5" t="s">
        <v>317</v>
      </c>
      <c r="H5">
        <v>1</v>
      </c>
      <c r="I5" t="s">
        <v>318</v>
      </c>
      <c r="J5" t="s">
        <v>45</v>
      </c>
      <c r="K5" s="59">
        <v>2</v>
      </c>
      <c r="L5" s="59" t="s">
        <v>321</v>
      </c>
      <c r="M5" s="59">
        <v>25</v>
      </c>
      <c r="N5" s="109">
        <v>43466</v>
      </c>
      <c r="O5" s="109"/>
      <c r="Q5" t="s">
        <v>45</v>
      </c>
      <c r="R5">
        <v>2</v>
      </c>
    </row>
    <row r="6" spans="1:18" x14ac:dyDescent="0.25">
      <c r="A6" t="str">
        <f>TableOBCONMN[[#This Row],[Study Package Code]]</f>
        <v>BLDG1009</v>
      </c>
      <c r="B6" s="2">
        <f>TableOBCONMN[[#This Row],[Ver]]</f>
        <v>3</v>
      </c>
      <c r="C6" t="str">
        <f>LEFT(TableOBCONMN[[#This Row],[Structure Line]],6)</f>
        <v>CME103</v>
      </c>
      <c r="D6" t="str">
        <f>MID(TableOBCONMN[[#This Row],[Structure Line]],8,LEN(TableOBCONMN[[#This Row],[Structure Line]]))</f>
        <v>Introduction to Management in Construction</v>
      </c>
      <c r="E6" s="44">
        <f>TableOBCONMN[[#This Row],[Credit Points]]</f>
        <v>25</v>
      </c>
      <c r="F6" s="59">
        <v>4</v>
      </c>
      <c r="G6" s="59" t="s">
        <v>317</v>
      </c>
      <c r="H6" s="59">
        <v>1</v>
      </c>
      <c r="I6" s="59" t="s">
        <v>318</v>
      </c>
      <c r="J6" s="59" t="s">
        <v>46</v>
      </c>
      <c r="K6" s="59">
        <v>3</v>
      </c>
      <c r="L6" s="59" t="s">
        <v>322</v>
      </c>
      <c r="M6" s="59">
        <v>25</v>
      </c>
      <c r="N6" s="109">
        <v>44927</v>
      </c>
      <c r="O6" s="109"/>
      <c r="Q6" t="s">
        <v>46</v>
      </c>
      <c r="R6">
        <v>3</v>
      </c>
    </row>
    <row r="7" spans="1:18" x14ac:dyDescent="0.25">
      <c r="A7" t="str">
        <f>TableOBCONMN[[#This Row],[Study Package Code]]</f>
        <v>BLDG1008</v>
      </c>
      <c r="B7" s="2">
        <f>TableOBCONMN[[#This Row],[Ver]]</f>
        <v>1</v>
      </c>
      <c r="C7" t="str">
        <f>LEFT(TableOBCONMN[[#This Row],[Structure Line]],6)</f>
        <v>CME104</v>
      </c>
      <c r="D7" t="str">
        <f>MID(TableOBCONMN[[#This Row],[Structure Line]],8,LEN(TableOBCONMN[[#This Row],[Structure Line]]))</f>
        <v>Structures</v>
      </c>
      <c r="E7" s="44">
        <f>TableOBCONMN[[#This Row],[Credit Points]]</f>
        <v>25</v>
      </c>
      <c r="F7">
        <v>5</v>
      </c>
      <c r="G7" t="s">
        <v>317</v>
      </c>
      <c r="H7">
        <v>1</v>
      </c>
      <c r="I7" t="s">
        <v>318</v>
      </c>
      <c r="J7" t="s">
        <v>41</v>
      </c>
      <c r="K7" s="59">
        <v>1</v>
      </c>
      <c r="L7" s="59" t="s">
        <v>323</v>
      </c>
      <c r="M7" s="59">
        <v>25</v>
      </c>
      <c r="N7" s="109">
        <v>42005</v>
      </c>
      <c r="O7" s="109"/>
      <c r="Q7" t="s">
        <v>41</v>
      </c>
      <c r="R7">
        <v>1</v>
      </c>
    </row>
    <row r="8" spans="1:18" x14ac:dyDescent="0.25">
      <c r="A8" t="str">
        <f>TableOBCONMN[[#This Row],[Study Package Code]]</f>
        <v>BLDG1006</v>
      </c>
      <c r="B8" s="2">
        <f>TableOBCONMN[[#This Row],[Ver]]</f>
        <v>3</v>
      </c>
      <c r="C8" t="str">
        <f>LEFT(TableOBCONMN[[#This Row],[Structure Line]],6)</f>
        <v>CME106</v>
      </c>
      <c r="D8" t="str">
        <f>MID(TableOBCONMN[[#This Row],[Structure Line]],8,LEN(TableOBCONMN[[#This Row],[Structure Line]]))</f>
        <v>High-rise Construction</v>
      </c>
      <c r="E8" s="44">
        <f>TableOBCONMN[[#This Row],[Credit Points]]</f>
        <v>25</v>
      </c>
      <c r="F8" s="59">
        <v>6</v>
      </c>
      <c r="G8" s="59" t="s">
        <v>317</v>
      </c>
      <c r="H8" s="59">
        <v>1</v>
      </c>
      <c r="I8" s="59" t="s">
        <v>318</v>
      </c>
      <c r="J8" s="59" t="s">
        <v>57</v>
      </c>
      <c r="K8" s="59">
        <v>3</v>
      </c>
      <c r="L8" s="59" t="s">
        <v>324</v>
      </c>
      <c r="M8" s="59">
        <v>25</v>
      </c>
      <c r="N8" s="109">
        <v>44927</v>
      </c>
      <c r="O8" s="109"/>
      <c r="Q8" t="s">
        <v>57</v>
      </c>
      <c r="R8">
        <v>3</v>
      </c>
    </row>
    <row r="9" spans="1:18" x14ac:dyDescent="0.25">
      <c r="A9" t="str">
        <f>TableOBCONMN[[#This Row],[Study Package Code]]</f>
        <v>BLDG1017</v>
      </c>
      <c r="B9" s="2">
        <f>TableOBCONMN[[#This Row],[Ver]]</f>
        <v>1</v>
      </c>
      <c r="C9" t="str">
        <f>LEFT(TableOBCONMN[[#This Row],[Structure Line]],6)</f>
        <v>CME180</v>
      </c>
      <c r="D9" t="str">
        <f>MID(TableOBCONMN[[#This Row],[Structure Line]],8,LEN(TableOBCONMN[[#This Row],[Structure Line]]))</f>
        <v>Building Construction Measurement</v>
      </c>
      <c r="E9" s="44">
        <f>TableOBCONMN[[#This Row],[Credit Points]]</f>
        <v>25</v>
      </c>
      <c r="F9">
        <v>7</v>
      </c>
      <c r="G9" t="s">
        <v>317</v>
      </c>
      <c r="H9">
        <v>1</v>
      </c>
      <c r="I9" t="s">
        <v>318</v>
      </c>
      <c r="J9" t="s">
        <v>55</v>
      </c>
      <c r="K9" s="59">
        <v>1</v>
      </c>
      <c r="L9" s="59" t="s">
        <v>325</v>
      </c>
      <c r="M9" s="59">
        <v>25</v>
      </c>
      <c r="N9" s="109">
        <v>44927</v>
      </c>
      <c r="O9" s="109"/>
      <c r="Q9" t="s">
        <v>55</v>
      </c>
      <c r="R9">
        <v>1</v>
      </c>
    </row>
    <row r="10" spans="1:18" x14ac:dyDescent="0.25">
      <c r="A10" t="str">
        <f>TableOBCONMN[[#This Row],[Study Package Code]]</f>
        <v>BLDG1019</v>
      </c>
      <c r="B10" s="2">
        <f>TableOBCONMN[[#This Row],[Ver]]</f>
        <v>1</v>
      </c>
      <c r="C10" t="str">
        <f>LEFT(TableOBCONMN[[#This Row],[Structure Line]],6)</f>
        <v>CME190</v>
      </c>
      <c r="D10" t="str">
        <f>MID(TableOBCONMN[[#This Row],[Structure Line]],8,LEN(TableOBCONMN[[#This Row],[Structure Line]]))</f>
        <v>Health, Safety and Quality in the Built Environment</v>
      </c>
      <c r="E10" s="44">
        <f>TableOBCONMN[[#This Row],[Credit Points]]</f>
        <v>25</v>
      </c>
      <c r="F10">
        <v>8</v>
      </c>
      <c r="G10" t="s">
        <v>317</v>
      </c>
      <c r="H10">
        <v>1</v>
      </c>
      <c r="I10" t="s">
        <v>318</v>
      </c>
      <c r="J10" t="s">
        <v>58</v>
      </c>
      <c r="K10" s="59">
        <v>1</v>
      </c>
      <c r="L10" s="59" t="s">
        <v>326</v>
      </c>
      <c r="M10" s="59">
        <v>25</v>
      </c>
      <c r="N10" s="109">
        <v>44927</v>
      </c>
      <c r="O10" s="109"/>
      <c r="Q10" t="s">
        <v>58</v>
      </c>
      <c r="R10">
        <v>1</v>
      </c>
    </row>
    <row r="11" spans="1:18" x14ac:dyDescent="0.25">
      <c r="A11" t="str">
        <f>TableOBCONMN[[#This Row],[Study Package Code]]</f>
        <v>BLDG2026</v>
      </c>
      <c r="B11" s="2">
        <f>TableOBCONMN[[#This Row],[Ver]]</f>
        <v>1</v>
      </c>
      <c r="C11" t="str">
        <f>LEFT(TableOBCONMN[[#This Row],[Structure Line]],6)</f>
        <v>CME202</v>
      </c>
      <c r="D11" t="str">
        <f>MID(TableOBCONMN[[#This Row],[Structure Line]],8,LEN(TableOBCONMN[[#This Row],[Structure Line]]))</f>
        <v>Construction Plant and Equipment</v>
      </c>
      <c r="E11" s="44">
        <f>TableOBCONMN[[#This Row],[Credit Points]]</f>
        <v>25</v>
      </c>
      <c r="F11">
        <v>9</v>
      </c>
      <c r="G11" t="s">
        <v>317</v>
      </c>
      <c r="H11">
        <v>2</v>
      </c>
      <c r="I11" t="s">
        <v>318</v>
      </c>
      <c r="J11" t="s">
        <v>66</v>
      </c>
      <c r="K11" s="59">
        <v>1</v>
      </c>
      <c r="L11" s="59" t="s">
        <v>327</v>
      </c>
      <c r="M11" s="59">
        <v>25</v>
      </c>
      <c r="N11" s="109">
        <v>42005</v>
      </c>
      <c r="O11" s="109"/>
      <c r="Q11" t="s">
        <v>66</v>
      </c>
      <c r="R11">
        <v>1</v>
      </c>
    </row>
    <row r="12" spans="1:18" x14ac:dyDescent="0.25">
      <c r="A12" t="str">
        <f>TableOBCONMN[[#This Row],[Study Package Code]]</f>
        <v>BLDG2021</v>
      </c>
      <c r="B12" s="2">
        <f>TableOBCONMN[[#This Row],[Ver]]</f>
        <v>1</v>
      </c>
      <c r="C12" t="str">
        <f>LEFT(TableOBCONMN[[#This Row],[Structure Line]],6)</f>
        <v>CME203</v>
      </c>
      <c r="D12" t="str">
        <f>MID(TableOBCONMN[[#This Row],[Structure Line]],8,LEN(TableOBCONMN[[#This Row],[Structure Line]]))</f>
        <v>Specialised Construction</v>
      </c>
      <c r="E12" s="44">
        <f>TableOBCONMN[[#This Row],[Credit Points]]</f>
        <v>25</v>
      </c>
      <c r="F12">
        <v>10</v>
      </c>
      <c r="G12" t="s">
        <v>317</v>
      </c>
      <c r="H12">
        <v>2</v>
      </c>
      <c r="I12" t="s">
        <v>318</v>
      </c>
      <c r="J12" t="s">
        <v>68</v>
      </c>
      <c r="K12" s="59">
        <v>1</v>
      </c>
      <c r="L12" s="59" t="s">
        <v>328</v>
      </c>
      <c r="M12" s="59">
        <v>25</v>
      </c>
      <c r="N12" s="109">
        <v>42005</v>
      </c>
      <c r="O12" s="109"/>
      <c r="Q12" t="s">
        <v>68</v>
      </c>
      <c r="R12">
        <v>1</v>
      </c>
    </row>
    <row r="13" spans="1:18" x14ac:dyDescent="0.25">
      <c r="A13" t="str">
        <f>TableOBCONMN[[#This Row],[Study Package Code]]</f>
        <v>BLDG2016</v>
      </c>
      <c r="B13" s="2">
        <f>TableOBCONMN[[#This Row],[Ver]]</f>
        <v>1</v>
      </c>
      <c r="C13" t="str">
        <f>LEFT(TableOBCONMN[[#This Row],[Structure Line]],6)</f>
        <v>CME204</v>
      </c>
      <c r="D13" t="str">
        <f>MID(TableOBCONMN[[#This Row],[Structure Line]],8,LEN(TableOBCONMN[[#This Row],[Structure Line]]))</f>
        <v>Building Services</v>
      </c>
      <c r="E13" s="44">
        <f>TableOBCONMN[[#This Row],[Credit Points]]</f>
        <v>25</v>
      </c>
      <c r="F13">
        <v>11</v>
      </c>
      <c r="G13" t="s">
        <v>317</v>
      </c>
      <c r="H13">
        <v>2</v>
      </c>
      <c r="I13" t="s">
        <v>318</v>
      </c>
      <c r="J13" t="s">
        <v>77</v>
      </c>
      <c r="K13" s="59">
        <v>1</v>
      </c>
      <c r="L13" s="59" t="s">
        <v>329</v>
      </c>
      <c r="M13" s="59">
        <v>25</v>
      </c>
      <c r="N13" s="109">
        <v>42005</v>
      </c>
      <c r="O13" s="109"/>
      <c r="Q13" t="s">
        <v>77</v>
      </c>
      <c r="R13">
        <v>1</v>
      </c>
    </row>
    <row r="14" spans="1:18" x14ac:dyDescent="0.25">
      <c r="A14" t="str">
        <f>TableOBCONMN[[#This Row],[Study Package Code]]</f>
        <v>BLDG2028</v>
      </c>
      <c r="B14" s="2">
        <f>TableOBCONMN[[#This Row],[Ver]]</f>
        <v>3</v>
      </c>
      <c r="C14" t="str">
        <f>LEFT(TableOBCONMN[[#This Row],[Structure Line]],6)</f>
        <v>CME205</v>
      </c>
      <c r="D14" t="str">
        <f>MID(TableOBCONMN[[#This Row],[Structure Line]],8,LEN(TableOBCONMN[[#This Row],[Structure Line]]))</f>
        <v>Building Information Management and Modelling</v>
      </c>
      <c r="E14" s="44">
        <f>TableOBCONMN[[#This Row],[Credit Points]]</f>
        <v>25</v>
      </c>
      <c r="F14" s="59">
        <v>12</v>
      </c>
      <c r="G14" s="59" t="s">
        <v>317</v>
      </c>
      <c r="H14" s="59">
        <v>2</v>
      </c>
      <c r="I14" s="59" t="s">
        <v>318</v>
      </c>
      <c r="J14" s="59" t="s">
        <v>79</v>
      </c>
      <c r="K14" s="59">
        <v>3</v>
      </c>
      <c r="L14" s="59" t="s">
        <v>330</v>
      </c>
      <c r="M14" s="59">
        <v>25</v>
      </c>
      <c r="N14" s="109">
        <v>44927</v>
      </c>
      <c r="O14" s="109"/>
      <c r="Q14" t="s">
        <v>79</v>
      </c>
      <c r="R14">
        <v>3</v>
      </c>
    </row>
    <row r="15" spans="1:18" x14ac:dyDescent="0.25">
      <c r="A15" t="str">
        <f>TableOBCONMN[[#This Row],[Study Package Code]]</f>
        <v>BLDG2027</v>
      </c>
      <c r="B15" s="2">
        <f>TableOBCONMN[[#This Row],[Ver]]</f>
        <v>3</v>
      </c>
      <c r="C15" t="str">
        <f>LEFT(TableOBCONMN[[#This Row],[Structure Line]],6)</f>
        <v>CME206</v>
      </c>
      <c r="D15" t="str">
        <f>MID(TableOBCONMN[[#This Row],[Structure Line]],8,LEN(TableOBCONMN[[#This Row],[Structure Line]]))</f>
        <v>Building Surveying</v>
      </c>
      <c r="E15" s="44">
        <f>TableOBCONMN[[#This Row],[Credit Points]]</f>
        <v>25</v>
      </c>
      <c r="F15">
        <v>13</v>
      </c>
      <c r="G15" t="s">
        <v>317</v>
      </c>
      <c r="H15">
        <v>2</v>
      </c>
      <c r="I15" t="s">
        <v>318</v>
      </c>
      <c r="J15" t="s">
        <v>76</v>
      </c>
      <c r="K15" s="59">
        <v>3</v>
      </c>
      <c r="L15" s="59" t="s">
        <v>331</v>
      </c>
      <c r="M15" s="59">
        <v>25</v>
      </c>
      <c r="N15" s="109">
        <v>43466</v>
      </c>
      <c r="O15" s="109"/>
      <c r="Q15" t="s">
        <v>76</v>
      </c>
      <c r="R15">
        <v>3</v>
      </c>
    </row>
    <row r="16" spans="1:18" x14ac:dyDescent="0.25">
      <c r="A16" t="str">
        <f>TableOBCONMN[[#This Row],[Study Package Code]]</f>
        <v>BLDG2034</v>
      </c>
      <c r="B16" s="2">
        <f>TableOBCONMN[[#This Row],[Ver]]</f>
        <v>1</v>
      </c>
      <c r="C16" t="str">
        <f>LEFT(TableOBCONMN[[#This Row],[Structure Line]],6)</f>
        <v>CME215</v>
      </c>
      <c r="D16" t="str">
        <f>MID(TableOBCONMN[[#This Row],[Structure Line]],8,LEN(TableOBCONMN[[#This Row],[Structure Line]]))</f>
        <v>Construction Estimating and Cost Planning</v>
      </c>
      <c r="E16" s="44">
        <f>TableOBCONMN[[#This Row],[Credit Points]]</f>
        <v>25</v>
      </c>
      <c r="F16">
        <v>14</v>
      </c>
      <c r="G16" t="s">
        <v>317</v>
      </c>
      <c r="H16">
        <v>2</v>
      </c>
      <c r="I16" t="s">
        <v>318</v>
      </c>
      <c r="J16" t="s">
        <v>73</v>
      </c>
      <c r="K16" s="59">
        <v>1</v>
      </c>
      <c r="L16" s="59" t="s">
        <v>332</v>
      </c>
      <c r="M16" s="59">
        <v>25</v>
      </c>
      <c r="N16" s="109">
        <v>44927</v>
      </c>
      <c r="O16" s="109"/>
      <c r="Q16" t="s">
        <v>73</v>
      </c>
      <c r="R16">
        <v>1</v>
      </c>
    </row>
    <row r="17" spans="1:18" x14ac:dyDescent="0.25">
      <c r="A17" t="str">
        <f>TableOBCONMN[[#This Row],[Study Package Code]]</f>
        <v>Specialisation</v>
      </c>
      <c r="B17" s="2">
        <f>TableOBCONMN[[#This Row],[Ver]]</f>
        <v>0</v>
      </c>
      <c r="D17" t="str">
        <f>TableOBCONMN[[#This Row],[Structure Line]]</f>
        <v>Choose a Specialisation. You should enrol two units in Year 2 and two units in Year 3 of the selected specialisation</v>
      </c>
      <c r="E17" s="44">
        <f>TableOBCONMN[[#This Row],[Credit Points]]</f>
        <v>100</v>
      </c>
      <c r="F17">
        <v>15</v>
      </c>
      <c r="G17" t="s">
        <v>333</v>
      </c>
      <c r="H17">
        <v>2</v>
      </c>
      <c r="I17" t="s">
        <v>318</v>
      </c>
      <c r="J17" t="s">
        <v>285</v>
      </c>
      <c r="K17" s="59">
        <v>0</v>
      </c>
      <c r="L17" s="59" t="s">
        <v>286</v>
      </c>
      <c r="M17" s="59">
        <v>100</v>
      </c>
      <c r="N17" s="109"/>
      <c r="O17" s="109"/>
      <c r="Q17" t="s">
        <v>285</v>
      </c>
      <c r="R17">
        <v>0</v>
      </c>
    </row>
    <row r="18" spans="1:18" x14ac:dyDescent="0.25">
      <c r="A18" t="str">
        <f>TableOBCONMN[[#This Row],[Study Package Code]]</f>
        <v>BLDG3029</v>
      </c>
      <c r="B18" s="2">
        <f>TableOBCONMN[[#This Row],[Ver]]</f>
        <v>2</v>
      </c>
      <c r="C18" t="str">
        <f>LEFT(TableOBCONMN[[#This Row],[Structure Line]],6)</f>
        <v>CME306</v>
      </c>
      <c r="D18" t="str">
        <f>MID(TableOBCONMN[[#This Row],[Structure Line]],8,LEN(TableOBCONMN[[#This Row],[Structure Line]]))</f>
        <v>Construction Planning and Scheduling</v>
      </c>
      <c r="E18" s="44">
        <f>TableOBCONMN[[#This Row],[Credit Points]]</f>
        <v>25</v>
      </c>
      <c r="F18" s="59">
        <v>16</v>
      </c>
      <c r="G18" s="59" t="s">
        <v>317</v>
      </c>
      <c r="H18" s="59">
        <v>3</v>
      </c>
      <c r="I18" s="59" t="s">
        <v>318</v>
      </c>
      <c r="J18" s="59" t="s">
        <v>92</v>
      </c>
      <c r="K18" s="59">
        <v>2</v>
      </c>
      <c r="L18" s="59" t="s">
        <v>334</v>
      </c>
      <c r="M18" s="59">
        <v>25</v>
      </c>
      <c r="N18" s="109">
        <v>44927</v>
      </c>
      <c r="O18" s="109"/>
      <c r="Q18" t="s">
        <v>92</v>
      </c>
      <c r="R18">
        <v>2</v>
      </c>
    </row>
    <row r="19" spans="1:18" x14ac:dyDescent="0.25">
      <c r="A19" t="str">
        <f>TableOBCONMN[[#This Row],[Study Package Code]]</f>
        <v>BLDG3026</v>
      </c>
      <c r="B19" s="2">
        <f>TableOBCONMN[[#This Row],[Ver]]</f>
        <v>4</v>
      </c>
      <c r="C19" t="str">
        <f>LEFT(TableOBCONMN[[#This Row],[Structure Line]],6)</f>
        <v>CME307</v>
      </c>
      <c r="D19" t="str">
        <f>MID(TableOBCONMN[[#This Row],[Structure Line]],8,LEN(TableOBCONMN[[#This Row],[Structure Line]]))</f>
        <v>Cost Management</v>
      </c>
      <c r="E19" s="44">
        <f>TableOBCONMN[[#This Row],[Credit Points]]</f>
        <v>25</v>
      </c>
      <c r="F19" s="59">
        <v>17</v>
      </c>
      <c r="G19" s="59" t="s">
        <v>317</v>
      </c>
      <c r="H19" s="59">
        <v>3</v>
      </c>
      <c r="I19" s="59" t="s">
        <v>318</v>
      </c>
      <c r="J19" s="59" t="s">
        <v>89</v>
      </c>
      <c r="K19" s="59">
        <v>4</v>
      </c>
      <c r="L19" s="59" t="s">
        <v>335</v>
      </c>
      <c r="M19" s="59">
        <v>25</v>
      </c>
      <c r="N19" s="109">
        <v>44927</v>
      </c>
      <c r="O19" s="109"/>
      <c r="Q19" t="s">
        <v>89</v>
      </c>
      <c r="R19">
        <v>4</v>
      </c>
    </row>
    <row r="20" spans="1:18" x14ac:dyDescent="0.25">
      <c r="A20" t="str">
        <f>TableOBCONMN[[#This Row],[Study Package Code]]</f>
        <v>BLDG3033</v>
      </c>
      <c r="B20" s="2">
        <f>TableOBCONMN[[#This Row],[Ver]]</f>
        <v>1</v>
      </c>
      <c r="C20" t="str">
        <f>LEFT(TableOBCONMN[[#This Row],[Structure Line]],6)</f>
        <v>CME315</v>
      </c>
      <c r="D20" t="str">
        <f>MID(TableOBCONMN[[#This Row],[Structure Line]],8,LEN(TableOBCONMN[[#This Row],[Structure Line]]))</f>
        <v>Virtual Design and Construction</v>
      </c>
      <c r="E20" s="44">
        <f>TableOBCONMN[[#This Row],[Credit Points]]</f>
        <v>25</v>
      </c>
      <c r="F20">
        <v>18</v>
      </c>
      <c r="G20" t="s">
        <v>317</v>
      </c>
      <c r="H20">
        <v>3</v>
      </c>
      <c r="I20" t="s">
        <v>318</v>
      </c>
      <c r="J20" t="s">
        <v>98</v>
      </c>
      <c r="K20" s="59">
        <v>1</v>
      </c>
      <c r="L20" s="59" t="s">
        <v>336</v>
      </c>
      <c r="M20" s="59">
        <v>25</v>
      </c>
      <c r="N20" s="109">
        <v>44927</v>
      </c>
      <c r="O20" s="109"/>
      <c r="Q20" t="s">
        <v>98</v>
      </c>
      <c r="R20">
        <v>1</v>
      </c>
    </row>
    <row r="21" spans="1:18" x14ac:dyDescent="0.25">
      <c r="A21" t="str">
        <f>TableOBCONMN[[#This Row],[Study Package Code]]</f>
        <v>BLDG3035</v>
      </c>
      <c r="B21" s="2">
        <f>TableOBCONMN[[#This Row],[Ver]]</f>
        <v>1</v>
      </c>
      <c r="C21" t="str">
        <f>LEFT(TableOBCONMN[[#This Row],[Structure Line]],6)</f>
        <v>CME325</v>
      </c>
      <c r="D21" t="str">
        <f>MID(TableOBCONMN[[#This Row],[Structure Line]],8,LEN(TableOBCONMN[[#This Row],[Structure Line]]))</f>
        <v>Sustainable Construction Practices in Building and Infrastructure</v>
      </c>
      <c r="E21" s="44">
        <f>TableOBCONMN[[#This Row],[Credit Points]]</f>
        <v>25</v>
      </c>
      <c r="F21">
        <v>19</v>
      </c>
      <c r="G21" t="s">
        <v>317</v>
      </c>
      <c r="H21">
        <v>3</v>
      </c>
      <c r="I21" t="s">
        <v>318</v>
      </c>
      <c r="J21" t="s">
        <v>87</v>
      </c>
      <c r="K21" s="59">
        <v>1</v>
      </c>
      <c r="L21" s="59" t="s">
        <v>337</v>
      </c>
      <c r="M21" s="59">
        <v>25</v>
      </c>
      <c r="N21" s="109">
        <v>44927</v>
      </c>
      <c r="O21" s="109"/>
      <c r="Q21" t="s">
        <v>87</v>
      </c>
      <c r="R21">
        <v>1</v>
      </c>
    </row>
    <row r="22" spans="1:18" x14ac:dyDescent="0.25">
      <c r="A22" t="str">
        <f>TableOBCONMN[[#This Row],[Study Package Code]]</f>
        <v>BLDG3031</v>
      </c>
      <c r="B22" s="2">
        <f>TableOBCONMN[[#This Row],[Ver]]</f>
        <v>1</v>
      </c>
      <c r="C22" t="str">
        <f>LEFT(TableOBCONMN[[#This Row],[Structure Line]],6)</f>
        <v>CME390</v>
      </c>
      <c r="D22" t="str">
        <f>MID(TableOBCONMN[[#This Row],[Structure Line]],8,LEN(TableOBCONMN[[#This Row],[Structure Line]]))</f>
        <v>Construction Contracts and Procurement</v>
      </c>
      <c r="E22" s="44">
        <f>TableOBCONMN[[#This Row],[Credit Points]]</f>
        <v>25</v>
      </c>
      <c r="F22">
        <v>20</v>
      </c>
      <c r="G22" t="s">
        <v>317</v>
      </c>
      <c r="H22">
        <v>3</v>
      </c>
      <c r="I22" t="s">
        <v>318</v>
      </c>
      <c r="J22" t="s">
        <v>99</v>
      </c>
      <c r="K22" s="59">
        <v>1</v>
      </c>
      <c r="L22" s="59" t="s">
        <v>338</v>
      </c>
      <c r="M22" s="59">
        <v>25</v>
      </c>
      <c r="N22" s="109">
        <v>44927</v>
      </c>
      <c r="O22" s="109"/>
      <c r="Q22" t="s">
        <v>99</v>
      </c>
      <c r="R22">
        <v>1</v>
      </c>
    </row>
    <row r="23" spans="1:18" x14ac:dyDescent="0.25">
      <c r="A23" t="str">
        <f>TableOBCONMN[[#This Row],[Study Package Code]]</f>
        <v>URDE3011</v>
      </c>
      <c r="B23" s="2">
        <f>TableOBCONMN[[#This Row],[Ver]]</f>
        <v>1</v>
      </c>
      <c r="C23" t="str">
        <f>LEFT(TableOBCONMN[[#This Row],[Structure Line]],6)</f>
        <v>DBE300</v>
      </c>
      <c r="D23" t="str">
        <f>MID(TableOBCONMN[[#This Row],[Structure Line]],8,LEN(TableOBCONMN[[#This Row],[Structure Line]]))</f>
        <v>Design and Built Environment Research Methods</v>
      </c>
      <c r="E23" s="44">
        <f>TableOBCONMN[[#This Row],[Credit Points]]</f>
        <v>25</v>
      </c>
      <c r="F23">
        <v>21</v>
      </c>
      <c r="G23" t="s">
        <v>317</v>
      </c>
      <c r="H23">
        <v>3</v>
      </c>
      <c r="I23" t="s">
        <v>318</v>
      </c>
      <c r="J23" t="s">
        <v>103</v>
      </c>
      <c r="K23" s="59">
        <v>1</v>
      </c>
      <c r="L23" s="59" t="s">
        <v>339</v>
      </c>
      <c r="M23" s="59">
        <v>25</v>
      </c>
      <c r="N23" s="109">
        <v>44562</v>
      </c>
      <c r="O23" s="109"/>
      <c r="Q23" t="s">
        <v>103</v>
      </c>
      <c r="R23">
        <v>1</v>
      </c>
    </row>
    <row r="24" spans="1:18" x14ac:dyDescent="0.25">
      <c r="A24" t="str">
        <f>TableOBCONMN[[#This Row],[Study Package Code]]</f>
        <v>4th Year Stream</v>
      </c>
      <c r="B24" s="2">
        <f>TableOBCONMN[[#This Row],[Ver]]</f>
        <v>0</v>
      </c>
      <c r="D24" t="str">
        <f>TableOBCONMN[[#This Row],[Structure Line]]</f>
        <v>Alternate Cores for OUSU-CONMN Construction Management Fourth Year Stream (OpenUnis)</v>
      </c>
      <c r="E24" s="44">
        <f>TableOBCONMN[[#This Row],[Credit Points]]</f>
        <v>200</v>
      </c>
      <c r="F24">
        <v>22</v>
      </c>
      <c r="G24" t="s">
        <v>340</v>
      </c>
      <c r="H24">
        <v>4</v>
      </c>
      <c r="I24" t="s">
        <v>318</v>
      </c>
      <c r="J24" t="s">
        <v>170</v>
      </c>
      <c r="K24" s="59">
        <v>0</v>
      </c>
      <c r="L24" s="59" t="s">
        <v>171</v>
      </c>
      <c r="M24" s="59">
        <v>200</v>
      </c>
      <c r="N24" s="109"/>
      <c r="O24" s="109"/>
      <c r="Q24" t="s">
        <v>170</v>
      </c>
      <c r="R24">
        <v>0</v>
      </c>
    </row>
    <row r="25" spans="1:18" x14ac:dyDescent="0.25">
      <c r="A25" t="str">
        <f>TableOBCONMN[[#This Row],[Study Package Code]]</f>
        <v>OSCU-ANGAD</v>
      </c>
      <c r="B25" s="2">
        <f>TableOBCONMN[[#This Row],[Ver]]</f>
        <v>1</v>
      </c>
      <c r="D25" t="str">
        <f>TableOBCONMN[[#This Row],[Structure Line]]</f>
        <v>Animation and Game Architecture Design Specialisation (OpenUnis)</v>
      </c>
      <c r="E25" s="44">
        <f>TableOBCONMN[[#This Row],[Credit Points]]</f>
        <v>100</v>
      </c>
      <c r="F25">
        <v>15</v>
      </c>
      <c r="G25" t="s">
        <v>333</v>
      </c>
      <c r="H25">
        <v>2</v>
      </c>
      <c r="I25" t="s">
        <v>318</v>
      </c>
      <c r="J25" t="s">
        <v>95</v>
      </c>
      <c r="K25" s="59">
        <v>1</v>
      </c>
      <c r="L25" s="59" t="s">
        <v>13</v>
      </c>
      <c r="M25" s="59">
        <v>100</v>
      </c>
      <c r="N25" s="109">
        <v>44562</v>
      </c>
      <c r="O25" s="109"/>
      <c r="Q25" t="s">
        <v>95</v>
      </c>
      <c r="R25">
        <v>1</v>
      </c>
    </row>
    <row r="26" spans="1:18" x14ac:dyDescent="0.25">
      <c r="A26" t="str">
        <f>TableOBCONMN[[#This Row],[Study Package Code]]</f>
        <v>OSCU-INARS</v>
      </c>
      <c r="B26" s="2">
        <f>TableOBCONMN[[#This Row],[Ver]]</f>
        <v>2</v>
      </c>
      <c r="D26" t="str">
        <f>TableOBCONMN[[#This Row],[Structure Line]]</f>
        <v>Interior Architecture Specialisation (OpenUnis)</v>
      </c>
      <c r="E26" s="44">
        <f>TableOBCONMN[[#This Row],[Credit Points]]</f>
        <v>100</v>
      </c>
      <c r="F26">
        <v>15</v>
      </c>
      <c r="G26" t="s">
        <v>333</v>
      </c>
      <c r="H26">
        <v>2</v>
      </c>
      <c r="I26" t="s">
        <v>318</v>
      </c>
      <c r="J26" t="s">
        <v>101</v>
      </c>
      <c r="K26" s="59">
        <v>2</v>
      </c>
      <c r="L26" s="59" t="s">
        <v>100</v>
      </c>
      <c r="M26" s="59">
        <v>100</v>
      </c>
      <c r="N26" s="109">
        <v>44562</v>
      </c>
      <c r="O26" s="109">
        <v>45291</v>
      </c>
      <c r="Q26" t="s">
        <v>101</v>
      </c>
      <c r="R26">
        <v>2</v>
      </c>
    </row>
    <row r="27" spans="1:18" x14ac:dyDescent="0.25">
      <c r="A27" t="str">
        <f>TableOBCONMN[[#This Row],[Study Package Code]]</f>
        <v>OSCU-PLGEO</v>
      </c>
      <c r="B27" s="2">
        <f>TableOBCONMN[[#This Row],[Ver]]</f>
        <v>1</v>
      </c>
      <c r="D27" t="str">
        <f>TableOBCONMN[[#This Row],[Structure Line]]</f>
        <v>Planning and Geography Specialisation (OpenUnis)</v>
      </c>
      <c r="E27" s="44">
        <f>TableOBCONMN[[#This Row],[Credit Points]]</f>
        <v>100</v>
      </c>
      <c r="F27">
        <v>15</v>
      </c>
      <c r="G27" t="s">
        <v>333</v>
      </c>
      <c r="H27">
        <v>2</v>
      </c>
      <c r="I27" t="s">
        <v>318</v>
      </c>
      <c r="J27" t="s">
        <v>105</v>
      </c>
      <c r="K27" s="59">
        <v>1</v>
      </c>
      <c r="L27" s="59" t="s">
        <v>104</v>
      </c>
      <c r="M27" s="59">
        <v>100</v>
      </c>
      <c r="N27" s="109">
        <v>44743</v>
      </c>
      <c r="O27" s="109"/>
      <c r="Q27" t="s">
        <v>105</v>
      </c>
      <c r="R27">
        <v>1</v>
      </c>
    </row>
    <row r="28" spans="1:18" x14ac:dyDescent="0.25">
      <c r="A28" t="str">
        <f>TableOBCONMN[[#This Row],[Study Package Code]]</f>
        <v>OUSH-CONMN</v>
      </c>
      <c r="B28" s="2">
        <f>TableOBCONMN[[#This Row],[Ver]]</f>
        <v>2</v>
      </c>
      <c r="D28" t="str">
        <f>TableOBCONMN[[#This Row],[Structure Line]]</f>
        <v>Honours Construction Management Stream (OUA)</v>
      </c>
      <c r="E28" s="44">
        <f>TableOBCONMN[[#This Row],[Credit Points]]</f>
        <v>200</v>
      </c>
      <c r="F28">
        <v>22</v>
      </c>
      <c r="G28" t="s">
        <v>340</v>
      </c>
      <c r="H28">
        <v>4</v>
      </c>
      <c r="I28" t="s">
        <v>318</v>
      </c>
      <c r="J28" t="s">
        <v>81</v>
      </c>
      <c r="K28" s="59">
        <v>2</v>
      </c>
      <c r="L28" s="59" t="s">
        <v>80</v>
      </c>
      <c r="M28" s="59">
        <v>200</v>
      </c>
      <c r="N28" s="109">
        <v>45292</v>
      </c>
      <c r="O28" s="109"/>
      <c r="Q28" t="s">
        <v>81</v>
      </c>
      <c r="R28">
        <v>1</v>
      </c>
    </row>
    <row r="29" spans="1:18" x14ac:dyDescent="0.25">
      <c r="A29" t="str">
        <f>TableOBCONMN[[#This Row],[Study Package Code]]</f>
        <v>OUSU-CONMN</v>
      </c>
      <c r="B29" s="2">
        <f>TableOBCONMN[[#This Row],[Ver]]</f>
        <v>2</v>
      </c>
      <c r="D29" t="str">
        <f>TableOBCONMN[[#This Row],[Structure Line]]</f>
        <v>Construction Management Fourth Year Stream (OUA)</v>
      </c>
      <c r="E29" s="44">
        <f>TableOBCONMN[[#This Row],[Credit Points]]</f>
        <v>200</v>
      </c>
      <c r="F29">
        <v>22</v>
      </c>
      <c r="G29" t="s">
        <v>340</v>
      </c>
      <c r="H29">
        <v>4</v>
      </c>
      <c r="I29" t="s">
        <v>318</v>
      </c>
      <c r="J29" t="s">
        <v>85</v>
      </c>
      <c r="K29" s="59">
        <v>2</v>
      </c>
      <c r="L29" s="59" t="s">
        <v>84</v>
      </c>
      <c r="M29" s="59">
        <v>200</v>
      </c>
      <c r="N29" s="109">
        <v>45292</v>
      </c>
      <c r="O29" s="109"/>
      <c r="Q29" t="s">
        <v>85</v>
      </c>
      <c r="R29">
        <v>1</v>
      </c>
    </row>
    <row r="30" spans="1:18" x14ac:dyDescent="0.25">
      <c r="B30"/>
      <c r="E30" s="43"/>
      <c r="F30" s="40"/>
      <c r="G30" s="41" t="s">
        <v>304</v>
      </c>
      <c r="H30" s="117" t="s">
        <v>341</v>
      </c>
      <c r="J30" s="116" t="s">
        <v>81</v>
      </c>
      <c r="K30" s="115" t="s">
        <v>82</v>
      </c>
      <c r="L30" s="40" t="s">
        <v>80</v>
      </c>
      <c r="N30" s="103" t="s">
        <v>305</v>
      </c>
      <c r="O30" s="104">
        <v>45306</v>
      </c>
    </row>
    <row r="31" spans="1:18" x14ac:dyDescent="0.25">
      <c r="A31" t="s">
        <v>0</v>
      </c>
      <c r="B31" s="2" t="s">
        <v>306</v>
      </c>
      <c r="C31" t="s">
        <v>20</v>
      </c>
      <c r="D31" t="s">
        <v>3</v>
      </c>
      <c r="E31" s="44" t="s">
        <v>307</v>
      </c>
      <c r="F31" t="s">
        <v>308</v>
      </c>
      <c r="G31" t="s">
        <v>309</v>
      </c>
      <c r="H31" t="s">
        <v>310</v>
      </c>
      <c r="I31" t="s">
        <v>21</v>
      </c>
      <c r="J31" t="s">
        <v>311</v>
      </c>
      <c r="K31" t="s">
        <v>1</v>
      </c>
      <c r="L31" t="s">
        <v>312</v>
      </c>
      <c r="M31" t="s">
        <v>49</v>
      </c>
      <c r="N31" t="s">
        <v>313</v>
      </c>
      <c r="O31" t="s">
        <v>314</v>
      </c>
      <c r="Q31" t="s">
        <v>315</v>
      </c>
      <c r="R31" t="s">
        <v>316</v>
      </c>
    </row>
    <row r="32" spans="1:18" x14ac:dyDescent="0.25">
      <c r="A32" t="str">
        <f>TableOUSHCONMN[[#This Row],[Study Package Code]]</f>
        <v>BLDG4002</v>
      </c>
      <c r="B32" s="2">
        <f>TableOUSHCONMN[[#This Row],[Ver]]</f>
        <v>2</v>
      </c>
      <c r="C32" t="str">
        <f>LEFT(TableOUSHCONMN[[#This Row],[Structure Line]],6)</f>
        <v>CME408</v>
      </c>
      <c r="D32" t="str">
        <f>MID(TableOUSHCONMN[[#This Row],[Structure Line]],8,LEN(TableOUSHCONMN[[#This Row],[Structure Line]]))</f>
        <v>Building Dissertation 1</v>
      </c>
      <c r="E32" s="44">
        <f>TableOUSHCONMN[[#This Row],[Credit Points]]</f>
        <v>25</v>
      </c>
      <c r="F32" s="59">
        <v>1</v>
      </c>
      <c r="G32" s="59" t="s">
        <v>317</v>
      </c>
      <c r="H32" s="59">
        <v>4</v>
      </c>
      <c r="I32" s="59" t="s">
        <v>318</v>
      </c>
      <c r="J32" s="59" t="s">
        <v>119</v>
      </c>
      <c r="K32" s="59">
        <v>2</v>
      </c>
      <c r="L32" s="59" t="s">
        <v>342</v>
      </c>
      <c r="M32" s="59">
        <v>25</v>
      </c>
      <c r="N32" s="109">
        <v>42370</v>
      </c>
      <c r="O32" s="109"/>
      <c r="Q32" t="s">
        <v>119</v>
      </c>
      <c r="R32">
        <v>2</v>
      </c>
    </row>
    <row r="33" spans="1:18" x14ac:dyDescent="0.25">
      <c r="A33" t="str">
        <f>TableOUSHCONMN[[#This Row],[Study Package Code]]</f>
        <v>BLDG4029</v>
      </c>
      <c r="B33" s="2">
        <f>TableOUSHCONMN[[#This Row],[Ver]]</f>
        <v>1</v>
      </c>
      <c r="C33" t="str">
        <f>LEFT(TableOUSHCONMN[[#This Row],[Structure Line]],6)</f>
        <v>CME415</v>
      </c>
      <c r="D33" t="str">
        <f>MID(TableOUSHCONMN[[#This Row],[Structure Line]],8,LEN(TableOUSHCONMN[[#This Row],[Structure Line]]))</f>
        <v>Contract Administration</v>
      </c>
      <c r="E33" s="44">
        <f>TableOUSHCONMN[[#This Row],[Credit Points]]</f>
        <v>25</v>
      </c>
      <c r="F33" s="59">
        <v>2</v>
      </c>
      <c r="G33" s="59" t="s">
        <v>317</v>
      </c>
      <c r="H33" s="59">
        <v>4</v>
      </c>
      <c r="I33" s="59" t="s">
        <v>318</v>
      </c>
      <c r="J33" s="59" t="s">
        <v>110</v>
      </c>
      <c r="K33" s="59">
        <v>1</v>
      </c>
      <c r="L33" s="59" t="s">
        <v>343</v>
      </c>
      <c r="M33" s="59">
        <v>25</v>
      </c>
      <c r="N33" s="109">
        <v>43466</v>
      </c>
      <c r="O33" s="109"/>
      <c r="Q33" t="s">
        <v>110</v>
      </c>
      <c r="R33">
        <v>1</v>
      </c>
    </row>
    <row r="34" spans="1:18" x14ac:dyDescent="0.25">
      <c r="A34" t="str">
        <f>TableOUSHCONMN[[#This Row],[Study Package Code]]</f>
        <v>BLDG4024</v>
      </c>
      <c r="B34" s="2">
        <f>TableOUSHCONMN[[#This Row],[Ver]]</f>
        <v>3</v>
      </c>
      <c r="C34" t="str">
        <f>LEFT(TableOUSHCONMN[[#This Row],[Structure Line]],6)</f>
        <v>CME403</v>
      </c>
      <c r="D34" t="str">
        <f>MID(TableOUSHCONMN[[#This Row],[Structure Line]],8,LEN(TableOUSHCONMN[[#This Row],[Structure Line]]))</f>
        <v>Integrated Construction Project 1</v>
      </c>
      <c r="E34" s="44">
        <f>TableOUSHCONMN[[#This Row],[Credit Points]]</f>
        <v>25</v>
      </c>
      <c r="F34" s="59">
        <v>3</v>
      </c>
      <c r="G34" s="59" t="s">
        <v>317</v>
      </c>
      <c r="H34" s="59">
        <v>4</v>
      </c>
      <c r="I34" s="59" t="s">
        <v>318</v>
      </c>
      <c r="J34" s="59" t="s">
        <v>115</v>
      </c>
      <c r="K34" s="59">
        <v>3</v>
      </c>
      <c r="L34" s="59" t="s">
        <v>344</v>
      </c>
      <c r="M34" s="59">
        <v>25</v>
      </c>
      <c r="N34" s="109">
        <v>44927</v>
      </c>
      <c r="O34" s="109"/>
      <c r="Q34" t="s">
        <v>115</v>
      </c>
      <c r="R34">
        <v>3</v>
      </c>
    </row>
    <row r="35" spans="1:18" x14ac:dyDescent="0.25">
      <c r="A35" t="str">
        <f>TableOUSHCONMN[[#This Row],[Study Package Code]]</f>
        <v>BLDG4025</v>
      </c>
      <c r="B35" s="2">
        <f>TableOUSHCONMN[[#This Row],[Ver]]</f>
        <v>1</v>
      </c>
      <c r="C35" t="str">
        <f>LEFT(TableOUSHCONMN[[#This Row],[Structure Line]],6)</f>
        <v>CME402</v>
      </c>
      <c r="D35" t="str">
        <f>MID(TableOUSHCONMN[[#This Row],[Structure Line]],8,LEN(TableOUSHCONMN[[#This Row],[Structure Line]]))</f>
        <v>Project Development and Appraisal</v>
      </c>
      <c r="E35" s="44">
        <f>TableOUSHCONMN[[#This Row],[Credit Points]]</f>
        <v>25</v>
      </c>
      <c r="F35" s="59">
        <v>4</v>
      </c>
      <c r="G35" s="59" t="s">
        <v>317</v>
      </c>
      <c r="H35" s="59">
        <v>4</v>
      </c>
      <c r="I35" s="59" t="s">
        <v>318</v>
      </c>
      <c r="J35" s="59" t="s">
        <v>117</v>
      </c>
      <c r="K35" s="59">
        <v>1</v>
      </c>
      <c r="L35" s="59" t="s">
        <v>345</v>
      </c>
      <c r="M35" s="59">
        <v>25</v>
      </c>
      <c r="N35" s="109">
        <v>42370</v>
      </c>
      <c r="O35" s="109"/>
      <c r="Q35" t="s">
        <v>117</v>
      </c>
      <c r="R35">
        <v>1</v>
      </c>
    </row>
    <row r="36" spans="1:18" x14ac:dyDescent="0.25">
      <c r="A36" t="str">
        <f>TableOUSHCONMN[[#This Row],[Study Package Code]]</f>
        <v>BLDG4003</v>
      </c>
      <c r="B36" s="2">
        <f>TableOUSHCONMN[[#This Row],[Ver]]</f>
        <v>2</v>
      </c>
      <c r="C36" t="str">
        <f>LEFT(TableOUSHCONMN[[#This Row],[Structure Line]],6)</f>
        <v>CME409</v>
      </c>
      <c r="D36" t="str">
        <f>MID(TableOUSHCONMN[[#This Row],[Structure Line]],8,LEN(TableOUSHCONMN[[#This Row],[Structure Line]]))</f>
        <v>Building Dissertation 2</v>
      </c>
      <c r="E36" s="44">
        <f>TableOUSHCONMN[[#This Row],[Credit Points]]</f>
        <v>50</v>
      </c>
      <c r="F36" s="59">
        <v>5</v>
      </c>
      <c r="G36" s="59" t="s">
        <v>317</v>
      </c>
      <c r="H36" s="59">
        <v>4</v>
      </c>
      <c r="I36" s="59" t="s">
        <v>318</v>
      </c>
      <c r="J36" s="59" t="s">
        <v>122</v>
      </c>
      <c r="K36" s="59">
        <v>2</v>
      </c>
      <c r="L36" s="59" t="s">
        <v>346</v>
      </c>
      <c r="M36" s="59">
        <v>50</v>
      </c>
      <c r="N36" s="109">
        <v>42370</v>
      </c>
      <c r="O36" s="109"/>
      <c r="Q36" t="s">
        <v>122</v>
      </c>
      <c r="R36">
        <v>2</v>
      </c>
    </row>
    <row r="37" spans="1:18" x14ac:dyDescent="0.25">
      <c r="A37" t="str">
        <f>TableOUSHCONMN[[#This Row],[Study Package Code]]</f>
        <v>BLDG4017</v>
      </c>
      <c r="B37" s="2">
        <f>TableOUSHCONMN[[#This Row],[Ver]]</f>
        <v>2</v>
      </c>
      <c r="C37" t="str">
        <f>LEFT(TableOUSHCONMN[[#This Row],[Structure Line]],6)</f>
        <v>CME404</v>
      </c>
      <c r="D37" t="str">
        <f>MID(TableOUSHCONMN[[#This Row],[Structure Line]],8,LEN(TableOUSHCONMN[[#This Row],[Structure Line]]))</f>
        <v>Facilities and Asset Management</v>
      </c>
      <c r="E37" s="44">
        <f>TableOUSHCONMN[[#This Row],[Credit Points]]</f>
        <v>25</v>
      </c>
      <c r="F37" s="59">
        <v>6</v>
      </c>
      <c r="G37" s="59" t="s">
        <v>317</v>
      </c>
      <c r="H37" s="59">
        <v>4</v>
      </c>
      <c r="I37" s="59" t="s">
        <v>318</v>
      </c>
      <c r="J37" s="59" t="s">
        <v>112</v>
      </c>
      <c r="K37" s="59">
        <v>2</v>
      </c>
      <c r="L37" s="59" t="s">
        <v>347</v>
      </c>
      <c r="M37" s="59">
        <v>25</v>
      </c>
      <c r="N37" s="109">
        <v>45108</v>
      </c>
      <c r="O37" s="109"/>
      <c r="Q37" t="s">
        <v>112</v>
      </c>
      <c r="R37">
        <v>2</v>
      </c>
    </row>
    <row r="38" spans="1:18" x14ac:dyDescent="0.25">
      <c r="A38" t="str">
        <f>TableOUSHCONMN[[#This Row],[Study Package Code]]</f>
        <v>BLDG4035</v>
      </c>
      <c r="B38" s="2">
        <f>TableOUSHCONMN[[#This Row],[Ver]]</f>
        <v>1</v>
      </c>
      <c r="C38" t="str">
        <f>LEFT(TableOUSHCONMN[[#This Row],[Structure Line]],6)</f>
        <v>CME425</v>
      </c>
      <c r="D38" t="str">
        <f>MID(TableOUSHCONMN[[#This Row],[Structure Line]],8,LEN(TableOUSHCONMN[[#This Row],[Structure Line]]))</f>
        <v>Engineering Measurement</v>
      </c>
      <c r="E38" s="44">
        <f>TableOUSHCONMN[[#This Row],[Credit Points]]</f>
        <v>25</v>
      </c>
      <c r="F38" s="59">
        <v>7</v>
      </c>
      <c r="G38" s="59" t="s">
        <v>317</v>
      </c>
      <c r="H38" s="59">
        <v>4</v>
      </c>
      <c r="I38" s="59" t="s">
        <v>318</v>
      </c>
      <c r="J38" s="59" t="s">
        <v>111</v>
      </c>
      <c r="K38" s="59">
        <v>1</v>
      </c>
      <c r="L38" s="59" t="s">
        <v>348</v>
      </c>
      <c r="M38" s="59">
        <v>25</v>
      </c>
      <c r="N38" s="109">
        <v>44927</v>
      </c>
      <c r="O38" s="109"/>
      <c r="Q38" t="s">
        <v>349</v>
      </c>
      <c r="R38">
        <v>1</v>
      </c>
    </row>
    <row r="39" spans="1:18" x14ac:dyDescent="0.25">
      <c r="B39"/>
      <c r="E39"/>
      <c r="F39" s="40"/>
      <c r="G39" s="41" t="s">
        <v>304</v>
      </c>
      <c r="H39" s="117">
        <v>43466</v>
      </c>
      <c r="J39" s="116" t="s">
        <v>85</v>
      </c>
      <c r="K39" s="115" t="s">
        <v>82</v>
      </c>
      <c r="L39" s="40" t="s">
        <v>84</v>
      </c>
      <c r="N39" s="103" t="s">
        <v>305</v>
      </c>
      <c r="O39" s="104">
        <v>45306</v>
      </c>
    </row>
    <row r="40" spans="1:18" x14ac:dyDescent="0.25">
      <c r="A40" t="s">
        <v>0</v>
      </c>
      <c r="B40" s="2" t="s">
        <v>306</v>
      </c>
      <c r="C40" t="s">
        <v>20</v>
      </c>
      <c r="D40" t="s">
        <v>3</v>
      </c>
      <c r="E40" s="44" t="s">
        <v>307</v>
      </c>
      <c r="F40" t="s">
        <v>308</v>
      </c>
      <c r="G40" t="s">
        <v>309</v>
      </c>
      <c r="H40" t="s">
        <v>310</v>
      </c>
      <c r="I40" t="s">
        <v>21</v>
      </c>
      <c r="J40" t="s">
        <v>311</v>
      </c>
      <c r="K40" t="s">
        <v>1</v>
      </c>
      <c r="L40" t="s">
        <v>312</v>
      </c>
      <c r="M40" t="s">
        <v>49</v>
      </c>
      <c r="N40" t="s">
        <v>313</v>
      </c>
      <c r="O40" t="s">
        <v>314</v>
      </c>
      <c r="Q40" t="s">
        <v>315</v>
      </c>
      <c r="R40" t="s">
        <v>316</v>
      </c>
    </row>
    <row r="41" spans="1:18" x14ac:dyDescent="0.25">
      <c r="A41" t="str">
        <f>TableOUSUCONMN[[#This Row],[Study Package Code]]</f>
        <v>BLDG4020</v>
      </c>
      <c r="B41" s="2">
        <f>TableOUSUCONMN[[#This Row],[Ver]]</f>
        <v>2</v>
      </c>
      <c r="C41" t="str">
        <f>LEFT(TableOUSUCONMN[[#This Row],[Structure Line]],6)</f>
        <v>CME405</v>
      </c>
      <c r="D41" t="str">
        <f>MID(TableOUSUCONMN[[#This Row],[Structure Line]],8,LEN(TableOUSUCONMN[[#This Row],[Structure Line]]))</f>
        <v>Research in Professional Practice in Construction</v>
      </c>
      <c r="E41" s="44">
        <f>TableOUSUCONMN[[#This Row],[Credit Points]]</f>
        <v>25</v>
      </c>
      <c r="F41" s="59">
        <v>1</v>
      </c>
      <c r="G41" s="59" t="s">
        <v>317</v>
      </c>
      <c r="H41" s="59">
        <v>4</v>
      </c>
      <c r="I41" s="59" t="s">
        <v>318</v>
      </c>
      <c r="J41" s="59" t="s">
        <v>114</v>
      </c>
      <c r="K41" s="59">
        <v>2</v>
      </c>
      <c r="L41" s="59" t="s">
        <v>350</v>
      </c>
      <c r="M41" s="59">
        <v>25</v>
      </c>
      <c r="N41" s="109">
        <v>43466</v>
      </c>
      <c r="O41" s="109"/>
      <c r="Q41" t="s">
        <v>114</v>
      </c>
      <c r="R41">
        <v>2</v>
      </c>
    </row>
    <row r="42" spans="1:18" x14ac:dyDescent="0.25">
      <c r="A42" t="str">
        <f>TableOUSUCONMN[[#This Row],[Study Package Code]]</f>
        <v>BLDG4024</v>
      </c>
      <c r="B42" s="2">
        <f>TableOUSUCONMN[[#This Row],[Ver]]</f>
        <v>3</v>
      </c>
      <c r="C42" t="str">
        <f>LEFT(TableOUSUCONMN[[#This Row],[Structure Line]],6)</f>
        <v>CME403</v>
      </c>
      <c r="D42" t="str">
        <f>MID(TableOUSUCONMN[[#This Row],[Structure Line]],8,LEN(TableOUSUCONMN[[#This Row],[Structure Line]]))</f>
        <v>Integrated Construction Project 1</v>
      </c>
      <c r="E42" s="44">
        <f>TableOUSUCONMN[[#This Row],[Credit Points]]</f>
        <v>25</v>
      </c>
      <c r="F42" s="59">
        <v>2</v>
      </c>
      <c r="G42" s="59" t="s">
        <v>317</v>
      </c>
      <c r="H42" s="59">
        <v>4</v>
      </c>
      <c r="I42" s="59" t="s">
        <v>318</v>
      </c>
      <c r="J42" s="59" t="s">
        <v>115</v>
      </c>
      <c r="K42" s="59">
        <v>3</v>
      </c>
      <c r="L42" s="59" t="s">
        <v>344</v>
      </c>
      <c r="M42" s="59">
        <v>25</v>
      </c>
      <c r="N42" s="109">
        <v>44927</v>
      </c>
      <c r="O42" s="109"/>
      <c r="Q42" t="s">
        <v>115</v>
      </c>
      <c r="R42">
        <v>3</v>
      </c>
    </row>
    <row r="43" spans="1:18" x14ac:dyDescent="0.25">
      <c r="A43" t="str">
        <f>TableOUSUCONMN[[#This Row],[Study Package Code]]</f>
        <v>BLDG4025</v>
      </c>
      <c r="B43" s="2">
        <f>TableOUSUCONMN[[#This Row],[Ver]]</f>
        <v>1</v>
      </c>
      <c r="C43" t="str">
        <f>LEFT(TableOUSUCONMN[[#This Row],[Structure Line]],6)</f>
        <v>CME402</v>
      </c>
      <c r="D43" t="str">
        <f>MID(TableOUSUCONMN[[#This Row],[Structure Line]],8,LEN(TableOUSUCONMN[[#This Row],[Structure Line]]))</f>
        <v>Project Development and Appraisal</v>
      </c>
      <c r="E43" s="44">
        <f>TableOUSUCONMN[[#This Row],[Credit Points]]</f>
        <v>25</v>
      </c>
      <c r="F43" s="59">
        <v>3</v>
      </c>
      <c r="G43" s="59" t="s">
        <v>317</v>
      </c>
      <c r="H43" s="59">
        <v>4</v>
      </c>
      <c r="I43" s="59" t="s">
        <v>318</v>
      </c>
      <c r="J43" s="59" t="s">
        <v>117</v>
      </c>
      <c r="K43" s="59">
        <v>1</v>
      </c>
      <c r="L43" s="59" t="s">
        <v>345</v>
      </c>
      <c r="M43" s="59">
        <v>25</v>
      </c>
      <c r="N43" s="109">
        <v>42370</v>
      </c>
      <c r="O43" s="109"/>
      <c r="Q43" t="s">
        <v>117</v>
      </c>
      <c r="R43">
        <v>1</v>
      </c>
    </row>
    <row r="44" spans="1:18" x14ac:dyDescent="0.25">
      <c r="A44" t="str">
        <f>TableOUSUCONMN[[#This Row],[Study Package Code]]</f>
        <v>BLDG4029</v>
      </c>
      <c r="B44" s="2">
        <f>TableOUSUCONMN[[#This Row],[Ver]]</f>
        <v>1</v>
      </c>
      <c r="C44" t="str">
        <f>LEFT(TableOUSUCONMN[[#This Row],[Structure Line]],6)</f>
        <v>CME415</v>
      </c>
      <c r="D44" t="str">
        <f>MID(TableOUSUCONMN[[#This Row],[Structure Line]],8,LEN(TableOUSUCONMN[[#This Row],[Structure Line]]))</f>
        <v>Contract Administration</v>
      </c>
      <c r="E44" s="44">
        <f>TableOUSUCONMN[[#This Row],[Credit Points]]</f>
        <v>25</v>
      </c>
      <c r="F44" s="59">
        <v>4</v>
      </c>
      <c r="G44" s="59" t="s">
        <v>317</v>
      </c>
      <c r="H44" s="59">
        <v>4</v>
      </c>
      <c r="I44" s="59" t="s">
        <v>318</v>
      </c>
      <c r="J44" s="59" t="s">
        <v>110</v>
      </c>
      <c r="K44" s="59">
        <v>1</v>
      </c>
      <c r="L44" s="59" t="s">
        <v>343</v>
      </c>
      <c r="M44" s="59">
        <v>25</v>
      </c>
      <c r="N44" s="109">
        <v>43466</v>
      </c>
      <c r="O44" s="109"/>
      <c r="Q44" t="s">
        <v>110</v>
      </c>
      <c r="R44">
        <v>1</v>
      </c>
    </row>
    <row r="45" spans="1:18" x14ac:dyDescent="0.25">
      <c r="A45" t="str">
        <f>TableOUSUCONMN[[#This Row],[Study Package Code]]</f>
        <v>BLDG4017</v>
      </c>
      <c r="B45" s="2">
        <f>TableOUSUCONMN[[#This Row],[Ver]]</f>
        <v>2</v>
      </c>
      <c r="C45" t="str">
        <f>LEFT(TableOUSUCONMN[[#This Row],[Structure Line]],6)</f>
        <v>CME404</v>
      </c>
      <c r="D45" t="str">
        <f>MID(TableOUSUCONMN[[#This Row],[Structure Line]],8,LEN(TableOUSUCONMN[[#This Row],[Structure Line]]))</f>
        <v>Facilities and Asset Management</v>
      </c>
      <c r="E45" s="44">
        <f>TableOUSUCONMN[[#This Row],[Credit Points]]</f>
        <v>25</v>
      </c>
      <c r="F45" s="59">
        <v>5</v>
      </c>
      <c r="G45" s="59" t="s">
        <v>317</v>
      </c>
      <c r="H45" s="59">
        <v>4</v>
      </c>
      <c r="I45" s="59" t="s">
        <v>318</v>
      </c>
      <c r="J45" s="59" t="s">
        <v>112</v>
      </c>
      <c r="K45" s="59">
        <v>2</v>
      </c>
      <c r="L45" s="59" t="s">
        <v>347</v>
      </c>
      <c r="M45" s="59">
        <v>25</v>
      </c>
      <c r="N45" s="109">
        <v>45108</v>
      </c>
      <c r="O45" s="109"/>
      <c r="Q45" t="s">
        <v>112</v>
      </c>
      <c r="R45">
        <v>2</v>
      </c>
    </row>
    <row r="46" spans="1:18" x14ac:dyDescent="0.25">
      <c r="A46" t="str">
        <f>TableOUSUCONMN[[#This Row],[Study Package Code]]</f>
        <v>BLDG4033</v>
      </c>
      <c r="B46" s="2">
        <f>TableOUSUCONMN[[#This Row],[Ver]]</f>
        <v>1</v>
      </c>
      <c r="C46" t="str">
        <f>LEFT(TableOUSUCONMN[[#This Row],[Structure Line]],6)</f>
        <v>CME417</v>
      </c>
      <c r="D46" t="str">
        <f>MID(TableOUSUCONMN[[#This Row],[Structure Line]],8,LEN(TableOUSUCONMN[[#This Row],[Structure Line]]))</f>
        <v>Integrated Construction Project 2</v>
      </c>
      <c r="E46" s="44">
        <f>TableOUSUCONMN[[#This Row],[Credit Points]]</f>
        <v>50</v>
      </c>
      <c r="F46" s="59">
        <v>6</v>
      </c>
      <c r="G46" s="59" t="s">
        <v>317</v>
      </c>
      <c r="H46" s="59">
        <v>4</v>
      </c>
      <c r="I46" s="59" t="s">
        <v>318</v>
      </c>
      <c r="J46" s="59" t="s">
        <v>121</v>
      </c>
      <c r="K46" s="59">
        <v>1</v>
      </c>
      <c r="L46" s="59" t="s">
        <v>351</v>
      </c>
      <c r="M46" s="59">
        <v>50</v>
      </c>
      <c r="N46" s="109">
        <v>43466</v>
      </c>
      <c r="O46" s="109"/>
      <c r="Q46" t="s">
        <v>349</v>
      </c>
      <c r="R46">
        <v>1</v>
      </c>
    </row>
    <row r="47" spans="1:18" x14ac:dyDescent="0.25">
      <c r="A47" t="str">
        <f>TableOUSUCONMN[[#This Row],[Study Package Code]]</f>
        <v>BLDG4035</v>
      </c>
      <c r="B47" s="2">
        <f>TableOUSUCONMN[[#This Row],[Ver]]</f>
        <v>1</v>
      </c>
      <c r="C47" t="str">
        <f>LEFT(TableOUSUCONMN[[#This Row],[Structure Line]],6)</f>
        <v>CME425</v>
      </c>
      <c r="D47" t="str">
        <f>MID(TableOUSUCONMN[[#This Row],[Structure Line]],8,LEN(TableOUSUCONMN[[#This Row],[Structure Line]]))</f>
        <v>Engineering Measurement</v>
      </c>
      <c r="E47" s="44">
        <f>TableOUSUCONMN[[#This Row],[Credit Points]]</f>
        <v>25</v>
      </c>
      <c r="F47" s="59">
        <v>7</v>
      </c>
      <c r="G47" s="59" t="s">
        <v>317</v>
      </c>
      <c r="H47" s="59">
        <v>4</v>
      </c>
      <c r="I47" s="59" t="s">
        <v>318</v>
      </c>
      <c r="J47" s="59" t="s">
        <v>111</v>
      </c>
      <c r="K47" s="59">
        <v>1</v>
      </c>
      <c r="L47" s="59" t="s">
        <v>348</v>
      </c>
      <c r="M47" s="59">
        <v>25</v>
      </c>
      <c r="N47" s="109">
        <v>44927</v>
      </c>
      <c r="O47" s="109"/>
      <c r="Q47" t="s">
        <v>121</v>
      </c>
      <c r="R47">
        <v>1</v>
      </c>
    </row>
    <row r="48" spans="1:18" x14ac:dyDescent="0.25">
      <c r="B48"/>
      <c r="E48"/>
      <c r="F48" s="40"/>
      <c r="G48" s="41" t="s">
        <v>304</v>
      </c>
      <c r="H48" s="42">
        <v>44562</v>
      </c>
      <c r="J48" s="116" t="s">
        <v>95</v>
      </c>
      <c r="K48" s="43" t="s">
        <v>96</v>
      </c>
      <c r="L48" s="40" t="s">
        <v>13</v>
      </c>
      <c r="N48" s="103" t="s">
        <v>305</v>
      </c>
      <c r="O48" s="104">
        <v>45306</v>
      </c>
    </row>
    <row r="49" spans="1:18" x14ac:dyDescent="0.25">
      <c r="A49" t="s">
        <v>0</v>
      </c>
      <c r="B49" s="2" t="s">
        <v>306</v>
      </c>
      <c r="C49" t="s">
        <v>20</v>
      </c>
      <c r="D49" t="s">
        <v>3</v>
      </c>
      <c r="E49" s="44" t="s">
        <v>307</v>
      </c>
      <c r="F49" t="s">
        <v>308</v>
      </c>
      <c r="G49" t="s">
        <v>309</v>
      </c>
      <c r="H49" t="s">
        <v>310</v>
      </c>
      <c r="I49" t="s">
        <v>21</v>
      </c>
      <c r="J49" t="s">
        <v>311</v>
      </c>
      <c r="K49" t="s">
        <v>1</v>
      </c>
      <c r="L49" t="s">
        <v>312</v>
      </c>
      <c r="M49" t="s">
        <v>49</v>
      </c>
      <c r="N49" t="s">
        <v>313</v>
      </c>
      <c r="O49" t="s">
        <v>314</v>
      </c>
      <c r="Q49" t="s">
        <v>315</v>
      </c>
      <c r="R49" t="s">
        <v>316</v>
      </c>
    </row>
    <row r="50" spans="1:18" x14ac:dyDescent="0.25">
      <c r="A50" t="str">
        <f>TableOSCUANGAD[[#This Row],[Study Package Code]]</f>
        <v>GRDE1022</v>
      </c>
      <c r="B50" s="2">
        <f>TableOSCUANGAD[[#This Row],[Ver]]</f>
        <v>1</v>
      </c>
      <c r="C50" t="str">
        <f>LEFT(TableOSCUANGAD[[#This Row],[Structure Line]],5)</f>
        <v>DIG10</v>
      </c>
      <c r="D50" t="str">
        <f>MID(TableOSCUANGAD[[#This Row],[Structure Line]],7,LEN(TableOSCUANGAD[[#This Row],[Structure Line]]))</f>
        <v>Game Design Introduction</v>
      </c>
      <c r="E50" s="44">
        <f>TableOSCUANGAD[[#This Row],[Credit Points]]</f>
        <v>25</v>
      </c>
      <c r="F50">
        <v>1</v>
      </c>
      <c r="G50" t="s">
        <v>317</v>
      </c>
      <c r="H50">
        <v>1</v>
      </c>
      <c r="I50" t="s">
        <v>318</v>
      </c>
      <c r="J50" t="s">
        <v>128</v>
      </c>
      <c r="K50">
        <v>1</v>
      </c>
      <c r="L50" t="s">
        <v>352</v>
      </c>
      <c r="M50">
        <v>25</v>
      </c>
      <c r="N50" s="109">
        <v>43466</v>
      </c>
      <c r="O50" s="109"/>
      <c r="Q50" t="s">
        <v>128</v>
      </c>
      <c r="R50">
        <v>1</v>
      </c>
    </row>
    <row r="51" spans="1:18" x14ac:dyDescent="0.25">
      <c r="A51" t="str">
        <f>TableOSCUANGAD[[#This Row],[Study Package Code]]</f>
        <v>GRDE2036</v>
      </c>
      <c r="B51" s="2">
        <f>TableOSCUANGAD[[#This Row],[Ver]]</f>
        <v>1</v>
      </c>
      <c r="C51" t="str">
        <f>LEFT(TableOSCUANGAD[[#This Row],[Structure Line]],6)</f>
        <v>DIG230</v>
      </c>
      <c r="D51" t="str">
        <f>MID(TableOSCUANGAD[[#This Row],[Structure Line]],8,LEN(TableOSCUANGAD[[#This Row],[Structure Line]]))</f>
        <v>Introduction to 3D Modelling and Rendering</v>
      </c>
      <c r="E51" s="44">
        <f>TableOSCUANGAD[[#This Row],[Credit Points]]</f>
        <v>25</v>
      </c>
      <c r="F51">
        <v>2</v>
      </c>
      <c r="G51" t="s">
        <v>317</v>
      </c>
      <c r="H51">
        <v>2</v>
      </c>
      <c r="I51" t="s">
        <v>318</v>
      </c>
      <c r="J51" t="s">
        <v>131</v>
      </c>
      <c r="K51">
        <v>1</v>
      </c>
      <c r="L51" t="s">
        <v>353</v>
      </c>
      <c r="M51">
        <v>25</v>
      </c>
      <c r="N51" s="109">
        <v>43101</v>
      </c>
      <c r="O51" s="109"/>
      <c r="Q51" t="s">
        <v>131</v>
      </c>
      <c r="R51">
        <v>1</v>
      </c>
    </row>
    <row r="52" spans="1:18" x14ac:dyDescent="0.25">
      <c r="A52" t="str">
        <f>TableOSCUANGAD[[#This Row],[Study Package Code]]</f>
        <v>GRDE2042</v>
      </c>
      <c r="B52" s="2">
        <f>TableOSCUANGAD[[#This Row],[Ver]]</f>
        <v>1</v>
      </c>
      <c r="C52" t="str">
        <f>LEFT(TableOSCUANGAD[[#This Row],[Structure Line]],5)</f>
        <v>DIG28</v>
      </c>
      <c r="D52" t="str">
        <f>MID(TableOSCUANGAD[[#This Row],[Structure Line]],7,LEN(TableOSCUANGAD[[#This Row],[Structure Line]]))</f>
        <v>Animation and Motion Graphics Design</v>
      </c>
      <c r="E52" s="44">
        <f>TableOSCUANGAD[[#This Row],[Credit Points]]</f>
        <v>25</v>
      </c>
      <c r="F52">
        <v>3</v>
      </c>
      <c r="G52" t="s">
        <v>317</v>
      </c>
      <c r="H52">
        <v>2</v>
      </c>
      <c r="I52" t="s">
        <v>318</v>
      </c>
      <c r="J52" t="s">
        <v>135</v>
      </c>
      <c r="K52">
        <v>1</v>
      </c>
      <c r="L52" t="s">
        <v>354</v>
      </c>
      <c r="M52">
        <v>25</v>
      </c>
      <c r="N52" s="109">
        <v>43282</v>
      </c>
      <c r="O52" s="109"/>
      <c r="Q52" t="s">
        <v>135</v>
      </c>
      <c r="R52">
        <v>1</v>
      </c>
    </row>
    <row r="53" spans="1:18" x14ac:dyDescent="0.25">
      <c r="A53" t="str">
        <f>TableOSCUANGAD[[#This Row],[Study Package Code]]</f>
        <v>AC-ANGAD</v>
      </c>
      <c r="B53" s="2">
        <f>TableOSCUANGAD[[#This Row],[Ver]]</f>
        <v>0</v>
      </c>
      <c r="D53" t="str">
        <f>TableOSCUANGAD[[#This Row],[Structure Line]]</f>
        <v>Choose GRDE3033 or WORK3002</v>
      </c>
      <c r="E53" s="44">
        <f>TableOSCUANGAD[[#This Row],[Credit Points]]</f>
        <v>25</v>
      </c>
      <c r="F53">
        <v>4</v>
      </c>
      <c r="G53" t="s">
        <v>340</v>
      </c>
      <c r="H53">
        <v>3</v>
      </c>
      <c r="I53" t="s">
        <v>318</v>
      </c>
      <c r="J53" t="s">
        <v>414</v>
      </c>
      <c r="K53">
        <v>0</v>
      </c>
      <c r="L53" t="s">
        <v>355</v>
      </c>
      <c r="M53">
        <v>25</v>
      </c>
      <c r="N53" s="109"/>
      <c r="O53" s="109"/>
      <c r="Q53" t="s">
        <v>142</v>
      </c>
      <c r="R53">
        <v>0</v>
      </c>
    </row>
    <row r="54" spans="1:18" x14ac:dyDescent="0.25">
      <c r="A54" t="str">
        <f>TableOSCUANGAD[[#This Row],[Study Package Code]]</f>
        <v>GRDE3033</v>
      </c>
      <c r="B54" s="2">
        <f>TableOSCUANGAD[[#This Row],[Ver]]</f>
        <v>2</v>
      </c>
      <c r="C54" t="str">
        <f>LEFT(TableOSCUANGAD[[#This Row],[Structure Line]],5)</f>
        <v>DIG39</v>
      </c>
      <c r="D54" t="str">
        <f>MID(TableOSCUANGAD[[#This Row],[Structure Line]],7,LEN(TableOSCUANGAD[[#This Row],[Structure Line]]))</f>
        <v>Industry Project Development</v>
      </c>
      <c r="E54" s="44">
        <f>TableOSCUANGAD[[#This Row],[Credit Points]]</f>
        <v>25</v>
      </c>
      <c r="F54">
        <v>4</v>
      </c>
      <c r="G54" t="s">
        <v>340</v>
      </c>
      <c r="H54">
        <v>3</v>
      </c>
      <c r="I54" t="s">
        <v>318</v>
      </c>
      <c r="J54" t="s">
        <v>146</v>
      </c>
      <c r="K54">
        <v>2</v>
      </c>
      <c r="L54" t="s">
        <v>356</v>
      </c>
      <c r="M54">
        <v>25</v>
      </c>
      <c r="N54" s="109">
        <v>44378</v>
      </c>
      <c r="O54" s="109"/>
      <c r="Q54" t="s">
        <v>146</v>
      </c>
      <c r="R54">
        <v>2</v>
      </c>
    </row>
    <row r="55" spans="1:18" x14ac:dyDescent="0.25">
      <c r="A55" t="str">
        <f>TableOSCUANGAD[[#This Row],[Study Package Code]]</f>
        <v>WORK3002</v>
      </c>
      <c r="B55" s="2">
        <f>TableOSCUANGAD[[#This Row],[Ver]]</f>
        <v>1</v>
      </c>
      <c r="C55" t="str">
        <f>LEFT(TableOSCUANGAD[[#This Row],[Structure Line]],6)</f>
        <v>WBP300</v>
      </c>
      <c r="D55" t="str">
        <f>MID(TableOSCUANGAD[[#This Row],[Structure Line]],8,LEN(TableOSCUANGAD[[#This Row],[Structure Line]]))</f>
        <v>Work Based Project</v>
      </c>
      <c r="E55" s="44">
        <f>TableOSCUANGAD[[#This Row],[Credit Points]]</f>
        <v>25</v>
      </c>
      <c r="F55">
        <v>4</v>
      </c>
      <c r="G55" t="s">
        <v>340</v>
      </c>
      <c r="H55">
        <v>3</v>
      </c>
      <c r="I55" t="s">
        <v>318</v>
      </c>
      <c r="J55" t="s">
        <v>150</v>
      </c>
      <c r="K55">
        <v>1</v>
      </c>
      <c r="L55" t="s">
        <v>357</v>
      </c>
      <c r="M55">
        <v>25</v>
      </c>
      <c r="N55" s="109">
        <v>44287</v>
      </c>
      <c r="O55" s="109"/>
      <c r="Q55" t="s">
        <v>150</v>
      </c>
      <c r="R55">
        <v>1</v>
      </c>
    </row>
    <row r="56" spans="1:18" x14ac:dyDescent="0.25">
      <c r="B56"/>
      <c r="E56"/>
      <c r="F56" s="40"/>
      <c r="G56" s="41" t="s">
        <v>304</v>
      </c>
      <c r="H56" s="118">
        <v>45292</v>
      </c>
      <c r="J56" s="116" t="s">
        <v>101</v>
      </c>
      <c r="K56" s="115" t="s">
        <v>102</v>
      </c>
      <c r="L56" s="40" t="s">
        <v>100</v>
      </c>
      <c r="N56" s="103" t="s">
        <v>305</v>
      </c>
      <c r="O56" s="104">
        <v>45306</v>
      </c>
    </row>
    <row r="57" spans="1:18" x14ac:dyDescent="0.25">
      <c r="A57" t="s">
        <v>0</v>
      </c>
      <c r="B57" s="2" t="s">
        <v>306</v>
      </c>
      <c r="C57" t="s">
        <v>20</v>
      </c>
      <c r="D57" t="s">
        <v>3</v>
      </c>
      <c r="E57" s="44" t="s">
        <v>307</v>
      </c>
      <c r="F57" t="s">
        <v>308</v>
      </c>
      <c r="G57" t="s">
        <v>309</v>
      </c>
      <c r="H57" t="s">
        <v>310</v>
      </c>
      <c r="I57" t="s">
        <v>21</v>
      </c>
      <c r="J57" t="s">
        <v>311</v>
      </c>
      <c r="K57" t="s">
        <v>1</v>
      </c>
      <c r="L57" t="s">
        <v>312</v>
      </c>
      <c r="M57" t="s">
        <v>49</v>
      </c>
      <c r="N57" t="s">
        <v>313</v>
      </c>
      <c r="O57" t="s">
        <v>314</v>
      </c>
      <c r="Q57" t="s">
        <v>315</v>
      </c>
      <c r="R57" t="s">
        <v>316</v>
      </c>
    </row>
    <row r="58" spans="1:18" x14ac:dyDescent="0.25">
      <c r="A58" t="str">
        <f>TableOSCUINARS[[#This Row],[Study Package Code]]</f>
        <v>INAR2023</v>
      </c>
      <c r="B58" s="2">
        <f>TableOSCUINARS[[#This Row],[Ver]]</f>
        <v>1</v>
      </c>
      <c r="C58" t="str">
        <f>LEFT(TableOSCUINARS[[#This Row],[Structure Line]],6)</f>
        <v>BIA280</v>
      </c>
      <c r="D58" t="str">
        <f>MID(TableOSCUINARS[[#This Row],[Structure Line]],8,LEN(TableOSCUINARS[[#This Row],[Structure Line]]))</f>
        <v>Philosophy and Practice</v>
      </c>
      <c r="E58" s="44">
        <f>TableOSCUINARS[[#This Row],[Credit Points]]</f>
        <v>25</v>
      </c>
      <c r="F58">
        <v>1</v>
      </c>
      <c r="G58" t="s">
        <v>317</v>
      </c>
      <c r="H58">
        <v>0</v>
      </c>
      <c r="I58" t="s">
        <v>318</v>
      </c>
      <c r="J58" t="s">
        <v>143</v>
      </c>
      <c r="K58">
        <v>1</v>
      </c>
      <c r="L58" t="s">
        <v>358</v>
      </c>
      <c r="M58">
        <v>25</v>
      </c>
      <c r="N58" s="109">
        <v>44562</v>
      </c>
      <c r="O58" s="109"/>
      <c r="Q58" t="s">
        <v>359</v>
      </c>
      <c r="R58">
        <v>3</v>
      </c>
    </row>
    <row r="59" spans="1:18" x14ac:dyDescent="0.25">
      <c r="A59" t="str">
        <f>TableOSCUINARS[[#This Row],[Study Package Code]]</f>
        <v>INAR3021</v>
      </c>
      <c r="B59" s="2">
        <f>TableOSCUINARS[[#This Row],[Ver]]</f>
        <v>1</v>
      </c>
      <c r="C59" t="str">
        <f>LEFT(TableOSCUINARS[[#This Row],[Structure Line]],6)</f>
        <v>BIA390</v>
      </c>
      <c r="D59" t="str">
        <f>MID(TableOSCUINARS[[#This Row],[Structure Line]],8,LEN(TableOSCUINARS[[#This Row],[Structure Line]]))</f>
        <v>Furniture Design</v>
      </c>
      <c r="E59" s="44">
        <f>TableOSCUINARS[[#This Row],[Credit Points]]</f>
        <v>25</v>
      </c>
      <c r="F59">
        <v>2</v>
      </c>
      <c r="G59" t="s">
        <v>317</v>
      </c>
      <c r="H59">
        <v>0</v>
      </c>
      <c r="I59" t="s">
        <v>318</v>
      </c>
      <c r="J59" t="s">
        <v>147</v>
      </c>
      <c r="K59">
        <v>1</v>
      </c>
      <c r="L59" t="s">
        <v>360</v>
      </c>
      <c r="M59">
        <v>25</v>
      </c>
      <c r="N59" s="109">
        <v>45292</v>
      </c>
      <c r="O59" s="109"/>
      <c r="Q59" t="s">
        <v>361</v>
      </c>
      <c r="R59">
        <v>3</v>
      </c>
    </row>
    <row r="60" spans="1:18" x14ac:dyDescent="0.25">
      <c r="A60" t="str">
        <f>TableOSCUINARS[[#This Row],[Study Package Code]]</f>
        <v>AC-INARS</v>
      </c>
      <c r="B60" s="2">
        <f>TableOSCUINARS[[#This Row],[Ver]]</f>
        <v>0</v>
      </c>
      <c r="D60" t="str">
        <f>TableOSCUINARS[[#This Row],[Structure Line]]</f>
        <v>Choose INAR1011 BIA140 or INAR1015 BIA170</v>
      </c>
      <c r="E60" s="44" t="str">
        <f>TableOSCUINARS[[#This Row],[Credit Points]]</f>
        <v/>
      </c>
      <c r="F60">
        <v>3</v>
      </c>
      <c r="G60" t="s">
        <v>340</v>
      </c>
      <c r="H60">
        <v>0</v>
      </c>
      <c r="I60" t="s">
        <v>318</v>
      </c>
      <c r="J60" t="s">
        <v>415</v>
      </c>
      <c r="K60">
        <v>0</v>
      </c>
      <c r="L60" t="s">
        <v>362</v>
      </c>
      <c r="M60" t="s">
        <v>276</v>
      </c>
      <c r="N60" s="109"/>
      <c r="O60" s="109"/>
      <c r="Q60" t="s">
        <v>132</v>
      </c>
      <c r="R60">
        <v>3</v>
      </c>
    </row>
    <row r="61" spans="1:18" x14ac:dyDescent="0.25">
      <c r="A61" t="str">
        <f>TableOSCUINARS[[#This Row],[Study Package Code]]</f>
        <v>Opt-INARS</v>
      </c>
      <c r="B61" s="2">
        <f>TableOSCUINARS[[#This Row],[Ver]]</f>
        <v>0</v>
      </c>
      <c r="D61" t="str">
        <f>TableOSCUINARS[[#This Row],[Structure Line]]</f>
        <v>Choose an Option</v>
      </c>
      <c r="E61" s="44" t="str">
        <f>TableOSCUINARS[[#This Row],[Credit Points]]</f>
        <v/>
      </c>
      <c r="F61">
        <v>4</v>
      </c>
      <c r="G61" t="s">
        <v>333</v>
      </c>
      <c r="H61">
        <v>0</v>
      </c>
      <c r="I61" t="s">
        <v>318</v>
      </c>
      <c r="J61" t="s">
        <v>417</v>
      </c>
      <c r="K61">
        <v>0</v>
      </c>
      <c r="L61" t="s">
        <v>363</v>
      </c>
      <c r="M61" t="s">
        <v>276</v>
      </c>
      <c r="N61" s="109"/>
      <c r="O61" s="109"/>
      <c r="Q61" t="s">
        <v>136</v>
      </c>
      <c r="R61">
        <v>1</v>
      </c>
    </row>
    <row r="62" spans="1:18" x14ac:dyDescent="0.25">
      <c r="A62" t="str">
        <f>TableOSCUINARS[[#This Row],[Study Package Code]]</f>
        <v>INAR1011</v>
      </c>
      <c r="B62" s="2">
        <f>TableOSCUINARS[[#This Row],[Ver]]</f>
        <v>4</v>
      </c>
      <c r="C62" t="str">
        <f>LEFT(TableOSCUINARS[[#This Row],[Structure Line]],6)</f>
        <v>BIA140</v>
      </c>
      <c r="D62" t="str">
        <f>MID(TableOSCUINARS[[#This Row],[Structure Line]],8,LEN(TableOSCUINARS[[#This Row],[Structure Line]]))</f>
        <v>Interior Architecture Studio - Foundation</v>
      </c>
      <c r="E62" s="44">
        <f>TableOSCUINARS[[#This Row],[Credit Points]]</f>
        <v>25</v>
      </c>
      <c r="F62">
        <v>3</v>
      </c>
      <c r="G62" t="s">
        <v>340</v>
      </c>
      <c r="H62">
        <v>0</v>
      </c>
      <c r="I62" t="s">
        <v>318</v>
      </c>
      <c r="J62" t="s">
        <v>132</v>
      </c>
      <c r="K62">
        <v>4</v>
      </c>
      <c r="L62" t="s">
        <v>364</v>
      </c>
      <c r="M62">
        <v>25</v>
      </c>
      <c r="N62" s="109">
        <v>45292</v>
      </c>
      <c r="O62" s="109"/>
      <c r="Q62" t="s">
        <v>365</v>
      </c>
      <c r="R62">
        <v>3</v>
      </c>
    </row>
    <row r="63" spans="1:18" x14ac:dyDescent="0.25">
      <c r="A63" t="str">
        <f>TableOSCUINARS[[#This Row],[Study Package Code]]</f>
        <v>INAR1015</v>
      </c>
      <c r="B63" s="2">
        <f>TableOSCUINARS[[#This Row],[Ver]]</f>
        <v>1</v>
      </c>
      <c r="C63" t="str">
        <f>LEFT(TableOSCUINARS[[#This Row],[Structure Line]],6)</f>
        <v>BIA170</v>
      </c>
      <c r="D63" t="str">
        <f>MID(TableOSCUINARS[[#This Row],[Structure Line]],8,LEN(TableOSCUINARS[[#This Row],[Structure Line]]))</f>
        <v>History of the Interior</v>
      </c>
      <c r="E63" s="44">
        <f>TableOSCUINARS[[#This Row],[Credit Points]]</f>
        <v>25</v>
      </c>
      <c r="F63">
        <v>3</v>
      </c>
      <c r="G63" t="s">
        <v>340</v>
      </c>
      <c r="H63">
        <v>0</v>
      </c>
      <c r="I63" t="s">
        <v>318</v>
      </c>
      <c r="J63" t="s">
        <v>136</v>
      </c>
      <c r="K63">
        <v>1</v>
      </c>
      <c r="L63" t="s">
        <v>366</v>
      </c>
      <c r="M63">
        <v>25</v>
      </c>
      <c r="N63" s="109">
        <v>43101</v>
      </c>
      <c r="O63" s="109"/>
      <c r="Q63" t="s">
        <v>153</v>
      </c>
      <c r="R63">
        <v>3</v>
      </c>
    </row>
    <row r="64" spans="1:18" x14ac:dyDescent="0.25">
      <c r="A64" t="str">
        <f>TableOSCUINARS[[#This Row],[Study Package Code]]</f>
        <v>INAR2015</v>
      </c>
      <c r="B64" s="2">
        <f>TableOSCUINARS[[#This Row],[Ver]]</f>
        <v>4</v>
      </c>
      <c r="C64" t="str">
        <f>LEFT(TableOSCUINARS[[#This Row],[Structure Line]],6)</f>
        <v>BIA250</v>
      </c>
      <c r="D64" t="str">
        <f>MID(TableOSCUINARS[[#This Row],[Structure Line]],8,LEN(TableOSCUINARS[[#This Row],[Structure Line]]))</f>
        <v>Interior Architecture Studio – Community</v>
      </c>
      <c r="E64" s="44">
        <f>TableOSCUINARS[[#This Row],[Credit Points]]</f>
        <v>25</v>
      </c>
      <c r="F64">
        <v>4</v>
      </c>
      <c r="G64" t="s">
        <v>333</v>
      </c>
      <c r="H64">
        <v>0</v>
      </c>
      <c r="I64" t="s">
        <v>318</v>
      </c>
      <c r="J64" t="s">
        <v>153</v>
      </c>
      <c r="K64">
        <v>4</v>
      </c>
      <c r="L64" t="s">
        <v>367</v>
      </c>
      <c r="M64">
        <v>25</v>
      </c>
      <c r="N64" s="109">
        <v>45292</v>
      </c>
      <c r="O64" s="109"/>
      <c r="Q64" t="s">
        <v>150</v>
      </c>
      <c r="R64">
        <v>1</v>
      </c>
    </row>
    <row r="65" spans="1:18" x14ac:dyDescent="0.25">
      <c r="A65" t="str">
        <f>TableOSCUINARS[[#This Row],[Study Package Code]]</f>
        <v>INAR2025</v>
      </c>
      <c r="B65" s="2">
        <f>TableOSCUINARS[[#This Row],[Ver]]</f>
        <v>1</v>
      </c>
      <c r="C65" t="str">
        <f>LEFT(TableOSCUINARS[[#This Row],[Structure Line]],6)</f>
        <v>BIA290</v>
      </c>
      <c r="D65" t="str">
        <f>MID(TableOSCUINARS[[#This Row],[Structure Line]],8,LEN(TableOSCUINARS[[#This Row],[Structure Line]]))</f>
        <v>Design Fabrication</v>
      </c>
      <c r="E65" s="44">
        <f>TableOSCUINARS[[#This Row],[Credit Points]]</f>
        <v>25</v>
      </c>
      <c r="F65">
        <v>4</v>
      </c>
      <c r="G65" t="s">
        <v>333</v>
      </c>
      <c r="H65">
        <v>0</v>
      </c>
      <c r="I65" t="s">
        <v>318</v>
      </c>
      <c r="J65" t="s">
        <v>155</v>
      </c>
      <c r="K65">
        <v>1</v>
      </c>
      <c r="L65" t="s">
        <v>368</v>
      </c>
      <c r="M65">
        <v>25</v>
      </c>
      <c r="N65" s="109">
        <v>45292</v>
      </c>
      <c r="O65" s="109"/>
      <c r="Q65" t="s">
        <v>143</v>
      </c>
      <c r="R65">
        <v>1</v>
      </c>
    </row>
    <row r="66" spans="1:18" x14ac:dyDescent="0.25">
      <c r="A66" t="str">
        <f>TableOSCUINARS[[#This Row],[Study Package Code]]</f>
        <v>WORK2006</v>
      </c>
      <c r="B66" s="2">
        <f>TableOSCUINARS[[#This Row],[Ver]]</f>
        <v>1</v>
      </c>
      <c r="C66" t="str">
        <f>LEFT(TableOSCUINARS[[#This Row],[Structure Line]],6)</f>
        <v>GOL200</v>
      </c>
      <c r="D66" t="str">
        <f>MID(TableOSCUINARS[[#This Row],[Structure Line]],8,LEN(TableOSCUINARS[[#This Row],[Structure Line]]))</f>
        <v>Sustainability and Innovation Foundations</v>
      </c>
      <c r="E66" s="44">
        <f>TableOSCUINARS[[#This Row],[Credit Points]]</f>
        <v>25</v>
      </c>
      <c r="F66">
        <v>4</v>
      </c>
      <c r="G66" t="s">
        <v>333</v>
      </c>
      <c r="H66">
        <v>0</v>
      </c>
      <c r="I66" t="s">
        <v>318</v>
      </c>
      <c r="J66" t="s">
        <v>157</v>
      </c>
      <c r="K66">
        <v>1</v>
      </c>
      <c r="L66" t="s">
        <v>369</v>
      </c>
      <c r="M66">
        <v>25</v>
      </c>
      <c r="N66" s="109">
        <v>44743</v>
      </c>
      <c r="O66" s="109">
        <v>45291</v>
      </c>
    </row>
    <row r="67" spans="1:18" x14ac:dyDescent="0.25">
      <c r="A67" t="str">
        <f>TableOSCUINARS[[#This Row],[Study Package Code]]</f>
        <v>WORK2007</v>
      </c>
      <c r="B67" s="2">
        <f>TableOSCUINARS[[#This Row],[Ver]]</f>
        <v>1</v>
      </c>
      <c r="C67" t="str">
        <f>LEFT(TableOSCUINARS[[#This Row],[Structure Line]],6)</f>
        <v>GOL210</v>
      </c>
      <c r="D67" t="str">
        <f>MID(TableOSCUINARS[[#This Row],[Structure Line]],8,LEN(TableOSCUINARS[[#This Row],[Structure Line]]))</f>
        <v>Regional Industry Placement 2</v>
      </c>
      <c r="E67" s="44">
        <f>TableOSCUINARS[[#This Row],[Credit Points]]</f>
        <v>25</v>
      </c>
      <c r="F67">
        <v>4</v>
      </c>
      <c r="G67" t="s">
        <v>333</v>
      </c>
      <c r="H67">
        <v>0</v>
      </c>
      <c r="I67" t="s">
        <v>318</v>
      </c>
      <c r="J67" t="s">
        <v>159</v>
      </c>
      <c r="K67">
        <v>1</v>
      </c>
      <c r="L67" t="s">
        <v>370</v>
      </c>
      <c r="M67">
        <v>25</v>
      </c>
      <c r="N67" s="109">
        <v>44743</v>
      </c>
      <c r="O67" s="109"/>
    </row>
    <row r="68" spans="1:18" x14ac:dyDescent="0.25">
      <c r="A68" t="str">
        <f>TableOSCUINARS[[#This Row],[Study Package Code]]</f>
        <v>WORK3002</v>
      </c>
      <c r="B68" s="2">
        <f>TableOSCUINARS[[#This Row],[Ver]]</f>
        <v>1</v>
      </c>
      <c r="C68" t="str">
        <f>LEFT(TableOSCUINARS[[#This Row],[Structure Line]],6)</f>
        <v>WBP300</v>
      </c>
      <c r="D68" t="str">
        <f>MID(TableOSCUINARS[[#This Row],[Structure Line]],8,LEN(TableOSCUINARS[[#This Row],[Structure Line]]))</f>
        <v>Work Based Project</v>
      </c>
      <c r="E68" s="44">
        <f>TableOSCUINARS[[#This Row],[Credit Points]]</f>
        <v>25</v>
      </c>
      <c r="F68">
        <v>4</v>
      </c>
      <c r="G68" t="s">
        <v>333</v>
      </c>
      <c r="H68">
        <v>0</v>
      </c>
      <c r="I68" t="s">
        <v>318</v>
      </c>
      <c r="J68" t="s">
        <v>150</v>
      </c>
      <c r="K68">
        <v>1</v>
      </c>
      <c r="L68" t="s">
        <v>357</v>
      </c>
      <c r="M68">
        <v>25</v>
      </c>
      <c r="N68" s="109">
        <v>44287</v>
      </c>
      <c r="O68" s="109"/>
    </row>
    <row r="69" spans="1:18" x14ac:dyDescent="0.25">
      <c r="A69" t="str">
        <f>TableOSCUINARS[[#This Row],[Study Package Code]]</f>
        <v>WORK3009</v>
      </c>
      <c r="B69" s="2">
        <f>TableOSCUINARS[[#This Row],[Ver]]</f>
        <v>1</v>
      </c>
      <c r="C69" t="str">
        <f>LEFT(TableOSCUINARS[[#This Row],[Structure Line]],6)</f>
        <v>GOG300</v>
      </c>
      <c r="D69" t="str">
        <f>MID(TableOSCUINARS[[#This Row],[Structure Line]],8,LEN(TableOSCUINARS[[#This Row],[Structure Line]]))</f>
        <v>Go Global - Internship 4</v>
      </c>
      <c r="E69" s="44">
        <f>TableOSCUINARS[[#This Row],[Credit Points]]</f>
        <v>25</v>
      </c>
      <c r="F69">
        <v>4</v>
      </c>
      <c r="G69" t="s">
        <v>333</v>
      </c>
      <c r="H69">
        <v>0</v>
      </c>
      <c r="I69" t="s">
        <v>318</v>
      </c>
      <c r="J69" t="s">
        <v>162</v>
      </c>
      <c r="K69">
        <v>1</v>
      </c>
      <c r="L69" t="s">
        <v>371</v>
      </c>
      <c r="M69">
        <v>25</v>
      </c>
      <c r="N69" s="109">
        <v>44927</v>
      </c>
      <c r="O69" s="109"/>
    </row>
    <row r="70" spans="1:18" x14ac:dyDescent="0.25">
      <c r="B70"/>
      <c r="E70"/>
      <c r="F70" s="40"/>
      <c r="G70" s="41" t="s">
        <v>304</v>
      </c>
      <c r="H70" s="42">
        <v>44743</v>
      </c>
      <c r="J70" s="116" t="s">
        <v>105</v>
      </c>
      <c r="K70" s="43" t="s">
        <v>96</v>
      </c>
      <c r="L70" s="40" t="s">
        <v>104</v>
      </c>
      <c r="N70" s="103" t="s">
        <v>305</v>
      </c>
      <c r="O70" s="104">
        <v>45306</v>
      </c>
    </row>
    <row r="71" spans="1:18" x14ac:dyDescent="0.25">
      <c r="A71" t="s">
        <v>0</v>
      </c>
      <c r="B71" s="2" t="s">
        <v>306</v>
      </c>
      <c r="C71" t="s">
        <v>20</v>
      </c>
      <c r="D71" t="s">
        <v>3</v>
      </c>
      <c r="E71" s="44" t="s">
        <v>307</v>
      </c>
      <c r="F71" t="s">
        <v>308</v>
      </c>
      <c r="G71" t="s">
        <v>309</v>
      </c>
      <c r="H71" t="s">
        <v>310</v>
      </c>
      <c r="I71" t="s">
        <v>21</v>
      </c>
      <c r="J71" t="s">
        <v>311</v>
      </c>
      <c r="K71" t="s">
        <v>1</v>
      </c>
      <c r="L71" t="s">
        <v>312</v>
      </c>
      <c r="M71" t="s">
        <v>49</v>
      </c>
      <c r="N71" t="s">
        <v>313</v>
      </c>
      <c r="O71" t="s">
        <v>314</v>
      </c>
      <c r="Q71" t="s">
        <v>315</v>
      </c>
      <c r="R71" t="s">
        <v>316</v>
      </c>
    </row>
    <row r="72" spans="1:18" x14ac:dyDescent="0.25">
      <c r="A72" t="str">
        <f>TableOSCUPLGEO[[#This Row],[Study Package Code]]</f>
        <v>URDE1008</v>
      </c>
      <c r="B72" s="2">
        <f>TableOSCUPLGEO[[#This Row],[Ver]]</f>
        <v>1</v>
      </c>
      <c r="C72" t="str">
        <f>LEFT(TableOSCUPLGEO[[#This Row],[Structure Line]],6)</f>
        <v>URP110</v>
      </c>
      <c r="D72" t="str">
        <f>MID(TableOSCUPLGEO[[#This Row],[Structure Line]],8,LEN(TableOSCUPLGEO[[#This Row],[Structure Line]]))</f>
        <v>Introduction to Planning</v>
      </c>
      <c r="E72" s="44">
        <f>TableOSCUPLGEO[[#This Row],[Credit Points]]</f>
        <v>25</v>
      </c>
      <c r="F72">
        <v>1</v>
      </c>
      <c r="G72" t="s">
        <v>317</v>
      </c>
      <c r="H72">
        <v>1</v>
      </c>
      <c r="I72" t="s">
        <v>318</v>
      </c>
      <c r="J72" t="s">
        <v>133</v>
      </c>
      <c r="K72">
        <v>1</v>
      </c>
      <c r="L72" t="s">
        <v>372</v>
      </c>
      <c r="M72">
        <v>25</v>
      </c>
      <c r="N72" s="109">
        <v>42979</v>
      </c>
      <c r="O72" s="109"/>
      <c r="Q72" t="s">
        <v>133</v>
      </c>
      <c r="R72">
        <v>1</v>
      </c>
    </row>
    <row r="73" spans="1:18" x14ac:dyDescent="0.25">
      <c r="A73" t="str">
        <f>TableOSCUPLGEO[[#This Row],[Study Package Code]]</f>
        <v>URDE1007</v>
      </c>
      <c r="B73" s="2">
        <f>TableOSCUPLGEO[[#This Row],[Ver]]</f>
        <v>1</v>
      </c>
      <c r="C73" t="str">
        <f>LEFT(TableOSCUPLGEO[[#This Row],[Structure Line]],6)</f>
        <v>URP100</v>
      </c>
      <c r="D73" t="str">
        <f>MID(TableOSCUPLGEO[[#This Row],[Structure Line]],8,LEN(TableOSCUPLGEO[[#This Row],[Structure Line]]))</f>
        <v>Governance for Planning</v>
      </c>
      <c r="E73" s="44">
        <f>TableOSCUPLGEO[[#This Row],[Credit Points]]</f>
        <v>25</v>
      </c>
      <c r="F73">
        <v>2</v>
      </c>
      <c r="G73" t="s">
        <v>317</v>
      </c>
      <c r="H73">
        <v>1</v>
      </c>
      <c r="I73" t="s">
        <v>318</v>
      </c>
      <c r="J73" t="s">
        <v>129</v>
      </c>
      <c r="K73">
        <v>1</v>
      </c>
      <c r="L73" t="s">
        <v>373</v>
      </c>
      <c r="M73">
        <v>25</v>
      </c>
      <c r="N73" s="109">
        <v>42979</v>
      </c>
      <c r="O73" s="109"/>
      <c r="Q73" t="s">
        <v>129</v>
      </c>
      <c r="R73">
        <v>1</v>
      </c>
    </row>
    <row r="74" spans="1:18" x14ac:dyDescent="0.25">
      <c r="A74" t="str">
        <f>TableOSCUPLGEO[[#This Row],[Study Package Code]]</f>
        <v>PHGY3001</v>
      </c>
      <c r="B74" s="2">
        <f>TableOSCUPLGEO[[#This Row],[Ver]]</f>
        <v>3</v>
      </c>
      <c r="C74" t="str">
        <f>LEFT(TableOSCUPLGEO[[#This Row],[Structure Line]],6)</f>
        <v>GPH311</v>
      </c>
      <c r="D74" t="str">
        <f>MID(TableOSCUPLGEO[[#This Row],[Structure Line]],8,LEN(TableOSCUPLGEO[[#This Row],[Structure Line]]))</f>
        <v>Cultural Landscapes</v>
      </c>
      <c r="E74" s="44">
        <f>TableOSCUPLGEO[[#This Row],[Credit Points]]</f>
        <v>25</v>
      </c>
      <c r="F74">
        <v>3</v>
      </c>
      <c r="G74" t="s">
        <v>317</v>
      </c>
      <c r="H74">
        <v>3</v>
      </c>
      <c r="I74" t="s">
        <v>318</v>
      </c>
      <c r="J74" t="s">
        <v>137</v>
      </c>
      <c r="K74">
        <v>3</v>
      </c>
      <c r="L74" t="s">
        <v>374</v>
      </c>
      <c r="M74">
        <v>25</v>
      </c>
      <c r="N74" s="109">
        <v>44562</v>
      </c>
      <c r="O74" s="109"/>
      <c r="Q74" t="s">
        <v>137</v>
      </c>
      <c r="R74">
        <v>3</v>
      </c>
    </row>
    <row r="75" spans="1:18" x14ac:dyDescent="0.25">
      <c r="A75" t="str">
        <f>TableOSCUPLGEO[[#This Row],[Study Package Code]]</f>
        <v>AC-PLGEO</v>
      </c>
      <c r="B75" s="2">
        <f>TableOSCUPLGEO[[#This Row],[Ver]]</f>
        <v>0</v>
      </c>
      <c r="D75" t="str">
        <f>TableOSCUPLGEO[[#This Row],[Structure Line]]</f>
        <v>Choose WORK3002 or GEOG3002</v>
      </c>
      <c r="E75" s="44">
        <f>TableOSCUPLGEO[[#This Row],[Credit Points]]</f>
        <v>25</v>
      </c>
      <c r="F75">
        <v>4</v>
      </c>
      <c r="G75" t="s">
        <v>340</v>
      </c>
      <c r="H75">
        <v>3</v>
      </c>
      <c r="I75" t="s">
        <v>318</v>
      </c>
      <c r="J75" t="s">
        <v>416</v>
      </c>
      <c r="K75">
        <v>0</v>
      </c>
      <c r="L75" t="s">
        <v>375</v>
      </c>
      <c r="M75">
        <v>25</v>
      </c>
      <c r="N75" s="109"/>
      <c r="O75" s="109"/>
      <c r="Q75" t="s">
        <v>144</v>
      </c>
      <c r="R75">
        <v>0</v>
      </c>
    </row>
    <row r="76" spans="1:18" x14ac:dyDescent="0.25">
      <c r="A76" t="str">
        <f>TableOSCUPLGEO[[#This Row],[Study Package Code]]</f>
        <v>GEOG3002</v>
      </c>
      <c r="B76" s="2">
        <f>TableOSCUPLGEO[[#This Row],[Ver]]</f>
        <v>2</v>
      </c>
      <c r="C76" t="str">
        <f>LEFT(TableOSCUPLGEO[[#This Row],[Structure Line]],6)</f>
        <v>GPH320</v>
      </c>
      <c r="D76" t="str">
        <f>MID(TableOSCUPLGEO[[#This Row],[Structure Line]],8,LEN(TableOSCUPLGEO[[#This Row],[Structure Line]]))</f>
        <v>Urban Geographies</v>
      </c>
      <c r="E76" s="44">
        <f>TableOSCUPLGEO[[#This Row],[Credit Points]]</f>
        <v>25</v>
      </c>
      <c r="F76">
        <v>4</v>
      </c>
      <c r="G76" t="s">
        <v>340</v>
      </c>
      <c r="H76">
        <v>3</v>
      </c>
      <c r="I76" t="s">
        <v>318</v>
      </c>
      <c r="J76" t="s">
        <v>148</v>
      </c>
      <c r="K76">
        <v>2</v>
      </c>
      <c r="L76" t="s">
        <v>376</v>
      </c>
      <c r="M76">
        <v>25</v>
      </c>
      <c r="N76" s="109">
        <v>44562</v>
      </c>
      <c r="O76" s="109"/>
      <c r="Q76" t="s">
        <v>148</v>
      </c>
      <c r="R76">
        <v>2</v>
      </c>
    </row>
    <row r="77" spans="1:18" x14ac:dyDescent="0.25">
      <c r="A77" t="str">
        <f>TableOSCUPLGEO[[#This Row],[Study Package Code]]</f>
        <v>WORK3002</v>
      </c>
      <c r="B77" s="2">
        <f>TableOSCUPLGEO[[#This Row],[Ver]]</f>
        <v>1</v>
      </c>
      <c r="C77" t="str">
        <f>LEFT(TableOSCUPLGEO[[#This Row],[Structure Line]],6)</f>
        <v>WBP300</v>
      </c>
      <c r="D77" t="str">
        <f>MID(TableOSCUPLGEO[[#This Row],[Structure Line]],8,LEN(TableOSCUPLGEO[[#This Row],[Structure Line]]))</f>
        <v>Work Based Project</v>
      </c>
      <c r="E77" s="44">
        <f>TableOSCUPLGEO[[#This Row],[Credit Points]]</f>
        <v>25</v>
      </c>
      <c r="F77">
        <v>4</v>
      </c>
      <c r="G77" t="s">
        <v>340</v>
      </c>
      <c r="H77">
        <v>3</v>
      </c>
      <c r="I77" t="s">
        <v>318</v>
      </c>
      <c r="J77" t="s">
        <v>150</v>
      </c>
      <c r="K77">
        <v>1</v>
      </c>
      <c r="L77" t="s">
        <v>357</v>
      </c>
      <c r="M77">
        <v>25</v>
      </c>
      <c r="N77" s="109">
        <v>44287</v>
      </c>
      <c r="O77" s="109"/>
      <c r="Q77" t="s">
        <v>150</v>
      </c>
      <c r="R77">
        <v>1</v>
      </c>
    </row>
  </sheetData>
  <conditionalFormatting sqref="Q3:R29 Q50:R55 Q58:R69">
    <cfRule type="expression" dxfId="71" priority="16">
      <formula>Q3&lt;&gt;J3</formula>
    </cfRule>
  </conditionalFormatting>
  <conditionalFormatting sqref="Q32:R38">
    <cfRule type="expression" dxfId="70" priority="15">
      <formula>Q32&lt;&gt;J32</formula>
    </cfRule>
  </conditionalFormatting>
  <conditionalFormatting sqref="O3:O29 O66:O69">
    <cfRule type="notContainsBlanks" dxfId="69" priority="9">
      <formula>LEN(TRIM(O3))&gt;0</formula>
    </cfRule>
  </conditionalFormatting>
  <conditionalFormatting sqref="Q41:R47">
    <cfRule type="expression" dxfId="68" priority="8">
      <formula>Q41&lt;&gt;J41</formula>
    </cfRule>
  </conditionalFormatting>
  <conditionalFormatting sqref="O32:O38">
    <cfRule type="notContainsBlanks" dxfId="67" priority="7">
      <formula>LEN(TRIM(O32))&gt;0</formula>
    </cfRule>
  </conditionalFormatting>
  <conditionalFormatting sqref="O41:O47">
    <cfRule type="notContainsBlanks" dxfId="66" priority="6">
      <formula>LEN(TRIM(O41))&gt;0</formula>
    </cfRule>
  </conditionalFormatting>
  <conditionalFormatting sqref="O50:O55">
    <cfRule type="notContainsBlanks" dxfId="65" priority="5">
      <formula>LEN(TRIM(O50))&gt;0</formula>
    </cfRule>
  </conditionalFormatting>
  <conditionalFormatting sqref="O58:O69">
    <cfRule type="notContainsBlanks" dxfId="64" priority="4">
      <formula>LEN(TRIM(O58))&gt;0</formula>
    </cfRule>
  </conditionalFormatting>
  <conditionalFormatting sqref="O72:O77">
    <cfRule type="notContainsBlanks" dxfId="63" priority="3">
      <formula>LEN(TRIM(O72))&gt;0</formula>
    </cfRule>
  </conditionalFormatting>
  <conditionalFormatting sqref="Q66:R69">
    <cfRule type="expression" dxfId="62" priority="23">
      <formula>Q66&lt;&gt;J62</formula>
    </cfRule>
  </conditionalFormatting>
  <conditionalFormatting sqref="Q72:R77">
    <cfRule type="expression" dxfId="61" priority="1">
      <formula>Q72&lt;&gt;J72</formula>
    </cfRule>
  </conditionalFormatting>
  <pageMargins left="0.7" right="0.7" top="0.75" bottom="0.75"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R9" sqref="R9"/>
    </sheetView>
  </sheetViews>
  <sheetFormatPr defaultRowHeight="15.75" x14ac:dyDescent="0.25"/>
  <cols>
    <col min="1" max="1" width="39.625" bestFit="1" customWidth="1"/>
    <col min="2" max="5" width="5.375" bestFit="1" customWidth="1"/>
    <col min="6" max="6" width="11.5" bestFit="1" customWidth="1"/>
    <col min="7" max="7" width="10.375" bestFit="1" customWidth="1"/>
    <col min="9" max="9" width="9.875" bestFit="1" customWidth="1"/>
    <col min="10" max="13" width="3.5" customWidth="1"/>
  </cols>
  <sheetData>
    <row r="1" spans="1:7" x14ac:dyDescent="0.25">
      <c r="A1" t="s">
        <v>377</v>
      </c>
      <c r="F1" s="132" t="s">
        <v>305</v>
      </c>
      <c r="G1" s="133">
        <v>45306</v>
      </c>
    </row>
    <row r="3" spans="1:7" ht="76.5" x14ac:dyDescent="0.25">
      <c r="A3" t="s">
        <v>378</v>
      </c>
      <c r="B3" s="100" t="s">
        <v>379</v>
      </c>
      <c r="C3" s="100" t="s">
        <v>380</v>
      </c>
      <c r="D3" s="100" t="s">
        <v>381</v>
      </c>
      <c r="E3" s="100" t="s">
        <v>382</v>
      </c>
    </row>
    <row r="4" spans="1:7" x14ac:dyDescent="0.25">
      <c r="A4" t="s">
        <v>56</v>
      </c>
      <c r="C4">
        <v>1</v>
      </c>
      <c r="E4">
        <v>1</v>
      </c>
    </row>
    <row r="5" spans="1:7" x14ac:dyDescent="0.25">
      <c r="A5" t="s">
        <v>45</v>
      </c>
      <c r="B5">
        <v>1</v>
      </c>
      <c r="D5">
        <v>1</v>
      </c>
    </row>
    <row r="6" spans="1:7" x14ac:dyDescent="0.25">
      <c r="A6" t="s">
        <v>57</v>
      </c>
      <c r="B6">
        <v>1</v>
      </c>
      <c r="D6">
        <v>1</v>
      </c>
    </row>
    <row r="7" spans="1:7" x14ac:dyDescent="0.25">
      <c r="A7" t="s">
        <v>41</v>
      </c>
      <c r="C7">
        <v>1</v>
      </c>
      <c r="E7">
        <v>1</v>
      </c>
    </row>
    <row r="8" spans="1:7" x14ac:dyDescent="0.25">
      <c r="A8" t="s">
        <v>46</v>
      </c>
      <c r="C8">
        <v>1</v>
      </c>
      <c r="E8">
        <v>1</v>
      </c>
    </row>
    <row r="9" spans="1:7" x14ac:dyDescent="0.25">
      <c r="A9" t="s">
        <v>55</v>
      </c>
      <c r="B9">
        <v>1</v>
      </c>
      <c r="D9">
        <v>1</v>
      </c>
    </row>
    <row r="10" spans="1:7" x14ac:dyDescent="0.25">
      <c r="A10" t="s">
        <v>58</v>
      </c>
      <c r="C10">
        <v>1</v>
      </c>
      <c r="E10">
        <v>1</v>
      </c>
    </row>
    <row r="11" spans="1:7" x14ac:dyDescent="0.25">
      <c r="A11" t="s">
        <v>77</v>
      </c>
      <c r="C11">
        <v>1</v>
      </c>
      <c r="E11">
        <v>1</v>
      </c>
    </row>
    <row r="12" spans="1:7" x14ac:dyDescent="0.25">
      <c r="A12" t="s">
        <v>68</v>
      </c>
      <c r="C12">
        <v>1</v>
      </c>
      <c r="E12">
        <v>1</v>
      </c>
    </row>
    <row r="13" spans="1:7" x14ac:dyDescent="0.25">
      <c r="A13" t="s">
        <v>66</v>
      </c>
      <c r="B13">
        <v>1</v>
      </c>
      <c r="D13">
        <v>1</v>
      </c>
    </row>
    <row r="14" spans="1:7" x14ac:dyDescent="0.25">
      <c r="A14" t="s">
        <v>76</v>
      </c>
      <c r="B14">
        <v>1</v>
      </c>
      <c r="D14">
        <v>1</v>
      </c>
    </row>
    <row r="15" spans="1:7" x14ac:dyDescent="0.25">
      <c r="A15" t="s">
        <v>79</v>
      </c>
      <c r="B15">
        <v>1</v>
      </c>
      <c r="D15">
        <v>1</v>
      </c>
    </row>
    <row r="16" spans="1:7" x14ac:dyDescent="0.25">
      <c r="A16" t="s">
        <v>73</v>
      </c>
      <c r="C16">
        <v>1</v>
      </c>
      <c r="E16">
        <v>1</v>
      </c>
    </row>
    <row r="17" spans="1:5" x14ac:dyDescent="0.25">
      <c r="A17" s="69" t="s">
        <v>89</v>
      </c>
    </row>
    <row r="18" spans="1:5" x14ac:dyDescent="0.25">
      <c r="A18" s="69" t="s">
        <v>92</v>
      </c>
    </row>
    <row r="19" spans="1:5" x14ac:dyDescent="0.25">
      <c r="A19" s="69" t="s">
        <v>87</v>
      </c>
    </row>
    <row r="20" spans="1:5" x14ac:dyDescent="0.25">
      <c r="A20" t="s">
        <v>119</v>
      </c>
    </row>
    <row r="21" spans="1:5" x14ac:dyDescent="0.25">
      <c r="A21" t="s">
        <v>122</v>
      </c>
    </row>
    <row r="22" spans="1:5" x14ac:dyDescent="0.25">
      <c r="A22" t="s">
        <v>112</v>
      </c>
    </row>
    <row r="23" spans="1:5" x14ac:dyDescent="0.25">
      <c r="A23" t="s">
        <v>114</v>
      </c>
    </row>
    <row r="24" spans="1:5" x14ac:dyDescent="0.25">
      <c r="A24" t="s">
        <v>115</v>
      </c>
    </row>
    <row r="25" spans="1:5" x14ac:dyDescent="0.25">
      <c r="A25" t="s">
        <v>117</v>
      </c>
    </row>
    <row r="26" spans="1:5" x14ac:dyDescent="0.25">
      <c r="A26" t="s">
        <v>110</v>
      </c>
    </row>
    <row r="27" spans="1:5" x14ac:dyDescent="0.25">
      <c r="A27" t="s">
        <v>121</v>
      </c>
    </row>
    <row r="28" spans="1:5" x14ac:dyDescent="0.25">
      <c r="A28" t="s">
        <v>111</v>
      </c>
    </row>
    <row r="29" spans="1:5" x14ac:dyDescent="0.25">
      <c r="A29" t="s">
        <v>39</v>
      </c>
      <c r="B29">
        <v>1</v>
      </c>
      <c r="C29">
        <v>1</v>
      </c>
      <c r="D29">
        <v>1</v>
      </c>
      <c r="E29">
        <v>1</v>
      </c>
    </row>
    <row r="30" spans="1:5" x14ac:dyDescent="0.25">
      <c r="A30" t="s">
        <v>148</v>
      </c>
      <c r="B30">
        <v>1</v>
      </c>
      <c r="D30">
        <v>1</v>
      </c>
    </row>
    <row r="31" spans="1:5" x14ac:dyDescent="0.25">
      <c r="A31" t="s">
        <v>128</v>
      </c>
      <c r="C31">
        <v>1</v>
      </c>
      <c r="E31">
        <v>1</v>
      </c>
    </row>
    <row r="32" spans="1:5" x14ac:dyDescent="0.25">
      <c r="A32" t="s">
        <v>131</v>
      </c>
      <c r="B32">
        <v>1</v>
      </c>
      <c r="D32">
        <v>1</v>
      </c>
    </row>
    <row r="33" spans="1:5" x14ac:dyDescent="0.25">
      <c r="A33" t="s">
        <v>135</v>
      </c>
      <c r="C33">
        <v>1</v>
      </c>
      <c r="E33">
        <v>1</v>
      </c>
    </row>
    <row r="34" spans="1:5" x14ac:dyDescent="0.25">
      <c r="A34" t="s">
        <v>146</v>
      </c>
      <c r="B34">
        <v>1</v>
      </c>
      <c r="D34">
        <v>1</v>
      </c>
    </row>
    <row r="35" spans="1:5" x14ac:dyDescent="0.25">
      <c r="A35" t="s">
        <v>132</v>
      </c>
      <c r="B35">
        <v>1</v>
      </c>
      <c r="D35">
        <v>1</v>
      </c>
    </row>
    <row r="36" spans="1:5" x14ac:dyDescent="0.25">
      <c r="A36" t="s">
        <v>136</v>
      </c>
      <c r="B36">
        <v>1</v>
      </c>
      <c r="D36">
        <v>1</v>
      </c>
    </row>
    <row r="37" spans="1:5" x14ac:dyDescent="0.25">
      <c r="A37" t="s">
        <v>153</v>
      </c>
      <c r="B37">
        <v>1</v>
      </c>
      <c r="D37">
        <v>1</v>
      </c>
    </row>
    <row r="38" spans="1:5" x14ac:dyDescent="0.25">
      <c r="A38" t="s">
        <v>143</v>
      </c>
      <c r="C38">
        <v>1</v>
      </c>
      <c r="E38">
        <v>1</v>
      </c>
    </row>
    <row r="39" spans="1:5" x14ac:dyDescent="0.25">
      <c r="A39" t="s">
        <v>155</v>
      </c>
      <c r="B39">
        <v>1</v>
      </c>
      <c r="D39">
        <v>1</v>
      </c>
    </row>
    <row r="40" spans="1:5" x14ac:dyDescent="0.25">
      <c r="A40" t="s">
        <v>137</v>
      </c>
      <c r="B40">
        <v>1</v>
      </c>
      <c r="D40">
        <v>1</v>
      </c>
    </row>
    <row r="41" spans="1:5" x14ac:dyDescent="0.25">
      <c r="A41" t="s">
        <v>129</v>
      </c>
      <c r="B41">
        <v>1</v>
      </c>
      <c r="D41">
        <v>1</v>
      </c>
    </row>
    <row r="42" spans="1:5" x14ac:dyDescent="0.25">
      <c r="A42" t="s">
        <v>133</v>
      </c>
      <c r="C42">
        <v>1</v>
      </c>
      <c r="E42">
        <v>1</v>
      </c>
    </row>
    <row r="43" spans="1:5" x14ac:dyDescent="0.25">
      <c r="A43" t="s">
        <v>157</v>
      </c>
    </row>
    <row r="44" spans="1:5" x14ac:dyDescent="0.25">
      <c r="A44" t="s">
        <v>159</v>
      </c>
    </row>
    <row r="45" spans="1:5" x14ac:dyDescent="0.25">
      <c r="A45" s="69" t="s">
        <v>99</v>
      </c>
      <c r="B45" s="69"/>
      <c r="C45" s="69"/>
      <c r="D45" s="69"/>
      <c r="E45" s="69"/>
    </row>
    <row r="46" spans="1:5" x14ac:dyDescent="0.25">
      <c r="A46" s="99" t="s">
        <v>98</v>
      </c>
      <c r="B46" s="99"/>
      <c r="C46" s="99"/>
      <c r="D46" s="99"/>
      <c r="E46" s="99"/>
    </row>
    <row r="47" spans="1:5" x14ac:dyDescent="0.25">
      <c r="A47" s="69" t="s">
        <v>103</v>
      </c>
      <c r="B47" s="69"/>
      <c r="C47" s="69"/>
      <c r="D47" s="69"/>
      <c r="E47" s="6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68D48C3F-B12F-4245-88CE-DF0184666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ba69df13-0c3c-4942-8695-6ca01564010c"/>
    <ds:schemaRef ds:uri="2380bd5d-8f09-40a9-a9cb-2482ec2cd2ca"/>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Construction Management</vt:lpstr>
      <vt:lpstr>Unitsets</vt:lpstr>
      <vt:lpstr>Handbook</vt:lpstr>
      <vt:lpstr>Structures</vt:lpstr>
      <vt:lpstr>Availabilities</vt:lpstr>
      <vt:lpstr>'Construction Management'!Print_Area</vt:lpstr>
      <vt:lpstr>RangeSpecSets</vt:lpstr>
      <vt:lpstr>RangeUnitsets</vt:lpstr>
      <vt:lpstr>RangeUnitSetsY4</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2024-02-09T08:21:51Z</cp:lastPrinted>
  <dcterms:created xsi:type="dcterms:W3CDTF">2022-02-28T04:48:12Z</dcterms:created>
  <dcterms:modified xsi:type="dcterms:W3CDTF">2024-02-12T02:30:15Z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