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TBxFvsWL4vq/Q+Efq66evOy65F5ZocbQePM60Yl7ARQa8RlgwSIoI5LqSDLCr0b/8YCyjvFR+8wa1sm3kJNdyQ==" workbookSaltValue="NkJ65C9jgTKMFReUSaQ6wA==" workbookSpinCount="100000" lockStructure="1"/>
  <bookViews>
    <workbookView xWindow="0" yWindow="0" windowWidth="28800" windowHeight="13500"/>
  </bookViews>
  <sheets>
    <sheet name="Architecture"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Architecture!$A$3:$L$67</definedName>
    <definedName name="RangeSpecSets">Unitsets!$K$33:$R$49</definedName>
    <definedName name="RangeUnitsets">Unitsets!$K$3:$AP$27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5" l="1"/>
  <c r="J65" i="3" l="1"/>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D3" i="8" l="1"/>
  <c r="D60" i="8" l="1"/>
  <c r="D61" i="8"/>
  <c r="D62" i="8"/>
  <c r="D63" i="8"/>
  <c r="D64" i="8"/>
  <c r="D65" i="8"/>
  <c r="D49" i="8"/>
  <c r="D46" i="8"/>
  <c r="D47" i="8"/>
  <c r="D48" i="8"/>
  <c r="D50" i="8"/>
  <c r="D51" i="8"/>
  <c r="D52" i="8"/>
  <c r="D53" i="8"/>
  <c r="D54" i="8"/>
  <c r="D55" i="8"/>
  <c r="D56" i="8"/>
  <c r="D57" i="8"/>
  <c r="J4" i="3" l="1"/>
  <c r="I4" i="3"/>
  <c r="H4" i="3"/>
  <c r="G4" i="3"/>
  <c r="A54" i="8" l="1"/>
  <c r="A55" i="8"/>
  <c r="A56" i="8"/>
  <c r="A57" i="8"/>
  <c r="B54" i="8"/>
  <c r="B55" i="8"/>
  <c r="B56" i="8"/>
  <c r="B57" i="8"/>
  <c r="C54" i="8"/>
  <c r="C55" i="8"/>
  <c r="C56" i="8"/>
  <c r="C57" i="8"/>
  <c r="E54" i="8"/>
  <c r="E55" i="8"/>
  <c r="E56" i="8"/>
  <c r="E57" i="8"/>
  <c r="D38" i="8" l="1"/>
  <c r="D39" i="8"/>
  <c r="D40" i="8"/>
  <c r="D41" i="8"/>
  <c r="D42" i="8"/>
  <c r="D43" i="8"/>
  <c r="D30" i="8" l="1"/>
  <c r="D31" i="8"/>
  <c r="D32" i="8"/>
  <c r="D33" i="8"/>
  <c r="D34" i="8"/>
  <c r="D35" i="8"/>
  <c r="C64" i="8" l="1"/>
  <c r="C65" i="8"/>
  <c r="C61" i="8"/>
  <c r="C62" i="8"/>
  <c r="C50" i="8"/>
  <c r="C51" i="8"/>
  <c r="C52" i="8"/>
  <c r="C53" i="8"/>
  <c r="C47" i="8"/>
  <c r="C31" i="8"/>
  <c r="C32" i="8"/>
  <c r="C34" i="8"/>
  <c r="C35" i="8"/>
  <c r="C39" i="8"/>
  <c r="C40" i="8"/>
  <c r="C41" i="8"/>
  <c r="C42" i="8"/>
  <c r="C43" i="8"/>
  <c r="C60" i="8"/>
  <c r="C46" i="8"/>
  <c r="C30" i="8"/>
  <c r="D25" i="8" l="1"/>
  <c r="D26" i="8"/>
  <c r="D27" i="8"/>
  <c r="D24" i="8"/>
  <c r="D4" i="8" l="1"/>
  <c r="D5" i="8"/>
  <c r="D6" i="8"/>
  <c r="D7" i="8"/>
  <c r="D8" i="8"/>
  <c r="D9" i="8"/>
  <c r="D10" i="8"/>
  <c r="D11" i="8"/>
  <c r="D12" i="8"/>
  <c r="D13" i="8"/>
  <c r="D14" i="8"/>
  <c r="D15" i="8"/>
  <c r="D16" i="8"/>
  <c r="D17" i="8"/>
  <c r="D18" i="8"/>
  <c r="D19" i="8"/>
  <c r="D20" i="8"/>
  <c r="D21" i="8"/>
  <c r="D22" i="8"/>
  <c r="D23" i="8"/>
  <c r="C4" i="8" l="1"/>
  <c r="C5" i="8"/>
  <c r="C6" i="8"/>
  <c r="C7" i="8"/>
  <c r="C8" i="8"/>
  <c r="C9" i="8"/>
  <c r="C10" i="8"/>
  <c r="C11" i="8"/>
  <c r="C12" i="8"/>
  <c r="C13" i="8"/>
  <c r="C14" i="8"/>
  <c r="C15" i="8"/>
  <c r="C16" i="8"/>
  <c r="C17" i="8"/>
  <c r="C18" i="8"/>
  <c r="C19" i="8"/>
  <c r="C20" i="8"/>
  <c r="C21" i="8"/>
  <c r="C22" i="8"/>
  <c r="C23" i="8"/>
  <c r="L6" i="5" l="1"/>
  <c r="A62" i="5" s="1"/>
  <c r="K62" i="5" l="1"/>
  <c r="B62" i="5"/>
  <c r="J62" i="5"/>
  <c r="I62" i="5"/>
  <c r="H62" i="5"/>
  <c r="D62" i="5"/>
  <c r="G62" i="5"/>
  <c r="F62" i="5"/>
  <c r="C62" i="5"/>
  <c r="A58" i="5"/>
  <c r="A63" i="5"/>
  <c r="A60" i="5"/>
  <c r="A57" i="5"/>
  <c r="A55" i="5"/>
  <c r="A61" i="5"/>
  <c r="A59" i="5"/>
  <c r="A56" i="5"/>
  <c r="A53" i="5"/>
  <c r="A54" i="5"/>
  <c r="A49" i="5"/>
  <c r="A50" i="5"/>
  <c r="A52" i="5"/>
  <c r="A51" i="5"/>
  <c r="K56" i="5" l="1"/>
  <c r="C56" i="5"/>
  <c r="F56" i="5"/>
  <c r="D56" i="5"/>
  <c r="J56" i="5"/>
  <c r="H56" i="5"/>
  <c r="I56" i="5"/>
  <c r="B56" i="5"/>
  <c r="G56" i="5"/>
  <c r="I61" i="5"/>
  <c r="K61" i="5"/>
  <c r="C61" i="5"/>
  <c r="B61" i="5"/>
  <c r="J61" i="5"/>
  <c r="H61" i="5"/>
  <c r="G61" i="5"/>
  <c r="D61" i="5"/>
  <c r="F61" i="5"/>
  <c r="D55" i="5"/>
  <c r="F55" i="5"/>
  <c r="G55" i="5"/>
  <c r="H55" i="5"/>
  <c r="J55" i="5"/>
  <c r="C55" i="5"/>
  <c r="B55" i="5"/>
  <c r="K55" i="5"/>
  <c r="I55" i="5"/>
  <c r="I57" i="5"/>
  <c r="F57" i="5"/>
  <c r="C57" i="5"/>
  <c r="D57" i="5"/>
  <c r="G57" i="5"/>
  <c r="B57" i="5"/>
  <c r="J57" i="5"/>
  <c r="H57" i="5"/>
  <c r="K57" i="5"/>
  <c r="K60" i="5"/>
  <c r="C60" i="5"/>
  <c r="D60" i="5"/>
  <c r="F60" i="5"/>
  <c r="I60" i="5"/>
  <c r="J60" i="5"/>
  <c r="G60" i="5"/>
  <c r="H60" i="5"/>
  <c r="B60" i="5"/>
  <c r="G63" i="5"/>
  <c r="I63" i="5"/>
  <c r="C63" i="5"/>
  <c r="H63" i="5"/>
  <c r="K63" i="5"/>
  <c r="D63" i="5"/>
  <c r="F63" i="5"/>
  <c r="B63" i="5"/>
  <c r="J63" i="5"/>
  <c r="D59" i="5"/>
  <c r="H59" i="5"/>
  <c r="F59" i="5"/>
  <c r="G59" i="5"/>
  <c r="J59" i="5"/>
  <c r="I59" i="5"/>
  <c r="C59" i="5"/>
  <c r="K59" i="5"/>
  <c r="B59" i="5"/>
  <c r="G58" i="5"/>
  <c r="I58" i="5"/>
  <c r="H58" i="5"/>
  <c r="K58" i="5"/>
  <c r="F58" i="5"/>
  <c r="C58" i="5"/>
  <c r="J58" i="5"/>
  <c r="D58" i="5"/>
  <c r="B58" i="5"/>
  <c r="K51" i="5"/>
  <c r="J51" i="5"/>
  <c r="I51" i="5"/>
  <c r="H51" i="5"/>
  <c r="K49" i="5"/>
  <c r="J49" i="5"/>
  <c r="I49" i="5"/>
  <c r="H49" i="5"/>
  <c r="K52" i="5"/>
  <c r="J52" i="5"/>
  <c r="I52" i="5"/>
  <c r="H52" i="5"/>
  <c r="G6" i="5"/>
  <c r="G5" i="5"/>
  <c r="H50" i="5" l="1"/>
  <c r="H53" i="5"/>
  <c r="J50" i="5"/>
  <c r="J53" i="5"/>
  <c r="K50" i="5"/>
  <c r="K53" i="5"/>
  <c r="I50" i="5"/>
  <c r="I53" i="5"/>
  <c r="H54" i="5"/>
  <c r="I54" i="5"/>
  <c r="J54" i="5"/>
  <c r="K54" i="5"/>
  <c r="E43" i="8" l="1"/>
  <c r="B43" i="8"/>
  <c r="A43" i="8"/>
  <c r="E42" i="8"/>
  <c r="B42" i="8"/>
  <c r="A42" i="8"/>
  <c r="E41" i="8"/>
  <c r="B41" i="8"/>
  <c r="A41" i="8"/>
  <c r="E40" i="8"/>
  <c r="B40" i="8"/>
  <c r="A40" i="8"/>
  <c r="E39" i="8"/>
  <c r="B39" i="8"/>
  <c r="A39" i="8"/>
  <c r="E38" i="8"/>
  <c r="B38" i="8"/>
  <c r="A38" i="8"/>
  <c r="N5" i="3" l="1"/>
  <c r="N6" i="3"/>
  <c r="N10" i="3"/>
  <c r="N50" i="3"/>
  <c r="N9" i="3"/>
  <c r="N51" i="3"/>
  <c r="N43" i="3"/>
  <c r="N46" i="3"/>
  <c r="N49" i="3"/>
  <c r="N62" i="3"/>
  <c r="N63" i="3"/>
  <c r="N65" i="3"/>
  <c r="N33" i="3"/>
  <c r="N8" i="3"/>
  <c r="N7" i="3"/>
  <c r="N54" i="3"/>
  <c r="N17" i="3"/>
  <c r="N25" i="3"/>
  <c r="N34" i="3"/>
  <c r="N42" i="3"/>
  <c r="N56" i="3"/>
  <c r="N18" i="3"/>
  <c r="N26" i="3"/>
  <c r="N35" i="3"/>
  <c r="N44" i="3"/>
  <c r="N57" i="3"/>
  <c r="N30" i="3"/>
  <c r="N31" i="3"/>
  <c r="N40" i="3"/>
  <c r="N11" i="3"/>
  <c r="N19" i="3"/>
  <c r="N27" i="3"/>
  <c r="N36" i="3"/>
  <c r="N45" i="3"/>
  <c r="N58" i="3"/>
  <c r="N22" i="3"/>
  <c r="N23" i="3"/>
  <c r="N64" i="3"/>
  <c r="N12" i="3"/>
  <c r="N20" i="3"/>
  <c r="N28" i="3"/>
  <c r="N37" i="3"/>
  <c r="N47" i="3"/>
  <c r="N59" i="3"/>
  <c r="N14" i="3"/>
  <c r="N52" i="3"/>
  <c r="N13" i="3"/>
  <c r="N21" i="3"/>
  <c r="N29" i="3"/>
  <c r="N38" i="3"/>
  <c r="N48" i="3"/>
  <c r="N60" i="3"/>
  <c r="N39" i="3"/>
  <c r="N61" i="3"/>
  <c r="N15" i="3"/>
  <c r="N53" i="3"/>
  <c r="N16" i="3"/>
  <c r="N24" i="3"/>
  <c r="N32" i="3"/>
  <c r="N41" i="3"/>
  <c r="N55" i="3"/>
  <c r="N4" i="3"/>
  <c r="A44" i="5"/>
  <c r="A32" i="5"/>
  <c r="A20" i="5"/>
  <c r="A43" i="5"/>
  <c r="A31" i="5"/>
  <c r="A19" i="5"/>
  <c r="A41" i="5"/>
  <c r="A29" i="5"/>
  <c r="A17" i="5"/>
  <c r="A28" i="5"/>
  <c r="A16" i="5"/>
  <c r="A38" i="5"/>
  <c r="A14" i="5"/>
  <c r="A37" i="5"/>
  <c r="A13" i="5"/>
  <c r="A35" i="5"/>
  <c r="A10" i="5"/>
  <c r="A40" i="5"/>
  <c r="A25" i="5"/>
  <c r="A11" i="5"/>
  <c r="A22" i="5"/>
  <c r="A26" i="5"/>
  <c r="A23" i="5"/>
  <c r="A34" i="5"/>
  <c r="D50" i="5"/>
  <c r="D54" i="5"/>
  <c r="G53" i="5"/>
  <c r="J20" i="5" l="1"/>
  <c r="I20" i="5"/>
  <c r="H20" i="5"/>
  <c r="K20" i="5"/>
  <c r="K16" i="5"/>
  <c r="J16" i="5"/>
  <c r="I16" i="5"/>
  <c r="H16" i="5"/>
  <c r="H41" i="5"/>
  <c r="I41" i="5"/>
  <c r="K41" i="5"/>
  <c r="J41" i="5"/>
  <c r="J11" i="5"/>
  <c r="I11" i="5"/>
  <c r="K11" i="5"/>
  <c r="H11" i="5"/>
  <c r="I38" i="5"/>
  <c r="H38" i="5"/>
  <c r="J38" i="5"/>
  <c r="K38" i="5"/>
  <c r="K43" i="5"/>
  <c r="J43" i="5"/>
  <c r="I43" i="5"/>
  <c r="H43" i="5"/>
  <c r="K40" i="5"/>
  <c r="J40" i="5"/>
  <c r="I40" i="5"/>
  <c r="H40" i="5"/>
  <c r="J32" i="5"/>
  <c r="I32" i="5"/>
  <c r="H32" i="5"/>
  <c r="K32" i="5"/>
  <c r="K10" i="5"/>
  <c r="J10" i="5"/>
  <c r="I10" i="5"/>
  <c r="H10" i="5"/>
  <c r="H17" i="5"/>
  <c r="K17" i="5"/>
  <c r="J17" i="5"/>
  <c r="I17" i="5"/>
  <c r="J44" i="5"/>
  <c r="K44" i="5"/>
  <c r="I44" i="5"/>
  <c r="H44" i="5"/>
  <c r="K25" i="5"/>
  <c r="J25" i="5"/>
  <c r="I25" i="5"/>
  <c r="H25" i="5"/>
  <c r="K28" i="5"/>
  <c r="J28" i="5"/>
  <c r="I28" i="5"/>
  <c r="H28" i="5"/>
  <c r="K34" i="5"/>
  <c r="J34" i="5"/>
  <c r="I34" i="5"/>
  <c r="H34" i="5"/>
  <c r="H35" i="5"/>
  <c r="I35" i="5"/>
  <c r="J35" i="5"/>
  <c r="K35" i="5"/>
  <c r="J29" i="5"/>
  <c r="K29" i="5"/>
  <c r="I29" i="5"/>
  <c r="H29" i="5"/>
  <c r="I23" i="5"/>
  <c r="H23" i="5"/>
  <c r="J23" i="5"/>
  <c r="K23" i="5"/>
  <c r="H26" i="5"/>
  <c r="I26" i="5"/>
  <c r="K26" i="5"/>
  <c r="J26" i="5"/>
  <c r="K37" i="5"/>
  <c r="J37" i="5"/>
  <c r="I37" i="5"/>
  <c r="H37" i="5"/>
  <c r="K19" i="5"/>
  <c r="J19" i="5"/>
  <c r="I19" i="5"/>
  <c r="H19" i="5"/>
  <c r="K13" i="5"/>
  <c r="J13" i="5"/>
  <c r="I13" i="5"/>
  <c r="H13" i="5"/>
  <c r="K22" i="5"/>
  <c r="J22" i="5"/>
  <c r="I22" i="5"/>
  <c r="H22" i="5"/>
  <c r="J14" i="5"/>
  <c r="H14" i="5"/>
  <c r="I14" i="5"/>
  <c r="K14" i="5"/>
  <c r="K31" i="5"/>
  <c r="J31" i="5"/>
  <c r="I31" i="5"/>
  <c r="H31" i="5"/>
  <c r="C54" i="5"/>
  <c r="F54" i="5"/>
  <c r="B54" i="5"/>
  <c r="G54" i="5"/>
  <c r="B50" i="5"/>
  <c r="G50" i="5"/>
  <c r="F50" i="5"/>
  <c r="C50" i="5"/>
  <c r="G52" i="5"/>
  <c r="C53" i="5"/>
  <c r="D53" i="5"/>
  <c r="C52" i="5"/>
  <c r="F52" i="5"/>
  <c r="B53" i="5"/>
  <c r="D52" i="5"/>
  <c r="B52" i="5"/>
  <c r="F53" i="5"/>
  <c r="B51" i="5"/>
  <c r="G51" i="5"/>
  <c r="F51" i="5"/>
  <c r="D51" i="5"/>
  <c r="C51" i="5"/>
  <c r="A31" i="8" l="1"/>
  <c r="A65" i="8" l="1"/>
  <c r="B65" i="8"/>
  <c r="E65" i="8"/>
  <c r="A64" i="8" l="1"/>
  <c r="B64" i="8"/>
  <c r="E64" i="8"/>
  <c r="A47" i="8" l="1"/>
  <c r="A50" i="8"/>
  <c r="A51" i="8"/>
  <c r="A52" i="8"/>
  <c r="A53" i="8"/>
  <c r="B50" i="8"/>
  <c r="B51" i="8"/>
  <c r="B52" i="8"/>
  <c r="B53" i="8"/>
  <c r="E50" i="8"/>
  <c r="E51" i="8"/>
  <c r="E52" i="8"/>
  <c r="E53" i="8"/>
  <c r="E43" i="5" l="1"/>
  <c r="E31" i="5"/>
  <c r="E40" i="5"/>
  <c r="E28" i="5"/>
  <c r="E37" i="5"/>
  <c r="E25" i="5"/>
  <c r="E34" i="5"/>
  <c r="E22" i="5"/>
  <c r="E16" i="5"/>
  <c r="E19" i="5"/>
  <c r="E13" i="5"/>
  <c r="E10" i="5"/>
  <c r="E38" i="5" l="1"/>
  <c r="E41" i="5"/>
  <c r="E35" i="5"/>
  <c r="E44" i="5"/>
  <c r="E20" i="5"/>
  <c r="E23" i="5"/>
  <c r="E29" i="5"/>
  <c r="E11" i="5"/>
  <c r="E17" i="5"/>
  <c r="E14" i="5"/>
  <c r="E63" i="8" l="1"/>
  <c r="B63" i="8"/>
  <c r="A63" i="8"/>
  <c r="E62" i="8"/>
  <c r="B62" i="8"/>
  <c r="A62" i="8"/>
  <c r="E61" i="8"/>
  <c r="B61" i="8"/>
  <c r="A61" i="8"/>
  <c r="E60" i="8"/>
  <c r="B60" i="8"/>
  <c r="A60" i="8"/>
  <c r="P5" i="3" l="1"/>
  <c r="P6" i="3"/>
  <c r="P10" i="3"/>
  <c r="P51" i="3"/>
  <c r="P43" i="3"/>
  <c r="P50" i="3"/>
  <c r="P46" i="3"/>
  <c r="P65" i="3"/>
  <c r="P49" i="3"/>
  <c r="P63" i="3"/>
  <c r="P62" i="3"/>
  <c r="P9" i="3"/>
  <c r="P33" i="3"/>
  <c r="P8" i="3"/>
  <c r="P7" i="3"/>
  <c r="P54" i="3"/>
  <c r="P4" i="3"/>
  <c r="P11" i="3"/>
  <c r="P12" i="3"/>
  <c r="P13" i="3"/>
  <c r="P14" i="3"/>
  <c r="P15" i="3"/>
  <c r="P16" i="3"/>
  <c r="P17" i="3"/>
  <c r="P18" i="3"/>
  <c r="P19" i="3"/>
  <c r="P20" i="3"/>
  <c r="P21" i="3"/>
  <c r="P22" i="3"/>
  <c r="P23" i="3"/>
  <c r="P24" i="3"/>
  <c r="P25" i="3"/>
  <c r="P26" i="3"/>
  <c r="P27" i="3"/>
  <c r="P28" i="3"/>
  <c r="P29" i="3"/>
  <c r="P30" i="3"/>
  <c r="P31" i="3"/>
  <c r="P32" i="3"/>
  <c r="P34" i="3"/>
  <c r="P35" i="3"/>
  <c r="P36" i="3"/>
  <c r="P37" i="3"/>
  <c r="P38" i="3"/>
  <c r="P39" i="3"/>
  <c r="P40" i="3"/>
  <c r="P41" i="3"/>
  <c r="P42" i="3"/>
  <c r="P44" i="3"/>
  <c r="P45" i="3"/>
  <c r="P47" i="3"/>
  <c r="P48" i="3"/>
  <c r="P52" i="3"/>
  <c r="P53" i="3"/>
  <c r="P55" i="3"/>
  <c r="P56" i="3"/>
  <c r="P57" i="3"/>
  <c r="P58" i="3"/>
  <c r="P59" i="3"/>
  <c r="P60" i="3"/>
  <c r="P61" i="3"/>
  <c r="P64" i="3"/>
  <c r="E32" i="5"/>
  <c r="E26" i="5"/>
  <c r="G49" i="5" l="1"/>
  <c r="A47" i="5"/>
  <c r="C49" i="5" l="1"/>
  <c r="D49" i="5"/>
  <c r="F49" i="5"/>
  <c r="B49" i="5"/>
  <c r="E47" i="8" l="1"/>
  <c r="B47" i="8"/>
  <c r="E48" i="8"/>
  <c r="B48" i="8"/>
  <c r="A48" i="8"/>
  <c r="E46" i="8"/>
  <c r="B46" i="8"/>
  <c r="A46" i="8"/>
  <c r="E49" i="8"/>
  <c r="B49" i="8"/>
  <c r="A49" i="8"/>
  <c r="O5" i="3" l="1"/>
  <c r="O6" i="3"/>
  <c r="O10" i="3"/>
  <c r="O50" i="3"/>
  <c r="O9" i="3"/>
  <c r="O51" i="3"/>
  <c r="O43" i="3"/>
  <c r="O46" i="3"/>
  <c r="O49" i="3"/>
  <c r="O62" i="3"/>
  <c r="O63" i="3"/>
  <c r="O65" i="3"/>
  <c r="O33" i="3"/>
  <c r="O8" i="3"/>
  <c r="O7" i="3"/>
  <c r="O54" i="3"/>
  <c r="O4" i="3"/>
  <c r="O11" i="3"/>
  <c r="O12" i="3"/>
  <c r="O13" i="3"/>
  <c r="O14" i="3"/>
  <c r="O15" i="3"/>
  <c r="O16" i="3"/>
  <c r="O17" i="3"/>
  <c r="O18" i="3"/>
  <c r="O19" i="3"/>
  <c r="O20" i="3"/>
  <c r="O21" i="3"/>
  <c r="O22" i="3"/>
  <c r="O23" i="3"/>
  <c r="O24" i="3"/>
  <c r="O25" i="3"/>
  <c r="O26" i="3"/>
  <c r="O27" i="3"/>
  <c r="O28" i="3"/>
  <c r="O29" i="3"/>
  <c r="O30" i="3"/>
  <c r="O31" i="3"/>
  <c r="O32" i="3"/>
  <c r="O34" i="3"/>
  <c r="O35" i="3"/>
  <c r="O36" i="3"/>
  <c r="O37" i="3"/>
  <c r="O38" i="3"/>
  <c r="O39" i="3"/>
  <c r="O40" i="3"/>
  <c r="O41" i="3"/>
  <c r="O42" i="3"/>
  <c r="O44" i="3"/>
  <c r="O45" i="3"/>
  <c r="O47" i="3"/>
  <c r="O48" i="3"/>
  <c r="O52" i="3"/>
  <c r="O53" i="3"/>
  <c r="O55" i="3"/>
  <c r="O56" i="3"/>
  <c r="O57" i="3"/>
  <c r="O58" i="3"/>
  <c r="O59" i="3"/>
  <c r="O60" i="3"/>
  <c r="O61" i="3"/>
  <c r="O64" i="3"/>
  <c r="A25" i="8"/>
  <c r="A26" i="8"/>
  <c r="A27" i="8"/>
  <c r="B25" i="8"/>
  <c r="B26" i="8"/>
  <c r="B27" i="8"/>
  <c r="E25" i="8"/>
  <c r="E26" i="8"/>
  <c r="E27"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B30" i="8" l="1"/>
  <c r="E30" i="8"/>
  <c r="E31" i="8"/>
  <c r="E32" i="8"/>
  <c r="E33" i="8"/>
  <c r="E34" i="8"/>
  <c r="E35" i="8"/>
  <c r="B31" i="8"/>
  <c r="B32" i="8"/>
  <c r="B33" i="8"/>
  <c r="B34" i="8"/>
  <c r="B35" i="8"/>
  <c r="A30" i="8"/>
  <c r="A32" i="8"/>
  <c r="A33" i="8"/>
  <c r="A34" i="8"/>
  <c r="A35" i="8"/>
  <c r="E3" i="8"/>
  <c r="E4" i="8"/>
  <c r="E5" i="8"/>
  <c r="E6" i="8"/>
  <c r="B3" i="8"/>
  <c r="B4" i="8"/>
  <c r="B5" i="8"/>
  <c r="B6" i="8"/>
  <c r="A4" i="8"/>
  <c r="A5" i="8"/>
  <c r="A6" i="8"/>
  <c r="L59" i="3" l="1"/>
  <c r="L5" i="3"/>
  <c r="L6" i="3"/>
  <c r="L10" i="3"/>
  <c r="L50" i="3"/>
  <c r="L9" i="3"/>
  <c r="L51" i="3"/>
  <c r="L43" i="3"/>
  <c r="L46" i="3"/>
  <c r="L49" i="3"/>
  <c r="L62" i="3"/>
  <c r="L63" i="3"/>
  <c r="L65" i="3"/>
  <c r="M5" i="3"/>
  <c r="M6" i="3"/>
  <c r="M10" i="3"/>
  <c r="M50" i="3"/>
  <c r="M9" i="3"/>
  <c r="M51" i="3"/>
  <c r="M43" i="3"/>
  <c r="M46" i="3"/>
  <c r="M49" i="3"/>
  <c r="M62" i="3"/>
  <c r="M63" i="3"/>
  <c r="M65" i="3"/>
  <c r="L54" i="3"/>
  <c r="L7" i="3"/>
  <c r="L8" i="3"/>
  <c r="M54" i="3"/>
  <c r="M33" i="3"/>
  <c r="M8" i="3"/>
  <c r="M7" i="3"/>
  <c r="L33" i="3"/>
  <c r="L36" i="3"/>
  <c r="L13" i="3"/>
  <c r="L11" i="3"/>
  <c r="L12" i="3"/>
  <c r="L15" i="3"/>
  <c r="L14" i="3"/>
  <c r="L16" i="3"/>
  <c r="L21" i="3"/>
  <c r="L22" i="3"/>
  <c r="L17" i="3"/>
  <c r="L19" i="3"/>
  <c r="L20" i="3"/>
  <c r="L18" i="3"/>
  <c r="L28" i="3"/>
  <c r="L29" i="3"/>
  <c r="L23" i="3"/>
  <c r="L26" i="3"/>
  <c r="L27" i="3"/>
  <c r="L25" i="3"/>
  <c r="L24" i="3"/>
  <c r="L52" i="3"/>
  <c r="L53" i="3"/>
  <c r="L55" i="3"/>
  <c r="L56" i="3"/>
  <c r="L38" i="3"/>
  <c r="L39" i="3"/>
  <c r="L40" i="3"/>
  <c r="L41" i="3"/>
  <c r="L64" i="3"/>
  <c r="L32" i="3"/>
  <c r="L34" i="3"/>
  <c r="L31" i="3"/>
  <c r="L30" i="3"/>
  <c r="L35" i="3"/>
  <c r="L42" i="3"/>
  <c r="L44" i="3"/>
  <c r="L45" i="3"/>
  <c r="L47" i="3"/>
  <c r="L48" i="3"/>
  <c r="L61" i="3"/>
  <c r="L60" i="3"/>
  <c r="L57" i="3"/>
  <c r="L37" i="3"/>
  <c r="M11" i="3"/>
  <c r="M12" i="3"/>
  <c r="M13" i="3"/>
  <c r="M14" i="3"/>
  <c r="M15" i="3"/>
  <c r="M16" i="3"/>
  <c r="M17" i="3"/>
  <c r="M18" i="3"/>
  <c r="M19" i="3"/>
  <c r="M20" i="3"/>
  <c r="M21" i="3"/>
  <c r="M22" i="3"/>
  <c r="M23" i="3"/>
  <c r="M24" i="3"/>
  <c r="M25" i="3"/>
  <c r="M26" i="3"/>
  <c r="M27" i="3"/>
  <c r="M28" i="3"/>
  <c r="M29" i="3"/>
  <c r="M30" i="3"/>
  <c r="M31" i="3"/>
  <c r="M32" i="3"/>
  <c r="M34" i="3"/>
  <c r="M35" i="3"/>
  <c r="M36" i="3"/>
  <c r="M37" i="3"/>
  <c r="M38" i="3"/>
  <c r="M39" i="3"/>
  <c r="M40" i="3"/>
  <c r="M41" i="3"/>
  <c r="M42" i="3"/>
  <c r="M44" i="3"/>
  <c r="M45" i="3"/>
  <c r="M47" i="3"/>
  <c r="M48" i="3"/>
  <c r="M52" i="3"/>
  <c r="M53" i="3"/>
  <c r="M55" i="3"/>
  <c r="M56" i="3"/>
  <c r="M57" i="3"/>
  <c r="M58" i="3"/>
  <c r="M59" i="3"/>
  <c r="M60" i="3"/>
  <c r="M61" i="3"/>
  <c r="M64" i="3"/>
  <c r="M4" i="3"/>
  <c r="L58" i="3"/>
  <c r="L4" i="3"/>
  <c r="G7" i="5"/>
  <c r="C41" i="5" l="1"/>
  <c r="F41" i="5"/>
  <c r="G41" i="5"/>
  <c r="B41" i="5"/>
  <c r="D41" i="5"/>
  <c r="B43" i="5"/>
  <c r="F43" i="5"/>
  <c r="G43" i="5"/>
  <c r="D43" i="5"/>
  <c r="C43" i="5"/>
  <c r="B37" i="5"/>
  <c r="C37" i="5"/>
  <c r="G37" i="5"/>
  <c r="F37" i="5"/>
  <c r="D37" i="5"/>
  <c r="D44" i="5"/>
  <c r="B44" i="5"/>
  <c r="C44" i="5"/>
  <c r="F44" i="5"/>
  <c r="G44" i="5"/>
  <c r="D40" i="5"/>
  <c r="B40" i="5"/>
  <c r="C40" i="5"/>
  <c r="F40" i="5"/>
  <c r="G40" i="5"/>
  <c r="C35" i="5"/>
  <c r="G35" i="5"/>
  <c r="D35" i="5"/>
  <c r="F35" i="5"/>
  <c r="B35" i="5"/>
  <c r="C38" i="5"/>
  <c r="G38" i="5"/>
  <c r="F38" i="5"/>
  <c r="B38" i="5"/>
  <c r="D38"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<sst xmlns="http://schemas.openxmlformats.org/spreadsheetml/2006/main" count="1754" uniqueCount="381">
  <si>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</si>
  <si>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</si>
  <si>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</si>
  <si>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</si>
  <si>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</si>
  <si>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</si>
  <si>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</si>
  <si>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</si>
  <si>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</si>
  <si>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Full-Time Enrolment Planner</t>
  </si>
  <si>
    <t>Course:</t>
  </si>
  <si>
    <t>Bachelor of Applied Science (Architectural Science) (OpenUnis)</t>
  </si>
  <si>
    <t>Stream version:</t>
  </si>
  <si>
    <t>Specialisation:</t>
  </si>
  <si>
    <t>Construction Management Specialisation (OpenUnis)</t>
  </si>
  <si>
    <t>Specialisation version:</t>
  </si>
  <si>
    <t>Commencing:</t>
  </si>
  <si>
    <t>Study Period 1 (February - May)</t>
  </si>
  <si>
    <t>Credits to Complete:</t>
  </si>
  <si>
    <t>2024 Availabilities</t>
  </si>
  <si>
    <t>Year 1</t>
  </si>
  <si>
    <t>Study Period</t>
  </si>
  <si>
    <t>Pre-Requisite(s)</t>
  </si>
  <si>
    <t>CP</t>
  </si>
  <si>
    <t>SP1</t>
  </si>
  <si>
    <t>SP2</t>
  </si>
  <si>
    <t>SP3</t>
  </si>
  <si>
    <t>SP4</t>
  </si>
  <si>
    <t>Progress</t>
  </si>
  <si>
    <t>Year 2</t>
  </si>
  <si>
    <t>Year 3</t>
  </si>
  <si>
    <t>Structure List - Specialisations</t>
  </si>
  <si>
    <t>Note: Provided you meet any pre requisites, and the subject is available, you may study specialisation subjects in any order.</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</si>
  <si>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</si>
  <si>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</si>
  <si>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</si>
  <si>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</si>
  <si>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</si>
  <si>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OSCU-ANGADSP1</t>
  </si>
  <si>
    <t>OSCU-ANGADSP2</t>
  </si>
  <si>
    <t>OSCU-ANGADSP3</t>
  </si>
  <si>
    <t>OSCU-ANGADSP4</t>
  </si>
  <si>
    <t>OSCU-CONMSSP1</t>
  </si>
  <si>
    <t>OSCU-CONMSSP2</t>
  </si>
  <si>
    <t>OSCU-CONMSSP3</t>
  </si>
  <si>
    <t>OSCU-CONMSSP4</t>
  </si>
  <si>
    <t>OSCU-INARSSP1</t>
  </si>
  <si>
    <t>OSCU-INARSSP2</t>
  </si>
  <si>
    <t>OSCU-INARSSP3</t>
  </si>
  <si>
    <t>OSCU-INARSSP4</t>
  </si>
  <si>
    <t>OSCU-PLGEOSP1</t>
  </si>
  <si>
    <t>OSCU-PLGEOSP2</t>
  </si>
  <si>
    <t>OSCU-PLGEOSP3</t>
  </si>
  <si>
    <t>OSCU-PLGEOSP4</t>
  </si>
  <si>
    <t>Y1SP1</t>
  </si>
  <si>
    <t>ARCH1010</t>
  </si>
  <si>
    <t>Y1SP2</t>
  </si>
  <si>
    <t>ARCH1021</t>
  </si>
  <si>
    <t>Y1SP3</t>
  </si>
  <si>
    <t>Y1SP4</t>
  </si>
  <si>
    <t>ARCH1020</t>
  </si>
  <si>
    <t>COMS1007</t>
  </si>
  <si>
    <t>TableCourses</t>
  </si>
  <si>
    <t>Choose your Course</t>
  </si>
  <si>
    <t>Version</t>
  </si>
  <si>
    <t>Credit Points</t>
  </si>
  <si>
    <t>Effective Date</t>
  </si>
  <si>
    <t>Akari Update</t>
  </si>
  <si>
    <t>OB-ARCH</t>
  </si>
  <si>
    <t>v.3</t>
  </si>
  <si>
    <t>600 credit points required</t>
  </si>
  <si>
    <t>SP1; SP2; SP3; SP4</t>
  </si>
  <si>
    <t>ARCH1009</t>
  </si>
  <si>
    <t>Bachelor of Applied Science (Architectural Science) (OpenUnis CSP)</t>
  </si>
  <si>
    <t>OU-ARCH</t>
  </si>
  <si>
    <t>ARCH1026</t>
  </si>
  <si>
    <t>ARCH1024</t>
  </si>
  <si>
    <t>ARCH2016</t>
  </si>
  <si>
    <t>Spec</t>
  </si>
  <si>
    <t>TableStudyPeriod</t>
  </si>
  <si>
    <t>Choose your commencing study period (drop-down list)</t>
  </si>
  <si>
    <t>START</t>
  </si>
  <si>
    <t>Next</t>
  </si>
  <si>
    <t>Next2</t>
  </si>
  <si>
    <t>Next3</t>
  </si>
  <si>
    <t>Y2SP1</t>
  </si>
  <si>
    <t>ARCH2031</t>
  </si>
  <si>
    <t>Y2SP2</t>
  </si>
  <si>
    <t>ARCH2027</t>
  </si>
  <si>
    <t>Y2SP3</t>
  </si>
  <si>
    <t>Y2SP4</t>
  </si>
  <si>
    <t>Study Period 2 (May - August)</t>
  </si>
  <si>
    <t>ARCH3016</t>
  </si>
  <si>
    <t>ARCH2017</t>
  </si>
  <si>
    <t>Study Period 3 (August - November)</t>
  </si>
  <si>
    <t>Study Period 4 (November - February)</t>
  </si>
  <si>
    <t>ARCH2029</t>
  </si>
  <si>
    <t>ARCH2026</t>
  </si>
  <si>
    <t>TableSpecialisations</t>
  </si>
  <si>
    <t>Choose your Specialisation (drop-down list)</t>
  </si>
  <si>
    <t>Animation and Game Architecture Design Specialisation (OpenUnis)</t>
  </si>
  <si>
    <t>OSCU-ANGAD</t>
  </si>
  <si>
    <t>v.1</t>
  </si>
  <si>
    <t>100 credit points required</t>
  </si>
  <si>
    <t>OSCU-CONMS</t>
  </si>
  <si>
    <t>Y3SP1</t>
  </si>
  <si>
    <t>ARCH3031</t>
  </si>
  <si>
    <t>Y3SP2</t>
  </si>
  <si>
    <t>ARCH3015</t>
  </si>
  <si>
    <t>Y3SP3</t>
  </si>
  <si>
    <t>Y3SP4</t>
  </si>
  <si>
    <t>Interior Architecture Specialisation (OpenUnis)</t>
  </si>
  <si>
    <t>OSCU-INARS</t>
  </si>
  <si>
    <t>ARCH3019</t>
  </si>
  <si>
    <t>Planning and Geography Specialisation (OpenUnis)</t>
  </si>
  <si>
    <t>OSCU-PLGEO</t>
  </si>
  <si>
    <t>ARCH3030</t>
  </si>
  <si>
    <t>ARCH3028</t>
  </si>
  <si>
    <t>ARCH3018</t>
  </si>
  <si>
    <t>Add Undergrauate Certificate? No!</t>
  </si>
  <si>
    <t>Pending specialisation sequences from Steve.</t>
  </si>
  <si>
    <t>Pending 2024 OUA Availabilities</t>
  </si>
  <si>
    <t>Spec Unit</t>
  </si>
  <si>
    <t>Pending structure / unit updates to flow through to S1.</t>
  </si>
  <si>
    <t>50CP Unit</t>
  </si>
  <si>
    <t>15/02/2024 - Representing sequencing of specialisations is a major pain, what would we like to do? Maybe need to go down the route of individual specs &amp; study periods.</t>
  </si>
  <si>
    <t>23/02/2024 - Sequencing done with Steve, pending ANGAD, then good to go.</t>
  </si>
  <si>
    <t>RangeSpecSets</t>
  </si>
  <si>
    <t>Spec1</t>
  </si>
  <si>
    <t>---</t>
  </si>
  <si>
    <t>BLDG1005</t>
  </si>
  <si>
    <t>AC-INARS</t>
  </si>
  <si>
    <t>Spec2</t>
  </si>
  <si>
    <t>GRDE1022</t>
  </si>
  <si>
    <t xml:space="preserve"> </t>
  </si>
  <si>
    <t>INAR1011</t>
  </si>
  <si>
    <t>URDE1007</t>
  </si>
  <si>
    <t>Spec3</t>
  </si>
  <si>
    <t>GRDE2036</t>
  </si>
  <si>
    <t>AC-CONMS</t>
  </si>
  <si>
    <t>INAR1015</t>
  </si>
  <si>
    <t>URDE1008</t>
  </si>
  <si>
    <t>Spec4</t>
  </si>
  <si>
    <t>GRDE2042</t>
  </si>
  <si>
    <t>BLDG1006</t>
  </si>
  <si>
    <t>PHGY3001</t>
  </si>
  <si>
    <t>Spec5</t>
  </si>
  <si>
    <t>BLDG1009</t>
  </si>
  <si>
    <t>--</t>
  </si>
  <si>
    <t>Spec6</t>
  </si>
  <si>
    <t>AC-ANGAD</t>
  </si>
  <si>
    <t>INAR2023</t>
  </si>
  <si>
    <t>AC-PLGEO</t>
  </si>
  <si>
    <t>Spec7</t>
  </si>
  <si>
    <t>GRDE3033</t>
  </si>
  <si>
    <t>INAR3021</t>
  </si>
  <si>
    <t>GEOG3002</t>
  </si>
  <si>
    <t>Spec8</t>
  </si>
  <si>
    <t>WORK3002</t>
  </si>
  <si>
    <t>BLDG2027</t>
  </si>
  <si>
    <t>Spec9</t>
  </si>
  <si>
    <t>BLAW3031</t>
  </si>
  <si>
    <t>Opt-INARS</t>
  </si>
  <si>
    <t>Spec10</t>
  </si>
  <si>
    <t>INAR2015</t>
  </si>
  <si>
    <t>Spec11</t>
  </si>
  <si>
    <t>INAR2025</t>
  </si>
  <si>
    <t>Spec12</t>
  </si>
  <si>
    <t>WORK2006</t>
  </si>
  <si>
    <t>Spec13</t>
  </si>
  <si>
    <t>WORK2007</t>
  </si>
  <si>
    <t>Spec14</t>
  </si>
  <si>
    <t>Spec15</t>
  </si>
  <si>
    <t>WORK3009</t>
  </si>
  <si>
    <t>Spec16</t>
  </si>
  <si>
    <t>Title</t>
  </si>
  <si>
    <t>Notes</t>
  </si>
  <si>
    <t>-</t>
  </si>
  <si>
    <t>Please note this is a 50CP unit</t>
  </si>
  <si>
    <t>and study BOTH</t>
  </si>
  <si>
    <t>Study all three of</t>
  </si>
  <si>
    <t>and study either DIG39 or WBP300</t>
  </si>
  <si>
    <t>and study either CME103 or CME106</t>
  </si>
  <si>
    <t>Study either BIA140 or BIA170</t>
  </si>
  <si>
    <t>and study either GPH320 or WBP300</t>
  </si>
  <si>
    <t>BAS120</t>
  </si>
  <si>
    <t>Sustainability and Structures in Architecture</t>
  </si>
  <si>
    <t>Nil</t>
  </si>
  <si>
    <t>BAS130</t>
  </si>
  <si>
    <t>Reading Architecture Globally</t>
  </si>
  <si>
    <t>BAS115</t>
  </si>
  <si>
    <t>Architecture and Interior Architecture Methods 1A - Analogue Literacy</t>
  </si>
  <si>
    <t>BAS145</t>
  </si>
  <si>
    <t>Architecture and Interior Architecture Methods 1B - Digital Literacy</t>
  </si>
  <si>
    <t>BAS140</t>
  </si>
  <si>
    <t>Architecture and Interior Architecture Design Studio 1 - Small Structures</t>
  </si>
  <si>
    <t>BAS145*</t>
  </si>
  <si>
    <t>BAS150</t>
  </si>
  <si>
    <t>Architectural Science in Context</t>
  </si>
  <si>
    <t>BAS240</t>
  </si>
  <si>
    <t>Architectural Documentation and Detailing</t>
  </si>
  <si>
    <t>BAS250</t>
  </si>
  <si>
    <t>Architecture History and Identity</t>
  </si>
  <si>
    <t>BAS230</t>
  </si>
  <si>
    <t>Architecture Design Studio 2B - Regional Studio</t>
  </si>
  <si>
    <t>BAS115 + BAS145 + BAS140</t>
  </si>
  <si>
    <t>BAS235</t>
  </si>
  <si>
    <t>Architecture Methods 2B - Information Visualisation</t>
  </si>
  <si>
    <t>BAS200</t>
  </si>
  <si>
    <t>Architecture and Interior Architecture Design Studio 2A - Residential Typology and Grammar</t>
  </si>
  <si>
    <t>BAS205</t>
  </si>
  <si>
    <t>Architecture Methods 2A - Digital Fabrication</t>
  </si>
  <si>
    <t>BAS310</t>
  </si>
  <si>
    <t>Environmental and Building Systems in Architecture</t>
  </si>
  <si>
    <t>BAS240 + (BAS235 or BIA240)</t>
  </si>
  <si>
    <t>BAS320</t>
  </si>
  <si>
    <t>Urban Contexts</t>
  </si>
  <si>
    <t>BAS340</t>
  </si>
  <si>
    <t>Building Information Modelling in Architecture</t>
  </si>
  <si>
    <t>BAS240 + BAS235</t>
  </si>
  <si>
    <t>BAS350</t>
  </si>
  <si>
    <t>Twentieth and Twenty-First Century Architectural Theories</t>
  </si>
  <si>
    <t>BAS330</t>
  </si>
  <si>
    <t>Architecture Design Studio 3B - Civic</t>
  </si>
  <si>
    <t>BAS200 + BAS205 + BAS230 + BAS235</t>
  </si>
  <si>
    <t>BAS300</t>
  </si>
  <si>
    <t>Architecture Design Studio 3A - Multi Residential</t>
  </si>
  <si>
    <t>BAS305</t>
  </si>
  <si>
    <t>Architecture Methods 3A - Digital Futures</t>
  </si>
  <si>
    <t>CME309</t>
  </si>
  <si>
    <t>Construction Contracts and Law</t>
  </si>
  <si>
    <t>CME101</t>
  </si>
  <si>
    <t>Low Rise Construction</t>
  </si>
  <si>
    <t>CME106</t>
  </si>
  <si>
    <t>High-rise Construction</t>
  </si>
  <si>
    <t>CME103</t>
  </si>
  <si>
    <t>Introduction to Management in Construction (*Recommended Unit)</t>
  </si>
  <si>
    <t>New Version</t>
  </si>
  <si>
    <t>BLDG1009.PO</t>
  </si>
  <si>
    <t>Introduction to Management in Construction</t>
  </si>
  <si>
    <t>Phasing Out</t>
  </si>
  <si>
    <t>CME206</t>
  </si>
  <si>
    <t>Building Surveying</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</si>
  <si>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</si>
  <si>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</si>
  <si>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</si>
  <si>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</si>
  <si>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</si>
  <si>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</si>
  <si>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</si>
  <si>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</si>
  <si>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</si>
  <si>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</si>
  <si>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</si>
  <si>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</si>
  <si>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</si>
  <si>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</si>
  <si>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INAR1005</t>
  </si>
  <si>
    <t>BIA100</t>
  </si>
  <si>
    <t>Interior Design Studio - Elements</t>
  </si>
  <si>
    <t>BIA140</t>
  </si>
  <si>
    <t>Interior Architecture Studio - Foundation (*Recommended Unit)</t>
  </si>
  <si>
    <t>INAR1011.PO</t>
  </si>
  <si>
    <t>Interior Design Studio - City</t>
  </si>
  <si>
    <t>BIA170</t>
  </si>
  <si>
    <t>History of the Interior</t>
  </si>
  <si>
    <t>BIA250</t>
  </si>
  <si>
    <t>Interior Architecture Studio – Community</t>
  </si>
  <si>
    <t>INAR2015.PO</t>
  </si>
  <si>
    <t>Interior Design Studio - Community</t>
  </si>
  <si>
    <t>BAS200 or BIA210</t>
  </si>
  <si>
    <t>BIA280</t>
  </si>
  <si>
    <t>Philosophy and Practice</t>
  </si>
  <si>
    <t>BIA290</t>
  </si>
  <si>
    <t>Design Fabrication</t>
  </si>
  <si>
    <t>BIA390</t>
  </si>
  <si>
    <t>Furniture Design (details coming)</t>
  </si>
  <si>
    <t>and study ONE subject from these options</t>
  </si>
  <si>
    <t>OSCU-INARS.PO</t>
  </si>
  <si>
    <t>GPH311</t>
  </si>
  <si>
    <t>Cultural Landscapes</t>
  </si>
  <si>
    <t>Study one subject from your chosen specialisation (see below)</t>
  </si>
  <si>
    <t>See below</t>
  </si>
  <si>
    <t>Specialisation</t>
  </si>
  <si>
    <t>Choose your Specialisation</t>
  </si>
  <si>
    <t>URP100</t>
  </si>
  <si>
    <t>Governance for Planning</t>
  </si>
  <si>
    <t>URP110</t>
  </si>
  <si>
    <t>Introduction to Planning</t>
  </si>
  <si>
    <t>GOL200</t>
  </si>
  <si>
    <t>Sustainability and Innovation Foundations (with approval)</t>
  </si>
  <si>
    <t>See OUA website</t>
  </si>
  <si>
    <t>Availabilities removed</t>
  </si>
  <si>
    <t>GOL210</t>
  </si>
  <si>
    <t>Regional Industry Placement 2 (with approval)</t>
  </si>
  <si>
    <t>WBP300</t>
  </si>
  <si>
    <t>Work Based Project (with approval)</t>
  </si>
  <si>
    <t>GOG300</t>
  </si>
  <si>
    <t>Go Global - Internship 4 (with approval)</t>
  </si>
  <si>
    <t>Effective:</t>
  </si>
  <si>
    <t>OB/OU-ARCH</t>
  </si>
  <si>
    <t>Downloaded:</t>
  </si>
  <si>
    <t>V</t>
  </si>
  <si>
    <t>OUA Code</t>
  </si>
  <si>
    <t>CPs</t>
  </si>
  <si>
    <t>No.</t>
  </si>
  <si>
    <t>Component Type</t>
  </si>
  <si>
    <t>Year Level</t>
  </si>
  <si>
    <t>Study Package Code</t>
  </si>
  <si>
    <t>Structure Line</t>
  </si>
  <si>
    <t>Effective</t>
  </si>
  <si>
    <t>Discont.</t>
  </si>
  <si>
    <t>Column1</t>
  </si>
  <si>
    <t>Column2</t>
  </si>
  <si>
    <t>AltCore</t>
  </si>
  <si>
    <t>NA</t>
  </si>
  <si>
    <t>Core</t>
  </si>
  <si>
    <t>Semester 1</t>
  </si>
  <si>
    <t>APC100 - Academic and Professional Communications</t>
  </si>
  <si>
    <t/>
  </si>
  <si>
    <t>BAS115 Architecture and Interior Architecture Methods 1A - Analogue Literacy</t>
  </si>
  <si>
    <t>BAS120 Sustainability and Structures in Architecture</t>
  </si>
  <si>
    <t>Semester 2</t>
  </si>
  <si>
    <t>BAS130 Reading Architecture Globally</t>
  </si>
  <si>
    <t>BAS140 Architecture and Interior Architecture Design Studio 1 - Small Structures</t>
  </si>
  <si>
    <t>BAS145 Architecture and Interior Architecture Methods 1B - Digital Literacy</t>
  </si>
  <si>
    <t>BAS150 Architectural Science in Context</t>
  </si>
  <si>
    <t>BAS200 Architecture and Interior Architecture Design Studio 2A - Residential Typology and Grammar</t>
  </si>
  <si>
    <t>BAS205 Architecture Methods 2A - Digital Fabrication</t>
  </si>
  <si>
    <t>BAS240 Architectural Documentation and Detailing</t>
  </si>
  <si>
    <t>BAS230 Architecture Design Studio 2B - Regional Studio</t>
  </si>
  <si>
    <t>BAS235 Architecture Methods 2B - Information Visualisation</t>
  </si>
  <si>
    <t>BAS250 Architecture History and Identity</t>
  </si>
  <si>
    <t>BAS300 Architecture Design Studio 3A - Multi Residential</t>
  </si>
  <si>
    <t>BAS305 Architecture Methods 3A - Digital Futures</t>
  </si>
  <si>
    <t>BAS310 Environmental and Building Systems in Architecture</t>
  </si>
  <si>
    <t>BAS350 Twentieth and Twenty-First Century Architectural Theories</t>
  </si>
  <si>
    <t>BAS330 Architecture Design Studio 3B - Civic</t>
  </si>
  <si>
    <t>BAS340 Building Information Modelling in Architecture</t>
  </si>
  <si>
    <t>BAS320 Urban Contexts</t>
  </si>
  <si>
    <t>DIG10 Game Design Introduction</t>
  </si>
  <si>
    <t>DIG230 Introduction to 3D Modelling and Rendering</t>
  </si>
  <si>
    <t>DIG28 Animation and Motion Graphics Design</t>
  </si>
  <si>
    <t>Choose GRDE3033 or WORK3002</t>
  </si>
  <si>
    <t>AltCoreANGAD</t>
  </si>
  <si>
    <t>DIG39 Industry Project Development</t>
  </si>
  <si>
    <t>WBP300 Work Based Project</t>
  </si>
  <si>
    <t>Choose CME103 BLDG1009 or CME106 BLDG1006</t>
  </si>
  <si>
    <t>AltCoreCONMS</t>
  </si>
  <si>
    <t>CME101 Low Rise Construction</t>
  </si>
  <si>
    <t>CME309 Construction Contracts and Law</t>
  </si>
  <si>
    <t>CME206 Building Surveying</t>
  </si>
  <si>
    <t>CME106 High-rise Construction</t>
  </si>
  <si>
    <t>CME103 Introduction to Management in Construction</t>
  </si>
  <si>
    <t>BIA280 Philosophy and Practice</t>
  </si>
  <si>
    <t>AltCoreINARS1</t>
  </si>
  <si>
    <t>BIA390 Furniture Design</t>
  </si>
  <si>
    <t>Choose INAR1011 BIA140 or INAR1015 BIA170</t>
  </si>
  <si>
    <t>AltCoreINARS2</t>
  </si>
  <si>
    <t>Option</t>
  </si>
  <si>
    <t>Choose an Option</t>
  </si>
  <si>
    <t>BIA140 Interior Architecture Studio - Foundation</t>
  </si>
  <si>
    <t>BIA170 History of the Interior</t>
  </si>
  <si>
    <t>BIA250 Interior Architecture Studio – Community</t>
  </si>
  <si>
    <t>BIA290 Design Fabrication</t>
  </si>
  <si>
    <t>GOL200 Sustainability and Innovation Foundations</t>
  </si>
  <si>
    <t>GOL210 Regional Industry Placement 2</t>
  </si>
  <si>
    <t>GOG300 Go Global - Internship 4</t>
  </si>
  <si>
    <t>URP110 Introduction to Planning</t>
  </si>
  <si>
    <t>URP100 Governance for Planning</t>
  </si>
  <si>
    <t>GPH311 Cultural Landscapes</t>
  </si>
  <si>
    <t>Choose WORK3002 or GEOG3002</t>
  </si>
  <si>
    <t>AltCorePLGEO</t>
  </si>
  <si>
    <t>GPH320 Urban Geographies</t>
  </si>
  <si>
    <t>Count of Availability Available to Students Flag</t>
  </si>
  <si>
    <t xml:space="preserve">Downloaded: </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</si>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</sst>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i/>
      <sz val="10"/>
      <color theme="0" tint="-0.34998626667073579"/>
      <name val="Arial"/>
      <family val="2"/>
    </font>
    <font>
      <b/>
      <sz val="10"/>
      <color theme="0"/>
      <name val="Segoe UI"/>
      <family val="2"/>
    </font>
    <font>
      <sz val="12"/>
      <color rgb="FFFF0000"/>
      <name val="Calibri"/>
      <family val="2"/>
      <scheme val="minor"/>
    </font>
    <font>
      <b/>
      <i/>
      <sz val="16"/>
      <color theme="0"/>
      <name val="Segoe UI"/>
      <family val="2"/>
    </font>
    <font>
      <b/>
      <sz val="11"/>
      <name val="Segoe UI"/>
      <family val="2"/>
    </font>
    <font>
      <b/>
      <i/>
      <sz val="10"/>
      <color theme="0" tint="-0.34998626667073579"/>
      <name val="Arial"/>
      <family val="2"/>
    </font>
    <font>
      <b/>
      <sz val="16"/>
      <color theme="1"/>
      <name val="Segoe UI"/>
      <family val="2"/>
    </font>
    <font>
      <strike/>
      <sz val="12"/>
      <color rgb="FFFF0000"/>
      <name val="Calibri"/>
      <family val="2"/>
      <scheme val="minor"/>
    </font>
    <font>
      <b/>
      <sz val="10"/>
      <color theme="8"/>
      <name val="Segoe UI"/>
      <family val="2"/>
    </font>
    <font>
      <sz val="9"/>
      <color rgb="FFFF0000"/>
      <name val="Segoe UI"/>
      <family val="2"/>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8"/>
        <bgColor indexed="64"/>
      </patternFill>
    </fill>
    <fill>
      <patternFill patternType="solid">
        <fgColor rgb="FF92D05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right style="thin">
        <color theme="0" tint="-0.24994659260841701"/>
      </right>
      <top/>
      <bottom/>
      <diagonal/>
    </border>
    <border>
      <left style="thin">
        <color theme="0" tint="-0.24994659260841701"/>
      </left>
      <right style="thin">
        <color theme="0" tint="-0.24994659260841701"/>
      </right>
      <top/>
      <bottom/>
      <diagonal/>
    </border>
  </borders>
  <cellStyleXfs count="3">
    <xf numFmtId="0" fontId="0" fillId="0" borderId="0"/>
    <xf numFmtId="0" fontId="1" fillId="0" borderId="0"/>
    <xf numFmtId="0" fontId="26" fillId="0" borderId="0" applyNumberFormat="0" applyFill="0" applyBorder="0" applyAlignment="0" applyProtection="0"/>
  </cellStyleXfs>
  <cellXfs count="205">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27" fillId="5" borderId="0" xfId="2" applyFont="1" applyFill="1" applyAlignment="1" applyProtection="1">
      <alignment vertical="center"/>
    </xf>
    <xf numFmtId="0" fontId="26" fillId="5" borderId="0" xfId="2" applyFill="1" applyAlignment="1" applyProtection="1">
      <alignment vertical="center"/>
    </xf>
    <xf numFmtId="0" fontId="16"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5" fillId="0" borderId="0" xfId="0" applyFont="1"/>
    <xf numFmtId="0" fontId="0" fillId="0" borderId="5" xfId="0" applyBorder="1"/>
    <xf numFmtId="0" fontId="2" fillId="3" borderId="1" xfId="0" applyFont="1" applyFill="1" applyBorder="1" applyAlignment="1">
      <alignment horizontal="right" vertical="center"/>
    </xf>
    <xf numFmtId="0" fontId="20" fillId="2" borderId="21" xfId="1" applyFont="1" applyFill="1" applyBorder="1" applyAlignment="1" applyProtection="1">
      <alignment horizontal="center" vertical="center" wrapText="1"/>
      <protection locked="0"/>
    </xf>
    <xf numFmtId="0" fontId="20"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2" fillId="0" borderId="0" xfId="0" applyFont="1"/>
    <xf numFmtId="0" fontId="42" fillId="0" borderId="0" xfId="0" applyFont="1" applyAlignment="1">
      <alignment horizontal="right"/>
    </xf>
    <xf numFmtId="14" fontId="42" fillId="0" borderId="0" xfId="0" applyNumberFormat="1" applyFont="1"/>
    <xf numFmtId="0" fontId="42" fillId="0" borderId="0" xfId="0" applyFont="1" applyAlignment="1">
      <alignment horizontal="center"/>
    </xf>
    <xf numFmtId="0" fontId="0" fillId="0" borderId="25" xfId="0" applyBorder="1" applyAlignment="1">
      <alignment horizontal="center"/>
    </xf>
    <xf numFmtId="0" fontId="9" fillId="0" borderId="0" xfId="0" applyFont="1" applyAlignment="1">
      <alignment horizont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3" fillId="0" borderId="8" xfId="0" applyFont="1" applyBorder="1" applyAlignment="1">
      <alignment horizontal="center" vertical="center"/>
    </xf>
    <xf numFmtId="0" fontId="4" fillId="8" borderId="5" xfId="0" applyFont="1" applyFill="1" applyBorder="1" applyAlignment="1">
      <alignment horizontal="center" vertical="center"/>
    </xf>
    <xf numFmtId="0" fontId="5" fillId="4" borderId="11" xfId="0" applyFont="1" applyFill="1" applyBorder="1" applyAlignment="1">
      <alignment horizontal="left" textRotation="90"/>
    </xf>
    <xf numFmtId="0" fontId="9" fillId="6" borderId="26" xfId="0" applyFont="1" applyFill="1" applyBorder="1" applyAlignment="1">
      <alignment horizontal="center"/>
    </xf>
    <xf numFmtId="0" fontId="9" fillId="6" borderId="27" xfId="0" applyFont="1" applyFill="1" applyBorder="1" applyAlignment="1">
      <alignment horizontal="center"/>
    </xf>
    <xf numFmtId="0" fontId="4" fillId="9" borderId="0" xfId="0" applyFont="1" applyFill="1" applyAlignment="1">
      <alignment horizontal="center" vertical="center"/>
    </xf>
    <xf numFmtId="0" fontId="9" fillId="7" borderId="0" xfId="0" applyFont="1" applyFill="1" applyAlignment="1">
      <alignment wrapText="1"/>
    </xf>
    <xf numFmtId="0" fontId="43" fillId="0" borderId="0" xfId="0" applyFont="1"/>
    <xf numFmtId="0" fontId="9" fillId="6" borderId="28" xfId="0" applyFont="1" applyFill="1" applyBorder="1" applyAlignment="1">
      <alignment horizontal="center"/>
    </xf>
    <xf numFmtId="0" fontId="9" fillId="6" borderId="29" xfId="0" applyFont="1" applyFill="1" applyBorder="1" applyAlignment="1">
      <alignment horizontal="center"/>
    </xf>
    <xf numFmtId="0" fontId="9" fillId="6" borderId="1" xfId="0" applyFont="1" applyFill="1" applyBorder="1" applyAlignment="1">
      <alignment horizontal="center"/>
    </xf>
    <xf numFmtId="0" fontId="6" fillId="6" borderId="3" xfId="0" applyFont="1" applyFill="1" applyBorder="1" applyAlignment="1">
      <alignment horizontal="center"/>
    </xf>
    <xf numFmtId="0" fontId="9" fillId="6" borderId="2" xfId="0" applyFont="1" applyFill="1" applyBorder="1" applyAlignment="1">
      <alignment horizontal="center"/>
    </xf>
    <xf numFmtId="0" fontId="44" fillId="0" borderId="0" xfId="0" applyFont="1" applyAlignment="1">
      <alignment horizontal="right"/>
    </xf>
    <xf numFmtId="0" fontId="9" fillId="6" borderId="4" xfId="0" applyFont="1" applyFill="1" applyBorder="1" applyAlignment="1">
      <alignment horizontal="center"/>
    </xf>
    <xf numFmtId="0" fontId="9" fillId="6" borderId="5" xfId="0" applyFont="1" applyFill="1" applyBorder="1" applyAlignment="1">
      <alignment horizontal="center"/>
    </xf>
    <xf numFmtId="0" fontId="6" fillId="6" borderId="5" xfId="0" applyFont="1" applyFill="1" applyBorder="1" applyAlignment="1">
      <alignment horizontal="center"/>
    </xf>
    <xf numFmtId="0" fontId="9" fillId="6" borderId="6" xfId="0" applyFont="1" applyFill="1" applyBorder="1" applyAlignment="1">
      <alignment horizont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26" fillId="5" borderId="0" xfId="2" applyFill="1" applyAlignment="1" applyProtection="1">
      <alignment horizontal="center" vertical="center"/>
    </xf>
    <xf numFmtId="0" fontId="9" fillId="6" borderId="3" xfId="0" applyFont="1" applyFill="1" applyBorder="1" applyAlignment="1">
      <alignment horizontal="center"/>
    </xf>
    <xf numFmtId="0" fontId="46" fillId="0" borderId="0" xfId="0" applyFont="1"/>
    <xf numFmtId="0" fontId="2" fillId="3" borderId="5" xfId="0" applyFont="1" applyFill="1" applyBorder="1" applyAlignment="1">
      <alignment horizontal="right" vertical="center"/>
    </xf>
    <xf numFmtId="0" fontId="46" fillId="10" borderId="0" xfId="0" applyFont="1" applyFill="1"/>
    <xf numFmtId="0" fontId="42" fillId="0" borderId="0" xfId="0" applyFont="1" applyAlignment="1">
      <alignment horizontal="left"/>
    </xf>
    <xf numFmtId="0" fontId="42" fillId="12" borderId="0" xfId="0" applyFont="1" applyFill="1" applyAlignment="1">
      <alignment horizontal="left"/>
    </xf>
    <xf numFmtId="14" fontId="0" fillId="0" borderId="0" xfId="0" applyNumberFormat="1"/>
    <xf numFmtId="0" fontId="9" fillId="0" borderId="0" xfId="0" applyFont="1" applyAlignment="1">
      <alignment horizontal="left" wrapText="1"/>
    </xf>
    <xf numFmtId="0" fontId="43" fillId="12" borderId="0" xfId="0" applyFont="1" applyFill="1"/>
    <xf numFmtId="14" fontId="9" fillId="0" borderId="0" xfId="0" applyNumberFormat="1" applyFont="1" applyAlignment="1">
      <alignment horizontal="center"/>
    </xf>
    <xf numFmtId="14" fontId="6" fillId="0" borderId="0" xfId="0" applyNumberFormat="1" applyFont="1" applyAlignment="1">
      <alignment horizontal="center"/>
    </xf>
    <xf numFmtId="0" fontId="49" fillId="0" borderId="0" xfId="0" applyFont="1" applyAlignment="1">
      <alignment horizontal="left"/>
    </xf>
    <xf numFmtId="14" fontId="43" fillId="0" borderId="0" xfId="0" applyNumberFormat="1" applyFont="1" applyAlignment="1">
      <alignment horizontal="right"/>
    </xf>
    <xf numFmtId="14" fontId="43" fillId="0" borderId="0" xfId="0" applyNumberFormat="1" applyFont="1"/>
    <xf numFmtId="14" fontId="9" fillId="12" borderId="0" xfId="0" applyNumberFormat="1" applyFont="1" applyFill="1" applyAlignment="1">
      <alignment horizontal="center"/>
    </xf>
    <xf numFmtId="0" fontId="9" fillId="12" borderId="0" xfId="0" applyFont="1" applyFill="1" applyAlignment="1">
      <alignment horizontal="center" wrapText="1"/>
    </xf>
    <xf numFmtId="0" fontId="9" fillId="12" borderId="0" xfId="0" applyFont="1" applyFill="1" applyAlignment="1">
      <alignment horizontal="center"/>
    </xf>
    <xf numFmtId="0" fontId="6" fillId="12" borderId="0" xfId="0" applyFont="1" applyFill="1" applyAlignment="1">
      <alignment horizontal="center"/>
    </xf>
    <xf numFmtId="14" fontId="6" fillId="12" borderId="0" xfId="0" applyNumberFormat="1" applyFont="1" applyFill="1" applyAlignment="1">
      <alignment horizontal="center"/>
    </xf>
    <xf numFmtId="14" fontId="42" fillId="12" borderId="0" xfId="0" applyNumberFormat="1" applyFont="1" applyFill="1"/>
    <xf numFmtId="0" fontId="42" fillId="12" borderId="0" xfId="0" applyFont="1" applyFill="1" applyAlignment="1">
      <alignment horizontal="center"/>
    </xf>
    <xf numFmtId="0" fontId="7" fillId="0" borderId="0" xfId="0" applyFont="1"/>
    <xf numFmtId="0" fontId="7" fillId="0" borderId="0" xfId="0" applyFont="1" applyAlignment="1">
      <alignment horizontal="center"/>
    </xf>
    <xf numFmtId="0" fontId="0" fillId="10" borderId="0" xfId="0" applyFill="1" applyAlignment="1">
      <alignment horizontal="right"/>
    </xf>
    <xf numFmtId="14" fontId="0" fillId="10" borderId="0" xfId="0" applyNumberFormat="1" applyFill="1"/>
    <xf numFmtId="0" fontId="51" fillId="10" borderId="0" xfId="0" applyFont="1" applyFill="1"/>
    <xf numFmtId="0" fontId="4" fillId="0" borderId="6" xfId="0" quotePrefix="1" applyFont="1" applyBorder="1" applyAlignment="1">
      <alignment horizontal="center" vertical="center"/>
    </xf>
    <xf numFmtId="0" fontId="4" fillId="0" borderId="8" xfId="0" quotePrefix="1"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xf>
    <xf numFmtId="0" fontId="20" fillId="13" borderId="18" xfId="1" applyFont="1" applyFill="1" applyBorder="1" applyAlignment="1" applyProtection="1">
      <alignment horizontal="center" vertical="center" wrapText="1"/>
      <protection locked="0"/>
    </xf>
    <xf numFmtId="0" fontId="16" fillId="0" borderId="12" xfId="1" applyFont="1" applyBorder="1" applyAlignment="1" applyProtection="1">
      <alignment horizontal="center"/>
    </xf>
    <xf numFmtId="0" fontId="16" fillId="0" borderId="13" xfId="1" applyFont="1" applyBorder="1" applyAlignment="1" applyProtection="1">
      <alignment horizontal="center"/>
    </xf>
    <xf numFmtId="0" fontId="16" fillId="0" borderId="13" xfId="1" applyFont="1" applyBorder="1" applyProtection="1"/>
    <xf numFmtId="0" fontId="16" fillId="0" borderId="14"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16" fillId="0" borderId="0" xfId="1" applyFont="1" applyProtection="1"/>
    <xf numFmtId="0" fontId="37" fillId="11" borderId="15" xfId="1" applyFont="1" applyFill="1" applyBorder="1" applyAlignment="1" applyProtection="1">
      <alignment horizontal="left" vertical="center" wrapText="1"/>
    </xf>
    <xf numFmtId="0" fontId="37" fillId="11" borderId="0" xfId="1" applyFont="1" applyFill="1" applyAlignment="1" applyProtection="1">
      <alignment vertical="center" wrapText="1"/>
    </xf>
    <xf numFmtId="0" fontId="50" fillId="13" borderId="16" xfId="1" applyFont="1" applyFill="1" applyBorder="1" applyAlignment="1" applyProtection="1">
      <alignment horizontal="centerContinuous" vertical="center"/>
    </xf>
    <xf numFmtId="0" fontId="17" fillId="13" borderId="17" xfId="1" applyFont="1" applyFill="1" applyBorder="1" applyAlignment="1" applyProtection="1">
      <alignment horizontal="centerContinuous" vertical="center"/>
    </xf>
    <xf numFmtId="0" fontId="50" fillId="13" borderId="17" xfId="1" applyFont="1" applyFill="1" applyBorder="1" applyAlignment="1" applyProtection="1">
      <alignment horizontal="centerContinuous" vertical="center"/>
    </xf>
    <xf numFmtId="0" fontId="40" fillId="13" borderId="17" xfId="1" applyFont="1" applyFill="1" applyBorder="1" applyAlignment="1" applyProtection="1">
      <alignment horizontal="centerContinuous"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20"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18"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53" fillId="0" borderId="0" xfId="1" applyFont="1" applyAlignment="1" applyProtection="1">
      <alignment vertical="top" wrapText="1"/>
    </xf>
    <xf numFmtId="0" fontId="21" fillId="11" borderId="0" xfId="1" applyFont="1" applyFill="1" applyAlignment="1" applyProtection="1">
      <alignment horizontal="center" vertical="center"/>
    </xf>
    <xf numFmtId="0" fontId="21" fillId="11" borderId="0" xfId="1" applyFont="1" applyFill="1" applyAlignment="1" applyProtection="1">
      <alignment horizontal="left" vertical="center" indent="1"/>
    </xf>
    <xf numFmtId="0" fontId="21" fillId="11" borderId="0" xfId="1" applyFont="1" applyFill="1" applyAlignment="1" applyProtection="1">
      <alignment vertical="center"/>
    </xf>
    <xf numFmtId="0" fontId="21" fillId="11" borderId="22" xfId="1" applyFont="1" applyFill="1" applyBorder="1" applyAlignment="1" applyProtection="1">
      <alignment horizontal="left" vertical="center"/>
    </xf>
    <xf numFmtId="0" fontId="21" fillId="11" borderId="0" xfId="1" applyFont="1" applyFill="1" applyAlignment="1" applyProtection="1">
      <alignment horizontal="left" vertical="center"/>
    </xf>
    <xf numFmtId="0" fontId="21" fillId="11" borderId="18" xfId="1" applyFont="1" applyFill="1" applyBorder="1" applyAlignment="1" applyProtection="1">
      <alignment horizontal="lef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11" borderId="0" xfId="1" applyFont="1" applyFill="1" applyAlignment="1" applyProtection="1">
      <alignment horizontal="left" vertical="center" shrinkToFit="1"/>
    </xf>
    <xf numFmtId="0" fontId="21" fillId="11" borderId="0" xfId="1" applyFont="1" applyFill="1" applyAlignment="1" applyProtection="1">
      <alignment horizontal="center" vertical="center" wrapText="1"/>
    </xf>
    <xf numFmtId="0" fontId="21" fillId="11" borderId="22" xfId="1" applyFont="1" applyFill="1" applyBorder="1" applyAlignment="1" applyProtection="1">
      <alignment horizontal="center" vertical="center" wrapText="1"/>
    </xf>
    <xf numFmtId="0" fontId="21" fillId="11" borderId="18" xfId="1" applyFont="1" applyFill="1" applyBorder="1" applyAlignment="1" applyProtection="1">
      <alignment horizontal="center" vertical="center" wrapText="1"/>
    </xf>
    <xf numFmtId="0" fontId="20" fillId="2" borderId="19" xfId="1" applyFont="1" applyFill="1" applyBorder="1" applyAlignment="1" applyProtection="1">
      <alignment horizontal="center" vertical="center" wrapText="1"/>
    </xf>
    <xf numFmtId="0" fontId="20" fillId="2" borderId="20" xfId="1" applyFont="1" applyFill="1" applyBorder="1" applyAlignment="1" applyProtection="1">
      <alignment horizontal="center" vertical="center" wrapText="1"/>
    </xf>
    <xf numFmtId="0" fontId="20" fillId="2" borderId="20" xfId="1" applyFont="1" applyFill="1" applyBorder="1" applyAlignment="1" applyProtection="1">
      <alignment vertical="center" shrinkToFit="1"/>
    </xf>
    <xf numFmtId="0" fontId="23" fillId="2" borderId="20" xfId="1" applyFont="1" applyFill="1" applyBorder="1" applyAlignment="1" applyProtection="1">
      <alignment horizontal="center" vertical="center" wrapText="1"/>
    </xf>
    <xf numFmtId="0" fontId="20" fillId="2" borderId="23" xfId="1" applyFont="1" applyFill="1" applyBorder="1" applyAlignment="1" applyProtection="1">
      <alignment horizontal="center" vertical="center" wrapText="1"/>
    </xf>
    <xf numFmtId="0" fontId="20" fillId="2" borderId="24"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13" borderId="14" xfId="1" applyFont="1" applyFill="1" applyBorder="1" applyAlignment="1" applyProtection="1">
      <alignment horizontal="center" vertical="center" wrapText="1"/>
    </xf>
    <xf numFmtId="0" fontId="20" fillId="13" borderId="0" xfId="1" applyFont="1" applyFill="1" applyAlignment="1" applyProtection="1">
      <alignment horizontal="center" vertical="center" wrapText="1"/>
    </xf>
    <xf numFmtId="0" fontId="20" fillId="13" borderId="0" xfId="1" applyFont="1" applyFill="1" applyAlignment="1" applyProtection="1">
      <alignment vertical="center" shrinkToFit="1"/>
    </xf>
    <xf numFmtId="0" fontId="23" fillId="13" borderId="0" xfId="1" applyFont="1" applyFill="1" applyAlignment="1" applyProtection="1">
      <alignment horizontal="left" vertical="center" wrapText="1"/>
    </xf>
    <xf numFmtId="0" fontId="20" fillId="13" borderId="22" xfId="1" applyFont="1" applyFill="1" applyBorder="1" applyAlignment="1" applyProtection="1">
      <alignment horizontal="center" vertical="center" wrapText="1"/>
    </xf>
    <xf numFmtId="0" fontId="20" fillId="13" borderId="18" xfId="1" applyFont="1" applyFill="1" applyBorder="1" applyAlignment="1" applyProtection="1">
      <alignment horizontal="center" vertical="center" wrapText="1"/>
    </xf>
    <xf numFmtId="0" fontId="20" fillId="0" borderId="20" xfId="1" applyFont="1" applyBorder="1" applyAlignment="1" applyProtection="1">
      <alignment horizontal="center" vertical="center" wrapText="1"/>
    </xf>
    <xf numFmtId="0" fontId="20" fillId="0" borderId="23" xfId="1" applyFont="1" applyBorder="1" applyAlignment="1" applyProtection="1">
      <alignment horizontal="center" vertical="center" wrapText="1"/>
    </xf>
    <xf numFmtId="0" fontId="20" fillId="0" borderId="24"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20" xfId="1" applyFont="1" applyBorder="1" applyAlignment="1" applyProtection="1">
      <alignment horizontal="left" vertical="center" shrinkToFit="1"/>
    </xf>
    <xf numFmtId="0" fontId="22" fillId="2" borderId="0" xfId="1" applyFont="1" applyFill="1" applyAlignment="1" applyProtection="1">
      <alignment horizontal="center" vertical="center"/>
    </xf>
    <xf numFmtId="0" fontId="20" fillId="0" borderId="20" xfId="1" applyFont="1" applyBorder="1" applyAlignment="1" applyProtection="1">
      <alignment vertical="center" shrinkToFi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shrinkToFit="1"/>
    </xf>
    <xf numFmtId="0" fontId="32" fillId="2" borderId="0" xfId="1" applyFont="1" applyFill="1" applyAlignment="1" applyProtection="1">
      <alignment horizontal="center" vertical="center" wrapText="1"/>
    </xf>
    <xf numFmtId="0" fontId="33" fillId="2" borderId="0" xfId="1" applyFont="1" applyFill="1" applyAlignment="1" applyProtection="1">
      <alignment vertical="center"/>
    </xf>
    <xf numFmtId="0" fontId="34" fillId="2" borderId="0" xfId="1" applyFont="1" applyFill="1" applyAlignment="1" applyProtection="1">
      <alignment horizontal="center" vertical="center"/>
    </xf>
    <xf numFmtId="0" fontId="34" fillId="2" borderId="0" xfId="1" applyFont="1" applyFill="1" applyProtection="1"/>
    <xf numFmtId="0" fontId="11" fillId="2" borderId="0" xfId="1" applyFont="1" applyFill="1" applyProtection="1"/>
    <xf numFmtId="0" fontId="47" fillId="11" borderId="0" xfId="1" applyFont="1" applyFill="1" applyAlignment="1" applyProtection="1">
      <alignment horizontal="left" vertical="center" readingOrder="1"/>
    </xf>
    <xf numFmtId="0" fontId="36" fillId="11" borderId="0" xfId="1" applyFont="1" applyFill="1" applyAlignment="1" applyProtection="1">
      <alignment horizontal="left" vertical="center" readingOrder="1"/>
    </xf>
    <xf numFmtId="0" fontId="19" fillId="11" borderId="0" xfId="1" applyFont="1" applyFill="1" applyAlignment="1" applyProtection="1">
      <alignment horizontal="left" vertical="center" shrinkToFit="1"/>
    </xf>
    <xf numFmtId="0" fontId="39" fillId="11" borderId="0" xfId="1" applyFont="1" applyFill="1" applyAlignment="1" applyProtection="1">
      <alignment horizontal="center" vertical="center"/>
    </xf>
    <xf numFmtId="0" fontId="39" fillId="11" borderId="0" xfId="1" applyFont="1" applyFill="1" applyAlignment="1" applyProtection="1">
      <alignment horizontal="center" vertical="center" readingOrder="1"/>
    </xf>
    <xf numFmtId="0" fontId="21" fillId="11" borderId="0" xfId="1" applyFont="1" applyFill="1" applyAlignment="1" applyProtection="1">
      <alignment vertical="center" readingOrder="1"/>
    </xf>
    <xf numFmtId="0" fontId="39" fillId="11" borderId="0" xfId="1" applyFont="1" applyFill="1" applyAlignment="1" applyProtection="1">
      <alignment vertical="center" readingOrder="1"/>
    </xf>
    <xf numFmtId="0" fontId="39" fillId="11" borderId="18" xfId="1" applyFont="1" applyFill="1" applyBorder="1" applyAlignment="1" applyProtection="1">
      <alignment vertical="center" readingOrder="1"/>
    </xf>
    <xf numFmtId="0" fontId="21" fillId="11" borderId="0" xfId="1" applyFont="1" applyFill="1" applyAlignment="1" applyProtection="1">
      <alignment horizontal="center" vertical="top"/>
    </xf>
    <xf numFmtId="0" fontId="1" fillId="0" borderId="0" xfId="1" applyAlignment="1" applyProtection="1">
      <alignment horizontal="center" vertical="center"/>
    </xf>
    <xf numFmtId="0" fontId="45" fillId="11" borderId="0" xfId="1" applyFont="1" applyFill="1" applyAlignment="1" applyProtection="1">
      <alignment horizontal="left" vertical="center"/>
    </xf>
    <xf numFmtId="0" fontId="36" fillId="11" borderId="0" xfId="1" applyFont="1" applyFill="1" applyAlignment="1" applyProtection="1">
      <alignment horizontal="left" vertical="center"/>
    </xf>
    <xf numFmtId="0" fontId="1" fillId="0" borderId="0" xfId="1" applyAlignment="1" applyProtection="1">
      <alignment horizontal="center" vertical="top"/>
    </xf>
    <xf numFmtId="0" fontId="52" fillId="0" borderId="0" xfId="1" applyFont="1" applyAlignment="1" applyProtection="1">
      <alignment horizontal="left" vertical="center"/>
    </xf>
    <xf numFmtId="0" fontId="36" fillId="0" borderId="0" xfId="1" applyFont="1" applyAlignment="1" applyProtection="1">
      <alignment horizontal="left" vertical="center"/>
    </xf>
    <xf numFmtId="0" fontId="21" fillId="0" borderId="0" xfId="1" applyFont="1" applyAlignment="1" applyProtection="1">
      <alignment horizontal="left" vertical="center" shrinkToFit="1"/>
    </xf>
    <xf numFmtId="0" fontId="21" fillId="0" borderId="0" xfId="1" applyFont="1" applyAlignment="1" applyProtection="1">
      <alignment horizontal="center" vertical="center" wrapText="1"/>
    </xf>
    <xf numFmtId="0" fontId="21" fillId="0" borderId="0" xfId="1" applyFont="1" applyAlignment="1" applyProtection="1">
      <alignment horizontal="center" vertical="center"/>
    </xf>
    <xf numFmtId="0" fontId="21" fillId="0" borderId="22"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horizontal="left" vertical="center" shrinkToFit="1"/>
    </xf>
    <xf numFmtId="0" fontId="35" fillId="0" borderId="20" xfId="1" applyFont="1" applyBorder="1" applyAlignment="1" applyProtection="1">
      <alignment horizontal="center" vertical="center" wrapText="1"/>
    </xf>
    <xf numFmtId="0" fontId="20" fillId="2" borderId="23" xfId="1" applyFont="1" applyFill="1" applyBorder="1" applyAlignment="1" applyProtection="1">
      <alignment horizontal="center" vertical="center"/>
    </xf>
    <xf numFmtId="0" fontId="20" fillId="2" borderId="20" xfId="1" applyFont="1" applyFill="1" applyBorder="1" applyAlignment="1" applyProtection="1">
      <alignment horizontal="center" vertical="center"/>
    </xf>
    <xf numFmtId="0" fontId="20" fillId="2" borderId="24" xfId="1" applyFont="1" applyFill="1" applyBorder="1" applyAlignment="1" applyProtection="1">
      <alignment horizontal="center" vertical="center"/>
    </xf>
    <xf numFmtId="0" fontId="0" fillId="0" borderId="0" xfId="0" applyProtection="1"/>
    <xf numFmtId="0" fontId="25" fillId="2" borderId="0" xfId="1" applyFont="1" applyFill="1" applyAlignment="1" applyProtection="1">
      <alignment horizontal="center" vertical="center" wrapText="1"/>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11" fillId="2" borderId="0" xfId="1" applyFont="1" applyFill="1" applyAlignment="1" applyProtection="1">
      <alignment vertical="center"/>
    </xf>
    <xf numFmtId="0" fontId="33" fillId="2" borderId="0" xfId="1" applyFont="1" applyFill="1" applyAlignment="1" applyProtection="1">
      <alignment horizontal="right" vertical="center"/>
    </xf>
    <xf numFmtId="0" fontId="41" fillId="6" borderId="0" xfId="1" applyFont="1" applyFill="1" applyAlignment="1" applyProtection="1">
      <alignment vertical="center"/>
      <protection locked="0"/>
    </xf>
    <xf numFmtId="0" fontId="18" fillId="2" borderId="0" xfId="1" applyFont="1" applyFill="1" applyAlignment="1" applyProtection="1">
      <alignment vertical="center"/>
      <protection locked="0"/>
    </xf>
    <xf numFmtId="0" fontId="21" fillId="0" borderId="0" xfId="1" applyFont="1" applyAlignment="1" applyProtection="1">
      <alignment horizontal="center" vertical="top"/>
      <protection locked="0"/>
    </xf>
  </cellXfs>
  <cellStyles count="3">
    <cellStyle name="Hyperlink" xfId="2" builtinId="8"/>
    <cellStyle name="Normal" xfId="0" builtinId="0"/>
    <cellStyle name="Normal 2" xfId="1"/>
  </cellStyles>
  <dxfs count="111">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7" tint="0.79998168889431442"/>
        </patternFill>
      </fill>
    </dxf>
    <dxf>
      <font>
        <b val="0"/>
        <i/>
      </font>
      <fill>
        <patternFill>
          <bgColor theme="4" tint="0.79998168889431442"/>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i/>
      </font>
      <fill>
        <patternFill>
          <bgColor theme="0" tint="-0.14996795556505021"/>
        </patternFill>
      </fill>
    </dxf>
    <dxf>
      <fill>
        <patternFill>
          <bgColor theme="0" tint="-0.14996795556505021"/>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266701</xdr:colOff>
      <xdr:row>3</xdr:row>
      <xdr:rowOff>114301</xdr:rowOff>
    </xdr:from>
    <xdr:ext cx="5629275" cy="461009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15751" y="619126"/>
          <a:ext cx="5629275" cy="46100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rtl="0" fontAlgn="base"/>
          <a:r>
            <a:rPr lang="en-AU" sz="1100" b="1" i="0">
              <a:solidFill>
                <a:schemeClr val="dk1"/>
              </a:solidFill>
              <a:effectLst/>
              <a:latin typeface="+mn-lt"/>
              <a:ea typeface="+mn-ea"/>
              <a:cs typeface="+mn-cs"/>
            </a:rPr>
            <a:t>Enrolment Guidelines</a:t>
          </a:r>
          <a:endParaRPr lang="en-AU" sz="1000">
            <a:effectLst/>
          </a:endParaRPr>
        </a:p>
        <a:p>
          <a:pPr algn="ctr" rtl="0" fontAlgn="base"/>
          <a:r>
            <a:rPr lang="en-AU" sz="1100" b="1" i="0">
              <a:solidFill>
                <a:schemeClr val="dk1"/>
              </a:solidFill>
              <a:effectLst/>
              <a:latin typeface="+mn-lt"/>
              <a:ea typeface="+mn-ea"/>
              <a:cs typeface="+mn-cs"/>
            </a:rPr>
            <a:t>Bachelor of Applied Science (Architectural Science) (OpenUnis)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Specialisation and Commencing Study Period.</a:t>
          </a:r>
          <a:endParaRPr lang="en-AU">
            <a:effectLst/>
          </a:endParaRPr>
        </a:p>
        <a:p>
          <a:pPr algn="ctr" rtl="0" fontAlgn="base"/>
          <a:endParaRPr lang="en-AU" sz="1100" b="1" i="0">
            <a:solidFill>
              <a:schemeClr val="dk1"/>
            </a:solidFill>
            <a:effectLst/>
            <a:latin typeface="+mn-lt"/>
            <a:ea typeface="+mn-ea"/>
            <a:cs typeface="+mn-cs"/>
          </a:endParaRPr>
        </a:p>
        <a:p>
          <a:pPr algn="l"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algn="l"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a:t>
          </a:r>
          <a:r>
            <a:rPr lang="en-AU" sz="1100" b="0" i="0" baseline="0">
              <a:solidFill>
                <a:schemeClr val="dk1"/>
              </a:solidFill>
              <a:effectLst/>
              <a:latin typeface="+mn-lt"/>
              <a:ea typeface="+mn-ea"/>
              <a:cs typeface="+mn-cs"/>
            </a:rPr>
            <a:t>please contact your Course Coordinator (Email - architecture@curtin.edu.au) to develop an ad hoc study plan.</a:t>
          </a:r>
        </a:p>
        <a:p>
          <a:pPr rtl="0" fontAlgn="base"/>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100"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Specialisation Subjects</a:t>
          </a:r>
          <a:endParaRPr lang="en-AU">
            <a:effectLst/>
          </a:endParaRPr>
        </a:p>
        <a:p>
          <a:r>
            <a:rPr lang="en-AU" sz="1100" b="0">
              <a:solidFill>
                <a:schemeClr val="dk1"/>
              </a:solidFill>
              <a:effectLst/>
              <a:latin typeface="+mn-lt"/>
              <a:ea typeface="+mn-ea"/>
              <a:cs typeface="+mn-cs"/>
            </a:rPr>
            <a:t>Provided you meet any pre requisites, and the subject is available, you may study specialisation subjects in any order.</a:t>
          </a:r>
          <a:endParaRPr lang="en-AU">
            <a:effectLst/>
          </a:endParaRP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47626</xdr:colOff>
      <xdr:row>2</xdr:row>
      <xdr:rowOff>276225</xdr:rowOff>
    </xdr:from>
    <xdr:to>
      <xdr:col>21</xdr:col>
      <xdr:colOff>409576</xdr:colOff>
      <xdr:row>3</xdr:row>
      <xdr:rowOff>114695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25676"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8" totalsRowShown="0" headerRowDxfId="102">
  <autoFilter ref="A6:G8"/>
  <tableColumns count="7">
    <tableColumn id="3" name="Choose your Course" dataDxfId="101"/>
    <tableColumn id="1" name="UDC" dataDxfId="100"/>
    <tableColumn id="2" name="Version" dataDxfId="99"/>
    <tableColumn id="5" name="Credit Points" dataDxfId="98"/>
    <tableColumn id="4" name="Effective Date" dataDxfId="97"/>
    <tableColumn id="6" name="Akari Update" dataDxfId="96"/>
    <tableColumn id="7" name="Availabilities" dataDxfId="95"/>
  </tableColumns>
  <tableStyleInfo name="TableStyleLight8" showFirstColumn="0" showLastColumn="0" showRowStripes="1" showColumnStripes="0"/>
</table>
</file>

<file path=xl/tables/table10.xml><?xml version="1.0" encoding="utf-8"?>
<table xmlns="http://schemas.openxmlformats.org/spreadsheetml/2006/main" id="8" name="Table5356575426" displayName="Table5356575426" ref="Q2:R27" totalsRowShown="0">
  <autoFilter ref="Q2:R27"/>
  <tableColumns count="2">
    <tableColumn id="1" name="Column1"/>
    <tableColumn id="2" name="Column2"/>
  </tableColumns>
  <tableStyleInfo name="TableStyleLight4" showFirstColumn="0" showLastColumn="0" showRowStripes="1" showColumnStripes="0"/>
</table>
</file>

<file path=xl/tables/table11.xml><?xml version="1.0" encoding="utf-8"?>
<table xmlns="http://schemas.openxmlformats.org/spreadsheetml/2006/main" id="11" name="Table535657542612" displayName="Table535657542612" ref="Q29:R35" totalsRowShown="0">
  <autoFilter ref="Q29:R35"/>
  <tableColumns count="2">
    <tableColumn id="1" name="Column1"/>
    <tableColumn id="2" name="Column2"/>
  </tableColumns>
  <tableStyleInfo name="TableStyleLight4" showFirstColumn="0" showLastColumn="0" showRowStripes="1" showColumnStripes="0"/>
</table>
</file>

<file path=xl/tables/table12.xml><?xml version="1.0" encoding="utf-8"?>
<table xmlns="http://schemas.openxmlformats.org/spreadsheetml/2006/main" id="12" name="Table53565754261213" displayName="Table53565754261213" ref="Q37:R43" totalsRowShown="0">
  <autoFilter ref="Q37:R43"/>
  <tableColumns count="2">
    <tableColumn id="1" name="Column1"/>
    <tableColumn id="2" name="Column2"/>
  </tableColumns>
  <tableStyleInfo name="TableStyleLight4" showFirstColumn="0" showLastColumn="0" showRowStripes="1" showColumnStripes="0"/>
</table>
</file>

<file path=xl/tables/table13.xml><?xml version="1.0" encoding="utf-8"?>
<table xmlns="http://schemas.openxmlformats.org/spreadsheetml/2006/main" id="14" name="Table53565754261215" displayName="Table53565754261215" ref="Q45:R57" totalsRowShown="0">
  <autoFilter ref="Q45:R57"/>
  <tableColumns count="2">
    <tableColumn id="1" name="Column1"/>
    <tableColumn id="2" name="Column2"/>
  </tableColumns>
  <tableStyleInfo name="TableStyleLight4" showFirstColumn="0" showLastColumn="0" showRowStripes="1" showColumnStripes="0"/>
</table>
</file>

<file path=xl/tables/table14.xml><?xml version="1.0" encoding="utf-8"?>
<table xmlns="http://schemas.openxmlformats.org/spreadsheetml/2006/main" id="15" name="Table53565754261216" displayName="Table53565754261216" ref="Q59:R65" totalsRowShown="0">
  <autoFilter ref="Q59:R65"/>
  <tableColumns count="2">
    <tableColumn id="1" name="Column1"/>
    <tableColumn id="2" name="Column2"/>
  </tableColumns>
  <tableStyleInfo name="TableStyleLight4" showFirstColumn="0" showLastColumn="0" showRowStripes="1" showColumnStripes="0"/>
</table>
</file>

<file path=xl/tables/table15.xml><?xml version="1.0" encoding="utf-8"?>
<table xmlns="http://schemas.openxmlformats.org/spreadsheetml/2006/main" id="13" name="TableAvailabilities" displayName="TableAvailabilities" ref="A3:E44" totalsRowShown="0">
  <autoFilter ref="A3:E44"/>
  <tableColumns count="5">
    <tableColumn id="1" name="Row Labels"/>
    <tableColumn id="2" name="OpenUnis SP 1"/>
    <tableColumn id="3" name="OpenUnis SP 2"/>
    <tableColumn id="4" name="OpenUnis SP 3"/>
    <tableColumn id="5" name="OpenUnis SP 4"/>
  </tableColumns>
  <tableStyleInfo name="TableStyleLight7" showFirstColumn="0" showLastColumn="0" showRowStripes="1" showColumnStripes="0"/>
</table>
</file>

<file path=xl/tables/table2.xml><?xml version="1.0" encoding="utf-8"?>
<table xmlns="http://schemas.openxmlformats.org/spreadsheetml/2006/main" id="4" name="TableStudyPeriod" displayName="TableStudyPeriod" ref="A11:E15" totalsRowShown="0" dataDxfId="94">
  <autoFilter ref="A11:E15"/>
  <tableColumns count="5">
    <tableColumn id="1" name="Choose your commencing study period (drop-down list)" dataDxfId="93"/>
    <tableColumn id="2" name="START" dataDxfId="92"/>
    <tableColumn id="3" name="Next" dataDxfId="91"/>
    <tableColumn id="4" name="Next2" dataDxfId="90"/>
    <tableColumn id="5" name="Next3" dataDxfId="89"/>
  </tableColumns>
  <tableStyleInfo name="TableStyleLight8" showFirstColumn="0" showLastColumn="0" showRowStripes="1" showColumnStripes="0"/>
</table>
</file>

<file path=xl/tables/table3.xml><?xml version="1.0" encoding="utf-8"?>
<table xmlns="http://schemas.openxmlformats.org/spreadsheetml/2006/main" id="5" name="TableSpecialisations" displayName="TableSpecialisations" ref="A18:F22" totalsRowShown="0" dataDxfId="88">
  <autoFilter ref="A18:F22"/>
  <tableColumns count="6">
    <tableColumn id="1" name="Choose your Specialisation (drop-down list)" dataDxfId="87"/>
    <tableColumn id="2" name="UDC" dataDxfId="86"/>
    <tableColumn id="3" name="Version" dataDxfId="85"/>
    <tableColumn id="4" name="Credit Points" dataDxfId="84"/>
    <tableColumn id="5" name="Effective Date" dataDxfId="83"/>
    <tableColumn id="6" name="Akari Update" dataDxfId="82"/>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P65" totalsRowShown="0" headerRowDxfId="80" dataDxfId="78" headerRowBorderDxfId="79" tableBorderDxfId="77">
  <autoFilter ref="A3:P65"/>
  <sortState ref="A4:P66">
    <sortCondition ref="A3:A66"/>
  </sortState>
  <tableColumns count="16">
    <tableColumn id="1" name="UDC" dataDxfId="76"/>
    <tableColumn id="2" name="Ver" dataDxfId="75"/>
    <tableColumn id="3" name="OUA Cd" dataDxfId="74"/>
    <tableColumn id="4" name="Title" dataDxfId="73"/>
    <tableColumn id="5" name="Credits" dataDxfId="72"/>
    <tableColumn id="6" name="Pre-reqs" dataDxfId="71"/>
    <tableColumn id="12" name="SP1" dataDxfId="70">
      <calculatedColumnFormula>IFERROR(IF(VLOOKUP(TableHandbook[[#This Row],[UDC]],TableAvailabilities[],2,FALSE)&gt;0,"Y",""),"")</calculatedColumnFormula>
    </tableColumn>
    <tableColumn id="13" name="SP2" dataDxfId="69"/>
    <tableColumn id="14" name="SP3" dataDxfId="68">
      <calculatedColumnFormula>IFERROR(IF(VLOOKUP(TableHandbook[[#This Row],[UDC]],TableAvailabilities[],4,FALSE)&gt;0,"Y",""),"")</calculatedColumnFormula>
    </tableColumn>
    <tableColumn id="15" name="SP4" dataDxfId="67">
      <calculatedColumnFormula>IFERROR(IF(VLOOKUP(TableHandbook[[#This Row],[UDC]],TableAvailabilities[],5,FALSE)&gt;0,"Y",""),"")</calculatedColumnFormula>
    </tableColumn>
    <tableColumn id="16" name="Notes" dataDxfId="66"/>
    <tableColumn id="8" name="OB-ARCH" dataDxfId="65">
      <calculatedColumnFormula>IFERROR(VLOOKUP(TableHandbook[[#This Row],[UDC]],TableOBARCH[],7,FALSE),"")</calculatedColumnFormula>
    </tableColumn>
    <tableColumn id="9" name="OSCU-ANGAD" dataDxfId="64">
      <calculatedColumnFormula>IFERROR(VLOOKUP(TableHandbook[[#This Row],[UDC]],TableOSCUANGAD[],7,FALSE),"")</calculatedColumnFormula>
    </tableColumn>
    <tableColumn id="10" name="OSCU-CONMS" dataDxfId="63">
      <calculatedColumnFormula>IFERROR(VLOOKUP(TableHandbook[[#This Row],[UDC]],TableOSCUCONMS[],7,FALSE),"")</calculatedColumnFormula>
    </tableColumn>
    <tableColumn id="20" name="OSCU-INARS" dataDxfId="62">
      <calculatedColumnFormula>IFERROR(VLOOKUP(TableHandbook[[#This Row],[UDC]],TableOSCUINARS[],7,FALSE),"")</calculatedColumnFormula>
    </tableColumn>
    <tableColumn id="21" name="OSCU-PLGEO" dataDxfId="61">
      <calculatedColumnFormula>IFERROR(VLOOKUP(TableHandbook[[#This Row],[UDC]],TableOSCUPLGEO[],7,FALSE),"")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OBARCH" displayName="TableOBARCH" ref="A2:O27" totalsRowShown="0">
  <autoFilter ref="A2:O27"/>
  <sortState ref="U3:AL6">
    <sortCondition ref="AI2:AI6"/>
  </sortState>
  <tableColumns count="15">
    <tableColumn id="1" name="UDC" dataDxfId="50">
      <calculatedColumnFormula>TableOBARCH[[#This Row],[Study Package Code]]</calculatedColumnFormula>
    </tableColumn>
    <tableColumn id="9" name="V" dataDxfId="49">
      <calculatedColumnFormula>TableOBARCH[[#This Row],[Ver]]</calculatedColumnFormula>
    </tableColumn>
    <tableColumn id="10" name="OUA Code" dataDxfId="48">
      <calculatedColumnFormula>LEFT(TableOBARCH[[#This Row],[Structure Line]],(FIND(" ",TableOBARCH[[#This Row],[Structure Line]],1)-1))</calculatedColumnFormula>
    </tableColumn>
    <tableColumn id="11" name="Unit Title" dataDxfId="47">
      <calculatedColumnFormula>MID(TableOBARCH[[#This Row],[Structure Line]],FIND(" ",TableOBARCH[[#This Row],[Structure Line]])+1,256)</calculatedColumnFormula>
    </tableColumn>
    <tableColumn id="12" name="CPs" dataDxfId="46">
      <calculatedColumnFormula>TableOBARCH[[#This Row],[Credit Points]]</calculatedColumnFormula>
    </tableColumn>
    <tableColumn id="13"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6.xml><?xml version="1.0" encoding="utf-8"?>
<table xmlns="http://schemas.openxmlformats.org/spreadsheetml/2006/main" id="6" name="TableOSCUANGAD" displayName="TableOSCUANGAD" ref="A29:O35" totalsRowShown="0">
  <autoFilter ref="A29:O35"/>
  <sortState ref="U11:AL18">
    <sortCondition ref="AH10:AH18"/>
  </sortState>
  <tableColumns count="15">
    <tableColumn id="1" name="UDC" dataDxfId="35">
      <calculatedColumnFormula>TableOSCUANGAD[[#This Row],[Study Package Code]]</calculatedColumnFormula>
    </tableColumn>
    <tableColumn id="9" name="V" dataDxfId="34">
      <calculatedColumnFormula>TableOSCUANGAD[[#This Row],[Ver]]</calculatedColumnFormula>
    </tableColumn>
    <tableColumn id="10" name="OUA Code" dataDxfId="33">
      <calculatedColumnFormula>LEFT(TableOSCUANGAD[[#This Row],[Structure Line]],(FIND(" ",TableOSCUANGAD[[#This Row],[Structure Line]],1)-1))</calculatedColumnFormula>
    </tableColumn>
    <tableColumn id="11" name="Unit Title" dataDxfId="32">
      <calculatedColumnFormula>TableOSCUANGAD[[#This Row],[Structure Line]]</calculatedColumnFormula>
    </tableColumn>
    <tableColumn id="12" name="CPs" dataDxfId="31">
      <calculatedColumnFormula>TableOSCUANGAD[[#This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0"/>
    <tableColumn id="15" name="Discont." dataDxfId="29"/>
  </tableColumns>
  <tableStyleInfo name="TableStyleLight1" showFirstColumn="0" showLastColumn="0" showRowStripes="1" showColumnStripes="0"/>
</table>
</file>

<file path=xl/tables/table7.xml><?xml version="1.0" encoding="utf-8"?>
<table xmlns="http://schemas.openxmlformats.org/spreadsheetml/2006/main" id="7" name="TableOSCUINARS" displayName="TableOSCUINARS" ref="A45:O57" totalsRowShown="0">
  <autoFilter ref="A45:O57"/>
  <sortState ref="A46:N53">
    <sortCondition ref="F45:F53"/>
  </sortState>
  <tableColumns count="15">
    <tableColumn id="1" name="UDC" dataDxfId="28">
      <calculatedColumnFormula>TableOSCUINARS[[#This Row],[Study Package Code]]</calculatedColumnFormula>
    </tableColumn>
    <tableColumn id="9" name="V" dataDxfId="27">
      <calculatedColumnFormula>TableOSCUINARS[[#This Row],[Ver]]</calculatedColumnFormula>
    </tableColumn>
    <tableColumn id="10" name="OUA Code" dataDxfId="26">
      <calculatedColumnFormula>LEFT(TableOSCUINARS[[#This Row],[Structure Line]],(FIND(" ",TableOSCUINARS[[#This Row],[Structure Line]],1)-1))</calculatedColumnFormula>
    </tableColumn>
    <tableColumn id="11" name="Unit Title" dataDxfId="25">
      <calculatedColumnFormula>MID(TableOSCUINARS[[#This Row],[Structure Line]],FIND(" ",TableOSCUINARS[[#This Row],[Structure Line]])+1,256)</calculatedColumnFormula>
    </tableColumn>
    <tableColumn id="12" name="CPs" dataDxfId="24">
      <calculatedColumnFormula>TableOSCUINARS[[#This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3"/>
    <tableColumn id="15" name="Discont." dataDxfId="22"/>
  </tableColumns>
  <tableStyleInfo name="TableStyleLight1" showFirstColumn="0" showLastColumn="0" showRowStripes="1" showColumnStripes="0"/>
</table>
</file>

<file path=xl/tables/table8.xml><?xml version="1.0" encoding="utf-8"?>
<table xmlns="http://schemas.openxmlformats.org/spreadsheetml/2006/main" id="9" name="TableOSCUPLGEO" displayName="TableOSCUPLGEO" ref="A59:O65" totalsRowShown="0">
  <autoFilter ref="A59:O65"/>
  <sortState ref="A54:M59">
    <sortCondition descending="1" ref="G48:G54"/>
  </sortState>
  <tableColumns count="15">
    <tableColumn id="1" name="UDC" dataDxfId="21">
      <calculatedColumnFormula>TableOSCUPLGEO[[#This Row],[Study Package Code]]</calculatedColumnFormula>
    </tableColumn>
    <tableColumn id="9" name="V" dataDxfId="20">
      <calculatedColumnFormula>TableOSCUPLGEO[[#This Row],[Ver]]</calculatedColumnFormula>
    </tableColumn>
    <tableColumn id="10" name="OUA Code" dataDxfId="19">
      <calculatedColumnFormula>LEFT(TableOSCUPLGEO[[#This Row],[Structure Line]],(FIND(" ",TableOSCUPLGEO[[#This Row],[Structure Line]],1)-1))</calculatedColumnFormula>
    </tableColumn>
    <tableColumn id="11" name="Unit Title" dataDxfId="18">
      <calculatedColumnFormula>MID(TableOSCUPLGEO[[#This Row],[Structure Line]],FIND(" ",TableOSCUPLGEO[[#This Row],[Structure Line]])+1,256)</calculatedColumnFormula>
    </tableColumn>
    <tableColumn id="12" name="CPs" dataDxfId="17">
      <calculatedColumnFormula>TableOSCUPLGEO[[#This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6"/>
    <tableColumn id="15" name="Discont." dataDxfId="15"/>
  </tableColumns>
  <tableStyleInfo name="TableStyleLight1" showFirstColumn="0" showLastColumn="0" showRowStripes="1" showColumnStripes="0"/>
</table>
</file>

<file path=xl/tables/table9.xml><?xml version="1.0" encoding="utf-8"?>
<table xmlns="http://schemas.openxmlformats.org/spreadsheetml/2006/main" id="10" name="TableOSCUCONMS" displayName="TableOSCUCONMS" ref="A37:O43" totalsRowShown="0">
  <autoFilter ref="A37:O43"/>
  <sortState ref="A38:N43">
    <sortCondition ref="F37:F43"/>
  </sortState>
  <tableColumns count="15">
    <tableColumn id="1" name="UDC" dataDxfId="14">
      <calculatedColumnFormula>TableOSCUCONMS[[#This Row],[Study Package Code]]</calculatedColumnFormula>
    </tableColumn>
    <tableColumn id="9" name="V" dataDxfId="13">
      <calculatedColumnFormula>TableOSCUCONMS[[#This Row],[Ver]]</calculatedColumnFormula>
    </tableColumn>
    <tableColumn id="10" name="OUA Code" dataDxfId="12">
      <calculatedColumnFormula>LEFT(TableOSCUCONMS[[#This Row],[Structure Line]],(FIND(" ",TableOSCUCONMS[[#This Row],[Structure Line]],1)-1))</calculatedColumnFormula>
    </tableColumn>
    <tableColumn id="11" name="Unit Title" dataDxfId="11">
      <calculatedColumnFormula>MID(TableOSCUCONMS[[#This Row],[Structure Line]],FIND(" ",TableOSCUCONMS[[#This Row],[Structure Line]])+1,256)</calculatedColumnFormula>
    </tableColumn>
    <tableColumn id="12" name="CPs" dataDxfId="10">
      <calculatedColumnFormula>TableOSCUCONMS[[#This Row],[Credit Points]]</calculatedColumnFormula>
    </tableColumn>
    <tableColumn id="13"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showGridLines="0" tabSelected="1" topLeftCell="A3" zoomScaleNormal="100" workbookViewId="0">
      <selection activeCell="D6" sqref="D6"/>
    </sheetView>
  </sheetViews>
  <sheetFormatPr defaultRowHeight="15" x14ac:dyDescent="0.25"/>
  <cols>
    <col min="1" max="1" width="11.75" style="115" customWidth="1"/>
    <col min="2" max="2" width="3.25" style="115" customWidth="1"/>
    <col min="3" max="3" width="8" style="115" customWidth="1"/>
    <col min="4" max="4" width="56" style="105" customWidth="1"/>
    <col min="5" max="5" width="7.5" style="105" customWidth="1"/>
    <col min="6" max="6" width="24" style="105" customWidth="1"/>
    <col min="7" max="7" width="5.625" style="105" customWidth="1"/>
    <col min="8" max="11" width="4.625" style="105" customWidth="1"/>
    <col min="12" max="12" width="15.625" style="105" customWidth="1"/>
    <col min="13" max="13" width="2.5" style="105" hidden="1" customWidth="1"/>
    <col min="14" max="16384" width="9" style="105"/>
  </cols>
  <sheetData>
    <row r="1" spans="1:16" hidden="1" x14ac:dyDescent="0.25">
      <c r="A1" s="101" t="s">
        <v>0</v>
      </c>
      <c r="B1" s="102" t="s">
        <v>1</v>
      </c>
      <c r="C1" s="102" t="s">
        <v>2</v>
      </c>
      <c r="D1" s="103" t="s">
        <v>3</v>
      </c>
      <c r="E1" s="103"/>
      <c r="F1" s="103" t="s">
        <v>4</v>
      </c>
      <c r="G1" s="103" t="s">
        <v>5</v>
      </c>
      <c r="H1" s="104" t="s">
        <v>6</v>
      </c>
      <c r="I1" s="103"/>
      <c r="J1" s="103"/>
      <c r="K1" s="103"/>
      <c r="L1" s="103" t="s">
        <v>7</v>
      </c>
    </row>
    <row r="2" spans="1:16" hidden="1" x14ac:dyDescent="0.25">
      <c r="A2" s="106"/>
      <c r="B2" s="107">
        <v>2</v>
      </c>
      <c r="C2" s="107">
        <v>3</v>
      </c>
      <c r="D2" s="107">
        <v>4</v>
      </c>
      <c r="E2" s="107"/>
      <c r="F2" s="107">
        <v>6</v>
      </c>
      <c r="G2" s="107">
        <v>5</v>
      </c>
      <c r="H2" s="107">
        <v>7</v>
      </c>
      <c r="I2" s="107">
        <v>8</v>
      </c>
      <c r="J2" s="107">
        <v>9</v>
      </c>
      <c r="K2" s="107">
        <v>10</v>
      </c>
      <c r="L2" s="108"/>
    </row>
    <row r="3" spans="1:16" ht="39.950000000000003" customHeight="1" x14ac:dyDescent="0.25">
      <c r="A3" s="109" t="s">
        <v>8</v>
      </c>
      <c r="B3" s="109"/>
      <c r="C3" s="109"/>
      <c r="D3" s="109"/>
      <c r="E3" s="110"/>
      <c r="F3" s="110"/>
      <c r="G3" s="110"/>
      <c r="H3" s="110"/>
      <c r="I3" s="110"/>
      <c r="J3" s="110"/>
      <c r="K3" s="110"/>
      <c r="L3" s="110"/>
    </row>
    <row r="4" spans="1:16" ht="25.5" x14ac:dyDescent="0.25">
      <c r="A4" s="111" t="s">
        <v>9</v>
      </c>
      <c r="B4" s="112"/>
      <c r="C4" s="112"/>
      <c r="D4" s="113"/>
      <c r="E4" s="113"/>
      <c r="F4" s="112"/>
      <c r="G4" s="114"/>
      <c r="H4" s="114"/>
      <c r="I4" s="114"/>
      <c r="J4" s="114"/>
      <c r="K4" s="114"/>
      <c r="L4" s="114"/>
    </row>
    <row r="5" spans="1:16" ht="20.100000000000001" customHeight="1" x14ac:dyDescent="0.25">
      <c r="B5" s="116"/>
      <c r="C5" s="117" t="s">
        <v>10</v>
      </c>
      <c r="D5" s="118" t="s">
        <v>11</v>
      </c>
      <c r="E5" s="119"/>
      <c r="F5" s="117" t="s">
        <v>12</v>
      </c>
      <c r="G5" s="119" t="str">
        <f>IFERROR(CONCATENATE(VLOOKUP(D5,TableCourses[],2,FALSE)," ",VLOOKUP(D5,TableCourses[],3,FALSE)),"")</f>
        <v>OB-ARCH v.3</v>
      </c>
      <c r="H5" s="119"/>
      <c r="I5" s="119"/>
      <c r="J5" s="119"/>
      <c r="K5" s="119"/>
      <c r="L5" s="120" t="e">
        <f>CONCATENATE(VLOOKUP(D6,TableSpecialisations[],2,FALSE),VLOOKUP(D7,TableStudyPeriod[],2,FALSE))</f>
        <v>#N/A</v>
      </c>
    </row>
    <row r="6" spans="1:16" ht="20.100000000000001" customHeight="1" x14ac:dyDescent="0.25">
      <c r="B6" s="116"/>
      <c r="C6" s="117" t="s">
        <v>13</v>
      </c>
      <c r="D6" s="202" t="s">
        <v>99</v>
      </c>
      <c r="E6" s="119"/>
      <c r="F6" s="117" t="s">
        <v>15</v>
      </c>
      <c r="G6" s="119" t="str">
        <f>IFERROR(CONCATENATE(VLOOKUP(D6,TableSpecialisations[],2,FALSE)," ",VLOOKUP(D6,TableSpecialisations[],3,FALSE)),"")</f>
        <v/>
      </c>
      <c r="H6" s="119"/>
      <c r="I6" s="119"/>
      <c r="J6" s="119"/>
      <c r="K6" s="119"/>
      <c r="L6" s="120" t="e">
        <f>VLOOKUP($D$6,TableSpecialisations[],2,FALSE)</f>
        <v>#N/A</v>
      </c>
    </row>
    <row r="7" spans="1:16" ht="20.100000000000001" customHeight="1" x14ac:dyDescent="0.25">
      <c r="A7" s="121"/>
      <c r="B7" s="122"/>
      <c r="C7" s="117" t="s">
        <v>16</v>
      </c>
      <c r="D7" s="203" t="s">
        <v>80</v>
      </c>
      <c r="E7" s="123"/>
      <c r="F7" s="117" t="s">
        <v>18</v>
      </c>
      <c r="G7" s="119" t="str">
        <f>IFERROR(VLOOKUP($D$5,TableCourses[],4,FALSE),"")</f>
        <v>600 credit points required</v>
      </c>
      <c r="H7" s="124"/>
      <c r="I7" s="124"/>
      <c r="J7" s="124"/>
      <c r="K7" s="124"/>
      <c r="L7" s="125"/>
    </row>
    <row r="8" spans="1:16" s="133" customFormat="1" ht="14.1" customHeight="1" x14ac:dyDescent="0.25">
      <c r="A8" s="126"/>
      <c r="B8" s="126"/>
      <c r="C8" s="126"/>
      <c r="D8" s="127"/>
      <c r="E8" s="128"/>
      <c r="F8" s="126"/>
      <c r="G8" s="126"/>
      <c r="H8" s="129" t="s">
        <v>19</v>
      </c>
      <c r="I8" s="130"/>
      <c r="J8" s="130"/>
      <c r="K8" s="131"/>
      <c r="L8" s="128"/>
      <c r="M8" s="132"/>
      <c r="N8" s="132"/>
      <c r="O8" s="132"/>
    </row>
    <row r="9" spans="1:16" s="133" customFormat="1" ht="21" x14ac:dyDescent="0.25">
      <c r="A9" s="126" t="s">
        <v>20</v>
      </c>
      <c r="B9" s="126"/>
      <c r="C9" s="126"/>
      <c r="D9" s="134" t="s">
        <v>3</v>
      </c>
      <c r="E9" s="135" t="s">
        <v>21</v>
      </c>
      <c r="F9" s="126" t="s">
        <v>22</v>
      </c>
      <c r="G9" s="126" t="s">
        <v>23</v>
      </c>
      <c r="H9" s="136" t="s">
        <v>24</v>
      </c>
      <c r="I9" s="135" t="s">
        <v>25</v>
      </c>
      <c r="J9" s="135" t="s">
        <v>26</v>
      </c>
      <c r="K9" s="137" t="s">
        <v>27</v>
      </c>
      <c r="L9" s="126" t="s">
        <v>28</v>
      </c>
      <c r="M9" s="132"/>
      <c r="N9" s="132"/>
      <c r="O9" s="132"/>
    </row>
    <row r="10" spans="1:16" s="146" customFormat="1" ht="20.100000000000001" customHeight="1" x14ac:dyDescent="0.15">
      <c r="A10" s="138" t="str">
        <f>IFERROR(IF(HLOOKUP($L$5,RangeUnitsets,M10,FALSE)=0,"",HLOOKUP($L$5,RangeUnitsets,M10,FALSE)),"")</f>
        <v/>
      </c>
      <c r="B10" s="139" t="str">
        <f>IFERROR(IF(VLOOKUP($A10,TableHandbook[],2,FALSE)=0,"",VLOOKUP($A10,TableHandbook[],2,FALSE)),"")</f>
        <v/>
      </c>
      <c r="C10" s="139" t="str">
        <f>IFERROR(IF(VLOOKUP($A10,TableHandbook[],3,FALSE)=0,"",VLOOKUP($A10,TableHandbook[],3,FALSE)),"")</f>
        <v/>
      </c>
      <c r="D10" s="140" t="str">
        <f>IFERROR(IF(VLOOKUP($A10,TableHandbook[],4,FALSE)=0,"",VLOOKUP($A10,TableHandbook[],4,FALSE)),"")</f>
        <v/>
      </c>
      <c r="E10" s="139" t="str">
        <f>IF(A10="","",VLOOKUP($D$7,TableStudyPeriod[],2,FALSE))</f>
        <v/>
      </c>
      <c r="F10" s="141" t="str">
        <f>IFERROR(IF(VLOOKUP($A10,TableHandbook[],6,FALSE)=0,"",VLOOKUP($A10,TableHandbook[],6,FALSE)),"")</f>
        <v/>
      </c>
      <c r="G10" s="139" t="str">
        <f>IFERROR(IF(VLOOKUP($A10,TableHandbook[],5,FALSE)=0,"",VLOOKUP($A10,TableHandbook[],5,FALSE)),"")</f>
        <v/>
      </c>
      <c r="H10" s="142" t="str">
        <f>IFERROR(VLOOKUP($A10,TableHandbook[],H$2,FALSE),"")</f>
        <v/>
      </c>
      <c r="I10" s="139" t="str">
        <f>IFERROR(VLOOKUP($A10,TableHandbook[],I$2,FALSE),"")</f>
        <v/>
      </c>
      <c r="J10" s="139" t="str">
        <f>IFERROR(VLOOKUP($A10,TableHandbook[],J$2,FALSE),"")</f>
        <v/>
      </c>
      <c r="K10" s="143" t="str">
        <f>IFERROR(VLOOKUP($A10,TableHandbook[],K$2,FALSE),"")</f>
        <v/>
      </c>
      <c r="L10" s="31"/>
      <c r="M10" s="144">
        <v>2</v>
      </c>
      <c r="N10" s="145"/>
      <c r="O10" s="145"/>
    </row>
    <row r="11" spans="1:16" s="146" customFormat="1" ht="20.100000000000001" customHeight="1" x14ac:dyDescent="0.15">
      <c r="A11" s="138" t="str">
        <f>IFERROR(IF(HLOOKUP($L$5,RangeUnitsets,M11,FALSE)=0,"",HLOOKUP($L$5,RangeUnitsets,M11,FALSE)),"")</f>
        <v/>
      </c>
      <c r="B11" s="139" t="str">
        <f>IFERROR(IF(VLOOKUP($A11,TableHandbook[],2,FALSE)=0,"",VLOOKUP($A11,TableHandbook[],2,FALSE)),"")</f>
        <v/>
      </c>
      <c r="C11" s="139" t="str">
        <f>IFERROR(IF(VLOOKUP($A11,TableHandbook[],3,FALSE)=0,"",VLOOKUP($A11,TableHandbook[],3,FALSE)),"")</f>
        <v/>
      </c>
      <c r="D11" s="140" t="str">
        <f>IFERROR(IF(VLOOKUP($A11,TableHandbook[],4,FALSE)=0,"",VLOOKUP($A11,TableHandbook[],4,FALSE)),"")</f>
        <v/>
      </c>
      <c r="E11" s="139" t="str">
        <f>IF(A11="","",E10)</f>
        <v/>
      </c>
      <c r="F11" s="141" t="str">
        <f>IFERROR(IF(VLOOKUP($A11,TableHandbook[],6,FALSE)=0,"",VLOOKUP($A11,TableHandbook[],6,FALSE)),"")</f>
        <v/>
      </c>
      <c r="G11" s="139" t="str">
        <f>IFERROR(IF(VLOOKUP($A11,TableHandbook[],5,FALSE)=0,"",VLOOKUP($A11,TableHandbook[],5,FALSE)),"")</f>
        <v/>
      </c>
      <c r="H11" s="142" t="str">
        <f>IFERROR(VLOOKUP($A11,TableHandbook[],H$2,FALSE),"")</f>
        <v/>
      </c>
      <c r="I11" s="139" t="str">
        <f>IFERROR(VLOOKUP($A11,TableHandbook[],I$2,FALSE),"")</f>
        <v/>
      </c>
      <c r="J11" s="139" t="str">
        <f>IFERROR(VLOOKUP($A11,TableHandbook[],J$2,FALSE),"")</f>
        <v/>
      </c>
      <c r="K11" s="143" t="str">
        <f>IFERROR(VLOOKUP($A11,TableHandbook[],K$2,FALSE),"")</f>
        <v/>
      </c>
      <c r="L11" s="31"/>
      <c r="M11" s="144">
        <v>3</v>
      </c>
      <c r="N11" s="145"/>
      <c r="O11" s="145"/>
    </row>
    <row r="12" spans="1:16" s="146" customFormat="1" ht="5.0999999999999996" customHeight="1" x14ac:dyDescent="0.15">
      <c r="A12" s="147"/>
      <c r="B12" s="148"/>
      <c r="C12" s="148"/>
      <c r="D12" s="149"/>
      <c r="E12" s="148"/>
      <c r="F12" s="150"/>
      <c r="G12" s="148"/>
      <c r="H12" s="151"/>
      <c r="I12" s="148"/>
      <c r="J12" s="148"/>
      <c r="K12" s="152"/>
      <c r="L12" s="100"/>
      <c r="M12" s="144"/>
      <c r="N12" s="145"/>
      <c r="O12" s="145"/>
      <c r="P12" s="145"/>
    </row>
    <row r="13" spans="1:16" s="146" customFormat="1" ht="20.100000000000001" customHeight="1" x14ac:dyDescent="0.15">
      <c r="A13" s="138" t="str">
        <f>IFERROR(IF(HLOOKUP($L$5,RangeUnitsets,M13,FALSE)=0,"",HLOOKUP($L$5,RangeUnitsets,M13,FALSE)),"")</f>
        <v/>
      </c>
      <c r="B13" s="139" t="str">
        <f>IFERROR(IF(VLOOKUP($A13,TableHandbook[],2,FALSE)=0,"",VLOOKUP($A13,TableHandbook[],2,FALSE)),"")</f>
        <v/>
      </c>
      <c r="C13" s="139" t="str">
        <f>IFERROR(IF(VLOOKUP($A13,TableHandbook[],3,FALSE)=0,"",VLOOKUP($A13,TableHandbook[],3,FALSE)),"")</f>
        <v/>
      </c>
      <c r="D13" s="140" t="str">
        <f>IFERROR(IF(VLOOKUP($A13,TableHandbook[],4,FALSE)=0,"",VLOOKUP($A13,TableHandbook[],4,FALSE)),"")</f>
        <v/>
      </c>
      <c r="E13" s="139" t="str">
        <f>IF(A13="","",VLOOKUP($D$7,TableStudyPeriod[],3,FALSE))</f>
        <v/>
      </c>
      <c r="F13" s="141" t="str">
        <f>IFERROR(IF(VLOOKUP($A13,TableHandbook[],6,FALSE)=0,"",VLOOKUP($A13,TableHandbook[],6,FALSE)),"")</f>
        <v/>
      </c>
      <c r="G13" s="139" t="str">
        <f>IFERROR(IF(VLOOKUP($A13,TableHandbook[],5,FALSE)=0,"",VLOOKUP($A13,TableHandbook[],5,FALSE)),"")</f>
        <v/>
      </c>
      <c r="H13" s="142" t="str">
        <f>IFERROR(VLOOKUP($A13,TableHandbook[],H$2,FALSE),"")</f>
        <v/>
      </c>
      <c r="I13" s="139" t="str">
        <f>IFERROR(VLOOKUP($A13,TableHandbook[],I$2,FALSE),"")</f>
        <v/>
      </c>
      <c r="J13" s="139" t="str">
        <f>IFERROR(VLOOKUP($A13,TableHandbook[],J$2,FALSE),"")</f>
        <v/>
      </c>
      <c r="K13" s="143" t="str">
        <f>IFERROR(VLOOKUP($A13,TableHandbook[],K$2,FALSE),"")</f>
        <v/>
      </c>
      <c r="L13" s="32"/>
      <c r="M13" s="144">
        <v>4</v>
      </c>
      <c r="N13" s="145"/>
      <c r="O13" s="145"/>
    </row>
    <row r="14" spans="1:16" s="146" customFormat="1" ht="20.100000000000001" customHeight="1" x14ac:dyDescent="0.15">
      <c r="A14" s="138" t="str">
        <f>IFERROR(IF(HLOOKUP($L$5,RangeUnitsets,M14,FALSE)=0,"",HLOOKUP($L$5,RangeUnitsets,M14,FALSE)),"")</f>
        <v/>
      </c>
      <c r="B14" s="139" t="str">
        <f>IFERROR(IF(VLOOKUP($A14,TableHandbook[],2,FALSE)=0,"",VLOOKUP($A14,TableHandbook[],2,FALSE)),"")</f>
        <v/>
      </c>
      <c r="C14" s="139" t="str">
        <f>IFERROR(IF(VLOOKUP($A14,TableHandbook[],3,FALSE)=0,"",VLOOKUP($A14,TableHandbook[],3,FALSE)),"")</f>
        <v/>
      </c>
      <c r="D14" s="140" t="str">
        <f>IFERROR(IF(VLOOKUP($A14,TableHandbook[],4,FALSE)=0,"",VLOOKUP($A14,TableHandbook[],4,FALSE)),"")</f>
        <v/>
      </c>
      <c r="E14" s="139" t="str">
        <f>IF(A14="","",E13)</f>
        <v/>
      </c>
      <c r="F14" s="141" t="str">
        <f>IFERROR(IF(VLOOKUP($A14,TableHandbook[],6,FALSE)=0,"",VLOOKUP($A14,TableHandbook[],6,FALSE)),"")</f>
        <v/>
      </c>
      <c r="G14" s="139" t="str">
        <f>IFERROR(IF(VLOOKUP($A14,TableHandbook[],5,FALSE)=0,"",VLOOKUP($A14,TableHandbook[],5,FALSE)),"")</f>
        <v/>
      </c>
      <c r="H14" s="142" t="str">
        <f>IFERROR(VLOOKUP($A14,TableHandbook[],H$2,FALSE),"")</f>
        <v/>
      </c>
      <c r="I14" s="139" t="str">
        <f>IFERROR(VLOOKUP($A14,TableHandbook[],I$2,FALSE),"")</f>
        <v/>
      </c>
      <c r="J14" s="139" t="str">
        <f>IFERROR(VLOOKUP($A14,TableHandbook[],J$2,FALSE),"")</f>
        <v/>
      </c>
      <c r="K14" s="143" t="str">
        <f>IFERROR(VLOOKUP($A14,TableHandbook[],K$2,FALSE),"")</f>
        <v/>
      </c>
      <c r="L14" s="31"/>
      <c r="M14" s="144">
        <v>5</v>
      </c>
      <c r="N14" s="145"/>
      <c r="O14" s="145"/>
    </row>
    <row r="15" spans="1:16" s="146" customFormat="1" ht="5.0999999999999996" customHeight="1" x14ac:dyDescent="0.15">
      <c r="A15" s="147"/>
      <c r="B15" s="148"/>
      <c r="C15" s="148"/>
      <c r="D15" s="149"/>
      <c r="E15" s="148"/>
      <c r="F15" s="150"/>
      <c r="G15" s="148"/>
      <c r="H15" s="151"/>
      <c r="I15" s="148"/>
      <c r="J15" s="148"/>
      <c r="K15" s="152"/>
      <c r="L15" s="100"/>
      <c r="M15" s="144"/>
      <c r="N15" s="145"/>
      <c r="O15" s="145"/>
      <c r="P15" s="145"/>
    </row>
    <row r="16" spans="1:16" s="146" customFormat="1" ht="20.100000000000001" customHeight="1" x14ac:dyDescent="0.15">
      <c r="A16" s="138" t="str">
        <f>IFERROR(IF(HLOOKUP($L$5,RangeUnitsets,M16,FALSE)=0,"",HLOOKUP($L$5,RangeUnitsets,M16,FALSE)),"")</f>
        <v/>
      </c>
      <c r="B16" s="153" t="str">
        <f>IFERROR(IF(VLOOKUP($A16,TableHandbook[],2,FALSE)=0,"",VLOOKUP($A16,TableHandbook[],2,FALSE)),"")</f>
        <v/>
      </c>
      <c r="C16" s="153" t="str">
        <f>IFERROR(IF(VLOOKUP($A16,TableHandbook[],3,FALSE)=0,"",VLOOKUP($A16,TableHandbook[],3,FALSE)),"")</f>
        <v/>
      </c>
      <c r="D16" s="140" t="str">
        <f>IFERROR(IF(VLOOKUP($A16,TableHandbook[],4,FALSE)=0,"",VLOOKUP($A16,TableHandbook[],4,FALSE)),"")</f>
        <v/>
      </c>
      <c r="E16" s="139" t="str">
        <f>IF(A16="","",VLOOKUP($D$7,TableStudyPeriod[],4,FALSE))</f>
        <v/>
      </c>
      <c r="F16" s="141" t="str">
        <f>IFERROR(IF(VLOOKUP($A16,TableHandbook[],6,FALSE)=0,"",VLOOKUP($A16,TableHandbook[],6,FALSE)),"")</f>
        <v/>
      </c>
      <c r="G16" s="153" t="str">
        <f>IFERROR(IF(VLOOKUP($A16,TableHandbook[],5,FALSE)=0,"",VLOOKUP($A16,TableHandbook[],5,FALSE)),"")</f>
        <v/>
      </c>
      <c r="H16" s="154" t="str">
        <f>IFERROR(VLOOKUP($A16,TableHandbook[],H$2,FALSE),"")</f>
        <v/>
      </c>
      <c r="I16" s="153" t="str">
        <f>IFERROR(VLOOKUP($A16,TableHandbook[],I$2,FALSE),"")</f>
        <v/>
      </c>
      <c r="J16" s="153" t="str">
        <f>IFERROR(VLOOKUP($A16,TableHandbook[],J$2,FALSE),"")</f>
        <v/>
      </c>
      <c r="K16" s="155" t="str">
        <f>IFERROR(VLOOKUP($A16,TableHandbook[],K$2,FALSE),"")</f>
        <v/>
      </c>
      <c r="L16" s="32"/>
      <c r="M16" s="144">
        <v>6</v>
      </c>
      <c r="N16" s="145"/>
      <c r="O16" s="145"/>
    </row>
    <row r="17" spans="1:16" s="157" customFormat="1" ht="20.100000000000001" customHeight="1" x14ac:dyDescent="0.15">
      <c r="A17" s="138" t="str">
        <f>IFERROR(IF(HLOOKUP($L$5,RangeUnitsets,M17,FALSE)=0,"",HLOOKUP($L$5,RangeUnitsets,M17,FALSE)),"")</f>
        <v/>
      </c>
      <c r="B17" s="153" t="str">
        <f>IFERROR(IF(VLOOKUP($A17,TableHandbook[],2,FALSE)=0,"",VLOOKUP($A17,TableHandbook[],2,FALSE)),"")</f>
        <v/>
      </c>
      <c r="C17" s="153" t="str">
        <f>IFERROR(IF(VLOOKUP($A17,TableHandbook[],3,FALSE)=0,"",VLOOKUP($A17,TableHandbook[],3,FALSE)),"")</f>
        <v/>
      </c>
      <c r="D17" s="140" t="str">
        <f>IFERROR(IF(VLOOKUP($A17,TableHandbook[],4,FALSE)=0,"",VLOOKUP($A17,TableHandbook[],4,FALSE)),"")</f>
        <v/>
      </c>
      <c r="E17" s="139" t="str">
        <f>IF(A17="","",E16)</f>
        <v/>
      </c>
      <c r="F17" s="141" t="str">
        <f>IFERROR(IF(VLOOKUP($A17,TableHandbook[],6,FALSE)=0,"",VLOOKUP($A17,TableHandbook[],6,FALSE)),"")</f>
        <v/>
      </c>
      <c r="G17" s="153" t="str">
        <f>IFERROR(IF(VLOOKUP($A17,TableHandbook[],5,FALSE)=0,"",VLOOKUP($A17,TableHandbook[],5,FALSE)),"")</f>
        <v/>
      </c>
      <c r="H17" s="154" t="str">
        <f>IFERROR(VLOOKUP($A17,TableHandbook[],H$2,FALSE),"")</f>
        <v/>
      </c>
      <c r="I17" s="153" t="str">
        <f>IFERROR(VLOOKUP($A17,TableHandbook[],I$2,FALSE),"")</f>
        <v/>
      </c>
      <c r="J17" s="153" t="str">
        <f>IFERROR(VLOOKUP($A17,TableHandbook[],J$2,FALSE),"")</f>
        <v/>
      </c>
      <c r="K17" s="155" t="str">
        <f>IFERROR(VLOOKUP($A17,TableHandbook[],K$2,FALSE),"")</f>
        <v/>
      </c>
      <c r="L17" s="32"/>
      <c r="M17" s="144">
        <v>7</v>
      </c>
      <c r="N17" s="156"/>
      <c r="O17" s="156"/>
    </row>
    <row r="18" spans="1:16" s="146" customFormat="1" ht="5.0999999999999996" customHeight="1" x14ac:dyDescent="0.15">
      <c r="A18" s="147"/>
      <c r="B18" s="148"/>
      <c r="C18" s="148"/>
      <c r="D18" s="149"/>
      <c r="E18" s="148"/>
      <c r="F18" s="150"/>
      <c r="G18" s="148"/>
      <c r="H18" s="151"/>
      <c r="I18" s="148"/>
      <c r="J18" s="148"/>
      <c r="K18" s="152"/>
      <c r="L18" s="100"/>
      <c r="M18" s="144"/>
      <c r="N18" s="145"/>
      <c r="O18" s="145"/>
      <c r="P18" s="145"/>
    </row>
    <row r="19" spans="1:16" s="157" customFormat="1" ht="20.100000000000001" customHeight="1" x14ac:dyDescent="0.15">
      <c r="A19" s="138" t="str">
        <f>IFERROR(IF(HLOOKUP($L$5,RangeUnitsets,M19,FALSE)=0,"",HLOOKUP($L$5,RangeUnitsets,M19,FALSE)),"")</f>
        <v/>
      </c>
      <c r="B19" s="153" t="str">
        <f>IFERROR(IF(VLOOKUP($A19,TableHandbook[],2,FALSE)=0,"",VLOOKUP($A19,TableHandbook[],2,FALSE)),"")</f>
        <v/>
      </c>
      <c r="C19" s="153" t="str">
        <f>IFERROR(IF(VLOOKUP($A19,TableHandbook[],3,FALSE)=0,"",VLOOKUP($A19,TableHandbook[],3,FALSE)),"")</f>
        <v/>
      </c>
      <c r="D19" s="140" t="str">
        <f>IFERROR(IF(VLOOKUP($A19,TableHandbook[],4,FALSE)=0,"",VLOOKUP($A19,TableHandbook[],4,FALSE)),"")</f>
        <v/>
      </c>
      <c r="E19" s="139" t="str">
        <f>IF(A19="","",VLOOKUP($D$7,TableStudyPeriod[],5,FALSE))</f>
        <v/>
      </c>
      <c r="F19" s="141" t="str">
        <f>IFERROR(IF(VLOOKUP($A19,TableHandbook[],6,FALSE)=0,"",VLOOKUP($A19,TableHandbook[],6,FALSE)),"")</f>
        <v/>
      </c>
      <c r="G19" s="153" t="str">
        <f>IFERROR(IF(VLOOKUP($A19,TableHandbook[],5,FALSE)=0,"",VLOOKUP($A19,TableHandbook[],5,FALSE)),"")</f>
        <v/>
      </c>
      <c r="H19" s="154" t="str">
        <f>IFERROR(VLOOKUP($A19,TableHandbook[],H$2,FALSE),"")</f>
        <v/>
      </c>
      <c r="I19" s="153" t="str">
        <f>IFERROR(VLOOKUP($A19,TableHandbook[],I$2,FALSE),"")</f>
        <v/>
      </c>
      <c r="J19" s="153" t="str">
        <f>IFERROR(VLOOKUP($A19,TableHandbook[],J$2,FALSE),"")</f>
        <v/>
      </c>
      <c r="K19" s="155" t="str">
        <f>IFERROR(VLOOKUP($A19,TableHandbook[],K$2,FALSE),"")</f>
        <v/>
      </c>
      <c r="L19" s="32"/>
      <c r="M19" s="144">
        <v>8</v>
      </c>
      <c r="N19" s="156"/>
      <c r="O19" s="156"/>
    </row>
    <row r="20" spans="1:16" s="157" customFormat="1" ht="20.100000000000001" customHeight="1" x14ac:dyDescent="0.15">
      <c r="A20" s="138" t="str">
        <f>IFERROR(IF(HLOOKUP($L$5,RangeUnitsets,M20,FALSE)=0,"",HLOOKUP($L$5,RangeUnitsets,M20,FALSE)),"")</f>
        <v/>
      </c>
      <c r="B20" s="153" t="str">
        <f>IFERROR(IF(VLOOKUP($A20,TableHandbook[],2,FALSE)=0,"",VLOOKUP($A20,TableHandbook[],2,FALSE)),"")</f>
        <v/>
      </c>
      <c r="C20" s="153" t="str">
        <f>IFERROR(IF(VLOOKUP($A20,TableHandbook[],3,FALSE)=0,"",VLOOKUP($A20,TableHandbook[],3,FALSE)),"")</f>
        <v/>
      </c>
      <c r="D20" s="158" t="str">
        <f>IFERROR(IF(VLOOKUP($A20,TableHandbook[],4,FALSE)=0,"",VLOOKUP($A20,TableHandbook[],4,FALSE)),"")</f>
        <v/>
      </c>
      <c r="E20" s="153" t="str">
        <f>IF(A20="","",E19)</f>
        <v/>
      </c>
      <c r="F20" s="141" t="str">
        <f>IFERROR(IF(VLOOKUP($A20,TableHandbook[],6,FALSE)=0,"",VLOOKUP($A20,TableHandbook[],6,FALSE)),"")</f>
        <v/>
      </c>
      <c r="G20" s="153" t="str">
        <f>IFERROR(IF(VLOOKUP($A20,TableHandbook[],5,FALSE)=0,"",VLOOKUP($A20,TableHandbook[],5,FALSE)),"")</f>
        <v/>
      </c>
      <c r="H20" s="154" t="str">
        <f>IFERROR(VLOOKUP($A20,TableHandbook[],H$2,FALSE),"")</f>
        <v/>
      </c>
      <c r="I20" s="153" t="str">
        <f>IFERROR(VLOOKUP($A20,TableHandbook[],I$2,FALSE),"")</f>
        <v/>
      </c>
      <c r="J20" s="153" t="str">
        <f>IFERROR(VLOOKUP($A20,TableHandbook[],J$2,FALSE),"")</f>
        <v/>
      </c>
      <c r="K20" s="155" t="str">
        <f>IFERROR(VLOOKUP($A20,TableHandbook[],K$2,FALSE),"")</f>
        <v/>
      </c>
      <c r="L20" s="32"/>
      <c r="M20" s="144">
        <v>9</v>
      </c>
      <c r="N20" s="156"/>
      <c r="O20" s="156"/>
    </row>
    <row r="21" spans="1:16" s="133" customFormat="1" ht="21" x14ac:dyDescent="0.25">
      <c r="A21" s="126" t="s">
        <v>29</v>
      </c>
      <c r="B21" s="126"/>
      <c r="C21" s="126"/>
      <c r="D21" s="134" t="s">
        <v>3</v>
      </c>
      <c r="E21" s="135" t="s">
        <v>21</v>
      </c>
      <c r="F21" s="126" t="s">
        <v>22</v>
      </c>
      <c r="G21" s="126" t="s">
        <v>23</v>
      </c>
      <c r="H21" s="136" t="s">
        <v>24</v>
      </c>
      <c r="I21" s="135" t="s">
        <v>25</v>
      </c>
      <c r="J21" s="135" t="s">
        <v>26</v>
      </c>
      <c r="K21" s="137" t="s">
        <v>27</v>
      </c>
      <c r="L21" s="126" t="s">
        <v>28</v>
      </c>
      <c r="M21" s="159"/>
      <c r="N21" s="132"/>
      <c r="O21" s="132"/>
    </row>
    <row r="22" spans="1:16" s="146" customFormat="1" ht="20.100000000000001" customHeight="1" x14ac:dyDescent="0.15">
      <c r="A22" s="138" t="str">
        <f>IFERROR(IF(HLOOKUP($L$5,RangeUnitsets,M22,FALSE)=0,"",HLOOKUP($L$5,RangeUnitsets,M22,FALSE)),"")</f>
        <v/>
      </c>
      <c r="B22" s="153" t="str">
        <f>IFERROR(IF(VLOOKUP($A22,TableHandbook[],2,FALSE)=0,"",VLOOKUP($A22,TableHandbook[],2,FALSE)),"")</f>
        <v/>
      </c>
      <c r="C22" s="153" t="str">
        <f>IFERROR(IF(VLOOKUP($A22,TableHandbook[],3,FALSE)=0,"",VLOOKUP($A22,TableHandbook[],3,FALSE)),"")</f>
        <v/>
      </c>
      <c r="D22" s="160" t="str">
        <f>IFERROR(IF(VLOOKUP($A22,TableHandbook[],4,FALSE)=0,"",VLOOKUP($A22,TableHandbook[],4,FALSE)),"")</f>
        <v/>
      </c>
      <c r="E22" s="153" t="str">
        <f>IF(A22="","",VLOOKUP($D$7,TableStudyPeriod[],2,FALSE))</f>
        <v/>
      </c>
      <c r="F22" s="141" t="str">
        <f>IFERROR(IF(VLOOKUP($A22,TableHandbook[],6,FALSE)=0,"",VLOOKUP($A22,TableHandbook[],6,FALSE)),"")</f>
        <v/>
      </c>
      <c r="G22" s="139" t="str">
        <f>IFERROR(IF(VLOOKUP($A22,TableHandbook[],5,FALSE)=0,"",VLOOKUP($A22,TableHandbook[],5,FALSE)),"")</f>
        <v/>
      </c>
      <c r="H22" s="142" t="str">
        <f>IFERROR(VLOOKUP($A22,TableHandbook[],H$2,FALSE),"")</f>
        <v/>
      </c>
      <c r="I22" s="139" t="str">
        <f>IFERROR(VLOOKUP($A22,TableHandbook[],I$2,FALSE),"")</f>
        <v/>
      </c>
      <c r="J22" s="139" t="str">
        <f>IFERROR(VLOOKUP($A22,TableHandbook[],J$2,FALSE),"")</f>
        <v/>
      </c>
      <c r="K22" s="143" t="str">
        <f>IFERROR(VLOOKUP($A22,TableHandbook[],K$2,FALSE),"")</f>
        <v/>
      </c>
      <c r="L22" s="31"/>
      <c r="M22" s="144">
        <v>10</v>
      </c>
      <c r="N22" s="145"/>
      <c r="O22" s="145"/>
    </row>
    <row r="23" spans="1:16" s="146" customFormat="1" ht="20.100000000000001" customHeight="1" x14ac:dyDescent="0.15">
      <c r="A23" s="138" t="str">
        <f>IFERROR(IF(HLOOKUP($L$5,RangeUnitsets,M23,FALSE)=0,"",HLOOKUP($L$5,RangeUnitsets,M23,FALSE)),"")</f>
        <v/>
      </c>
      <c r="B23" s="153" t="str">
        <f>IFERROR(IF(VLOOKUP($A23,TableHandbook[],2,FALSE)=0,"",VLOOKUP($A23,TableHandbook[],2,FALSE)),"")</f>
        <v/>
      </c>
      <c r="C23" s="153" t="str">
        <f>IFERROR(IF(VLOOKUP($A23,TableHandbook[],3,FALSE)=0,"",VLOOKUP($A23,TableHandbook[],3,FALSE)),"")</f>
        <v/>
      </c>
      <c r="D23" s="158" t="str">
        <f>IFERROR(IF(VLOOKUP($A23,TableHandbook[],4,FALSE)=0,"",VLOOKUP($A23,TableHandbook[],4,FALSE)),"")</f>
        <v/>
      </c>
      <c r="E23" s="153" t="str">
        <f>IF(A23="","",E22)</f>
        <v/>
      </c>
      <c r="F23" s="141" t="str">
        <f>IFERROR(IF(VLOOKUP($A23,TableHandbook[],6,FALSE)=0,"",VLOOKUP($A23,TableHandbook[],6,FALSE)),"")</f>
        <v/>
      </c>
      <c r="G23" s="139" t="str">
        <f>IFERROR(IF(VLOOKUP($A23,TableHandbook[],5,FALSE)=0,"",VLOOKUP($A23,TableHandbook[],5,FALSE)),"")</f>
        <v/>
      </c>
      <c r="H23" s="142" t="str">
        <f>IFERROR(VLOOKUP($A23,TableHandbook[],H$2,FALSE),"")</f>
        <v/>
      </c>
      <c r="I23" s="139" t="str">
        <f>IFERROR(VLOOKUP($A23,TableHandbook[],I$2,FALSE),"")</f>
        <v/>
      </c>
      <c r="J23" s="139" t="str">
        <f>IFERROR(VLOOKUP($A23,TableHandbook[],J$2,FALSE),"")</f>
        <v/>
      </c>
      <c r="K23" s="143" t="str">
        <f>IFERROR(VLOOKUP($A23,TableHandbook[],K$2,FALSE),"")</f>
        <v/>
      </c>
      <c r="L23" s="31"/>
      <c r="M23" s="144">
        <v>11</v>
      </c>
      <c r="N23" s="145"/>
      <c r="O23" s="145"/>
    </row>
    <row r="24" spans="1:16" s="146" customFormat="1" ht="5.0999999999999996" customHeight="1" x14ac:dyDescent="0.15">
      <c r="A24" s="147"/>
      <c r="B24" s="148"/>
      <c r="C24" s="148"/>
      <c r="D24" s="149"/>
      <c r="E24" s="148"/>
      <c r="F24" s="150"/>
      <c r="G24" s="148"/>
      <c r="H24" s="151"/>
      <c r="I24" s="148"/>
      <c r="J24" s="148"/>
      <c r="K24" s="152"/>
      <c r="L24" s="100"/>
      <c r="M24" s="144"/>
      <c r="N24" s="145"/>
      <c r="O24" s="145"/>
      <c r="P24" s="145"/>
    </row>
    <row r="25" spans="1:16" s="146" customFormat="1" ht="20.100000000000001" customHeight="1" x14ac:dyDescent="0.15">
      <c r="A25" s="138" t="str">
        <f>IFERROR(IF(HLOOKUP($L$5,RangeUnitsets,M25,FALSE)=0,"",HLOOKUP($L$5,RangeUnitsets,M25,FALSE)),"")</f>
        <v/>
      </c>
      <c r="B25" s="153" t="str">
        <f>IFERROR(IF(VLOOKUP($A25,TableHandbook[],2,FALSE)=0,"",VLOOKUP($A25,TableHandbook[],2,FALSE)),"")</f>
        <v/>
      </c>
      <c r="C25" s="153" t="str">
        <f>IFERROR(IF(VLOOKUP($A25,TableHandbook[],3,FALSE)=0,"",VLOOKUP($A25,TableHandbook[],3,FALSE)),"")</f>
        <v/>
      </c>
      <c r="D25" s="158" t="str">
        <f>IFERROR(IF(VLOOKUP($A25,TableHandbook[],4,FALSE)=0,"",VLOOKUP($A25,TableHandbook[],4,FALSE)),"")</f>
        <v/>
      </c>
      <c r="E25" s="153" t="str">
        <f>IF(A25="","",VLOOKUP($D$7,TableStudyPeriod[],3,FALSE))</f>
        <v/>
      </c>
      <c r="F25" s="141" t="str">
        <f>IFERROR(IF(VLOOKUP($A25,TableHandbook[],6,FALSE)=0,"",VLOOKUP($A25,TableHandbook[],6,FALSE)),"")</f>
        <v/>
      </c>
      <c r="G25" s="139" t="str">
        <f>IFERROR(IF(VLOOKUP($A25,TableHandbook[],5,FALSE)=0,"",VLOOKUP($A25,TableHandbook[],5,FALSE)),"")</f>
        <v/>
      </c>
      <c r="H25" s="142" t="str">
        <f>IFERROR(VLOOKUP($A25,TableHandbook[],H$2,FALSE),"")</f>
        <v/>
      </c>
      <c r="I25" s="139" t="str">
        <f>IFERROR(VLOOKUP($A25,TableHandbook[],I$2,FALSE),"")</f>
        <v/>
      </c>
      <c r="J25" s="139" t="str">
        <f>IFERROR(VLOOKUP($A25,TableHandbook[],J$2,FALSE),"")</f>
        <v/>
      </c>
      <c r="K25" s="143" t="str">
        <f>IFERROR(VLOOKUP($A25,TableHandbook[],K$2,FALSE),"")</f>
        <v/>
      </c>
      <c r="L25" s="31"/>
      <c r="M25" s="144">
        <v>12</v>
      </c>
      <c r="N25" s="145"/>
      <c r="O25" s="145"/>
    </row>
    <row r="26" spans="1:16" s="146" customFormat="1" ht="20.100000000000001" customHeight="1" x14ac:dyDescent="0.15">
      <c r="A26" s="138" t="str">
        <f>IFERROR(IF(HLOOKUP($L$5,RangeUnitsets,M26,FALSE)=0,"",HLOOKUP($L$5,RangeUnitsets,M26,FALSE)),"")</f>
        <v/>
      </c>
      <c r="B26" s="153" t="str">
        <f>IFERROR(IF(VLOOKUP($A26,TableHandbook[],2,FALSE)=0,"",VLOOKUP($A26,TableHandbook[],2,FALSE)),"")</f>
        <v/>
      </c>
      <c r="C26" s="153" t="str">
        <f>IFERROR(IF(VLOOKUP($A26,TableHandbook[],3,FALSE)=0,"",VLOOKUP($A26,TableHandbook[],3,FALSE)),"")</f>
        <v/>
      </c>
      <c r="D26" s="158" t="str">
        <f>IFERROR(IF(VLOOKUP($A26,TableHandbook[],4,FALSE)=0,"",VLOOKUP($A26,TableHandbook[],4,FALSE)),"")</f>
        <v/>
      </c>
      <c r="E26" s="153" t="str">
        <f>IF(A26="","",E25)</f>
        <v/>
      </c>
      <c r="F26" s="141" t="str">
        <f>IFERROR(IF(VLOOKUP($A26,TableHandbook[],6,FALSE)=0,"",VLOOKUP($A26,TableHandbook[],6,FALSE)),"")</f>
        <v/>
      </c>
      <c r="G26" s="139" t="str">
        <f>IFERROR(IF(VLOOKUP($A26,TableHandbook[],5,FALSE)=0,"",VLOOKUP($A26,TableHandbook[],5,FALSE)),"")</f>
        <v/>
      </c>
      <c r="H26" s="142" t="str">
        <f>IFERROR(VLOOKUP($A26,TableHandbook[],H$2,FALSE),"")</f>
        <v/>
      </c>
      <c r="I26" s="139" t="str">
        <f>IFERROR(VLOOKUP($A26,TableHandbook[],I$2,FALSE),"")</f>
        <v/>
      </c>
      <c r="J26" s="139" t="str">
        <f>IFERROR(VLOOKUP($A26,TableHandbook[],J$2,FALSE),"")</f>
        <v/>
      </c>
      <c r="K26" s="143" t="str">
        <f>IFERROR(VLOOKUP($A26,TableHandbook[],K$2,FALSE),"")</f>
        <v/>
      </c>
      <c r="L26" s="31"/>
      <c r="M26" s="144">
        <v>13</v>
      </c>
      <c r="N26" s="145"/>
      <c r="O26" s="145"/>
    </row>
    <row r="27" spans="1:16" s="146" customFormat="1" ht="5.0999999999999996" customHeight="1" x14ac:dyDescent="0.15">
      <c r="A27" s="147"/>
      <c r="B27" s="148"/>
      <c r="C27" s="148"/>
      <c r="D27" s="149"/>
      <c r="E27" s="148"/>
      <c r="F27" s="150"/>
      <c r="G27" s="148"/>
      <c r="H27" s="151"/>
      <c r="I27" s="148"/>
      <c r="J27" s="148"/>
      <c r="K27" s="152"/>
      <c r="L27" s="100"/>
      <c r="M27" s="144"/>
      <c r="N27" s="145"/>
      <c r="O27" s="145"/>
      <c r="P27" s="145"/>
    </row>
    <row r="28" spans="1:16" s="146" customFormat="1" ht="20.100000000000001" customHeight="1" x14ac:dyDescent="0.15">
      <c r="A28" s="138" t="str">
        <f>IFERROR(IF(HLOOKUP($L$5,RangeUnitsets,M28,FALSE)=0,"",HLOOKUP($L$5,RangeUnitsets,M28,FALSE)),"")</f>
        <v/>
      </c>
      <c r="B28" s="153" t="str">
        <f>IFERROR(IF(VLOOKUP($A28,TableHandbook[],2,FALSE)=0,"",VLOOKUP($A28,TableHandbook[],2,FALSE)),"")</f>
        <v/>
      </c>
      <c r="C28" s="153" t="str">
        <f>IFERROR(IF(VLOOKUP($A28,TableHandbook[],3,FALSE)=0,"",VLOOKUP($A28,TableHandbook[],3,FALSE)),"")</f>
        <v/>
      </c>
      <c r="D28" s="158" t="str">
        <f>IFERROR(IF(VLOOKUP($A28,TableHandbook[],4,FALSE)=0,"",VLOOKUP($A28,TableHandbook[],4,FALSE)),"")</f>
        <v/>
      </c>
      <c r="E28" s="153" t="str">
        <f>IF(A28="","",VLOOKUP($D$7,TableStudyPeriod[],4,FALSE))</f>
        <v/>
      </c>
      <c r="F28" s="141" t="str">
        <f>IFERROR(IF(VLOOKUP($A28,TableHandbook[],6,FALSE)=0,"",VLOOKUP($A28,TableHandbook[],6,FALSE)),"")</f>
        <v/>
      </c>
      <c r="G28" s="139" t="str">
        <f>IFERROR(IF(VLOOKUP($A28,TableHandbook[],5,FALSE)=0,"",VLOOKUP($A28,TableHandbook[],5,FALSE)),"")</f>
        <v/>
      </c>
      <c r="H28" s="142" t="str">
        <f>IFERROR(VLOOKUP($A28,TableHandbook[],H$2,FALSE),"")</f>
        <v/>
      </c>
      <c r="I28" s="139" t="str">
        <f>IFERROR(VLOOKUP($A28,TableHandbook[],I$2,FALSE),"")</f>
        <v/>
      </c>
      <c r="J28" s="139" t="str">
        <f>IFERROR(VLOOKUP($A28,TableHandbook[],J$2,FALSE),"")</f>
        <v/>
      </c>
      <c r="K28" s="143" t="str">
        <f>IFERROR(VLOOKUP($A28,TableHandbook[],K$2,FALSE),"")</f>
        <v/>
      </c>
      <c r="L28" s="31"/>
      <c r="M28" s="144">
        <v>14</v>
      </c>
      <c r="N28" s="145"/>
      <c r="O28" s="145"/>
    </row>
    <row r="29" spans="1:16" s="146" customFormat="1" ht="20.100000000000001" customHeight="1" x14ac:dyDescent="0.15">
      <c r="A29" s="138" t="str">
        <f>IFERROR(IF(HLOOKUP($L$5,RangeUnitsets,M29,FALSE)=0,"",HLOOKUP($L$5,RangeUnitsets,M29,FALSE)),"")</f>
        <v/>
      </c>
      <c r="B29" s="153" t="str">
        <f>IFERROR(IF(VLOOKUP($A29,TableHandbook[],2,FALSE)=0,"",VLOOKUP($A29,TableHandbook[],2,FALSE)),"")</f>
        <v/>
      </c>
      <c r="C29" s="153" t="str">
        <f>IFERROR(IF(VLOOKUP($A29,TableHandbook[],3,FALSE)=0,"",VLOOKUP($A29,TableHandbook[],3,FALSE)),"")</f>
        <v/>
      </c>
      <c r="D29" s="158" t="str">
        <f>IFERROR(IF(VLOOKUP($A29,TableHandbook[],4,FALSE)=0,"",VLOOKUP($A29,TableHandbook[],4,FALSE)),"")</f>
        <v/>
      </c>
      <c r="E29" s="153" t="str">
        <f>IF(A29="","",E28)</f>
        <v/>
      </c>
      <c r="F29" s="141" t="str">
        <f>IFERROR(IF(VLOOKUP($A29,TableHandbook[],6,FALSE)=0,"",VLOOKUP($A29,TableHandbook[],6,FALSE)),"")</f>
        <v/>
      </c>
      <c r="G29" s="139" t="str">
        <f>IFERROR(IF(VLOOKUP($A29,TableHandbook[],5,FALSE)=0,"",VLOOKUP($A29,TableHandbook[],5,FALSE)),"")</f>
        <v/>
      </c>
      <c r="H29" s="142" t="str">
        <f>IFERROR(VLOOKUP($A29,TableHandbook[],H$2,FALSE),"")</f>
        <v/>
      </c>
      <c r="I29" s="139" t="str">
        <f>IFERROR(VLOOKUP($A29,TableHandbook[],I$2,FALSE),"")</f>
        <v/>
      </c>
      <c r="J29" s="139" t="str">
        <f>IFERROR(VLOOKUP($A29,TableHandbook[],J$2,FALSE),"")</f>
        <v/>
      </c>
      <c r="K29" s="143" t="str">
        <f>IFERROR(VLOOKUP($A29,TableHandbook[],K$2,FALSE),"")</f>
        <v/>
      </c>
      <c r="L29" s="31"/>
      <c r="M29" s="144">
        <v>15</v>
      </c>
      <c r="N29" s="145"/>
      <c r="O29" s="145"/>
    </row>
    <row r="30" spans="1:16" s="146" customFormat="1" ht="5.0999999999999996" customHeight="1" x14ac:dyDescent="0.15">
      <c r="A30" s="147"/>
      <c r="B30" s="148"/>
      <c r="C30" s="148"/>
      <c r="D30" s="149"/>
      <c r="E30" s="148"/>
      <c r="F30" s="150"/>
      <c r="G30" s="148"/>
      <c r="H30" s="151"/>
      <c r="I30" s="148"/>
      <c r="J30" s="148"/>
      <c r="K30" s="152"/>
      <c r="L30" s="100"/>
      <c r="M30" s="144"/>
      <c r="N30" s="145"/>
      <c r="O30" s="145"/>
      <c r="P30" s="145"/>
    </row>
    <row r="31" spans="1:16" s="157" customFormat="1" ht="20.100000000000001" customHeight="1" x14ac:dyDescent="0.15">
      <c r="A31" s="138" t="str">
        <f>IFERROR(IF(HLOOKUP($L$5,RangeUnitsets,M31,FALSE)=0,"",HLOOKUP($L$5,RangeUnitsets,M31,FALSE)),"")</f>
        <v/>
      </c>
      <c r="B31" s="153" t="str">
        <f>IFERROR(IF(VLOOKUP($A31,TableHandbook[],2,FALSE)=0,"",VLOOKUP($A31,TableHandbook[],2,FALSE)),"")</f>
        <v/>
      </c>
      <c r="C31" s="153" t="str">
        <f>IFERROR(IF(VLOOKUP($A31,TableHandbook[],3,FALSE)=0,"",VLOOKUP($A31,TableHandbook[],3,FALSE)),"")</f>
        <v/>
      </c>
      <c r="D31" s="158" t="str">
        <f>IFERROR(IF(VLOOKUP($A31,TableHandbook[],4,FALSE)=0,"",VLOOKUP($A31,TableHandbook[],4,FALSE)),"")</f>
        <v/>
      </c>
      <c r="E31" s="153" t="str">
        <f>IF(A31="","",VLOOKUP($D$7,TableStudyPeriod[],5,FALSE))</f>
        <v/>
      </c>
      <c r="F31" s="141" t="str">
        <f>IFERROR(IF(VLOOKUP($A31,TableHandbook[],6,FALSE)=0,"",VLOOKUP($A31,TableHandbook[],6,FALSE)),"")</f>
        <v/>
      </c>
      <c r="G31" s="139" t="str">
        <f>IFERROR(IF(VLOOKUP($A31,TableHandbook[],5,FALSE)=0,"",VLOOKUP($A31,TableHandbook[],5,FALSE)),"")</f>
        <v/>
      </c>
      <c r="H31" s="142" t="str">
        <f>IFERROR(VLOOKUP($A31,TableHandbook[],H$2,FALSE),"")</f>
        <v/>
      </c>
      <c r="I31" s="139" t="str">
        <f>IFERROR(VLOOKUP($A31,TableHandbook[],I$2,FALSE),"")</f>
        <v/>
      </c>
      <c r="J31" s="139" t="str">
        <f>IFERROR(VLOOKUP($A31,TableHandbook[],J$2,FALSE),"")</f>
        <v/>
      </c>
      <c r="K31" s="143" t="str">
        <f>IFERROR(VLOOKUP($A31,TableHandbook[],K$2,FALSE),"")</f>
        <v/>
      </c>
      <c r="L31" s="31"/>
      <c r="M31" s="144">
        <v>16</v>
      </c>
      <c r="N31" s="156"/>
      <c r="O31" s="156"/>
    </row>
    <row r="32" spans="1:16" s="157" customFormat="1" ht="20.100000000000001" customHeight="1" x14ac:dyDescent="0.15">
      <c r="A32" s="138" t="str">
        <f>IFERROR(IF(HLOOKUP($L$5,RangeUnitsets,M32,FALSE)=0,"",HLOOKUP($L$5,RangeUnitsets,M32,FALSE)),"")</f>
        <v/>
      </c>
      <c r="B32" s="153" t="str">
        <f>IFERROR(IF(VLOOKUP($A32,TableHandbook[],2,FALSE)=0,"",VLOOKUP($A32,TableHandbook[],2,FALSE)),"")</f>
        <v/>
      </c>
      <c r="C32" s="153" t="str">
        <f>IFERROR(IF(VLOOKUP($A32,TableHandbook[],3,FALSE)=0,"",VLOOKUP($A32,TableHandbook[],3,FALSE)),"")</f>
        <v/>
      </c>
      <c r="D32" s="158" t="str">
        <f>IFERROR(IF(VLOOKUP($A32,TableHandbook[],4,FALSE)=0,"",VLOOKUP($A32,TableHandbook[],4,FALSE)),"")</f>
        <v/>
      </c>
      <c r="E32" s="139" t="str">
        <f>IF(A32="","",E31)</f>
        <v/>
      </c>
      <c r="F32" s="141" t="str">
        <f>IFERROR(IF(VLOOKUP($A32,TableHandbook[],6,FALSE)=0,"",VLOOKUP($A32,TableHandbook[],6,FALSE)),"")</f>
        <v/>
      </c>
      <c r="G32" s="139" t="str">
        <f>IFERROR(IF(VLOOKUP($A32,TableHandbook[],5,FALSE)=0,"",VLOOKUP($A32,TableHandbook[],5,FALSE)),"")</f>
        <v/>
      </c>
      <c r="H32" s="142" t="str">
        <f>IFERROR(VLOOKUP($A32,TableHandbook[],H$2,FALSE),"")</f>
        <v/>
      </c>
      <c r="I32" s="139" t="str">
        <f>IFERROR(VLOOKUP($A32,TableHandbook[],I$2,FALSE),"")</f>
        <v/>
      </c>
      <c r="J32" s="139" t="str">
        <f>IFERROR(VLOOKUP($A32,TableHandbook[],J$2,FALSE),"")</f>
        <v/>
      </c>
      <c r="K32" s="143" t="str">
        <f>IFERROR(VLOOKUP($A32,TableHandbook[],K$2,FALSE),"")</f>
        <v/>
      </c>
      <c r="L32" s="31"/>
      <c r="M32" s="144">
        <v>17</v>
      </c>
      <c r="N32" s="156"/>
      <c r="O32" s="156"/>
    </row>
    <row r="33" spans="1:16" s="133" customFormat="1" ht="21" x14ac:dyDescent="0.25">
      <c r="A33" s="126" t="s">
        <v>30</v>
      </c>
      <c r="B33" s="126"/>
      <c r="C33" s="126"/>
      <c r="D33" s="134" t="s">
        <v>3</v>
      </c>
      <c r="E33" s="135" t="s">
        <v>21</v>
      </c>
      <c r="F33" s="126" t="s">
        <v>22</v>
      </c>
      <c r="G33" s="126" t="s">
        <v>23</v>
      </c>
      <c r="H33" s="136" t="s">
        <v>24</v>
      </c>
      <c r="I33" s="135" t="s">
        <v>25</v>
      </c>
      <c r="J33" s="135" t="s">
        <v>26</v>
      </c>
      <c r="K33" s="137" t="s">
        <v>27</v>
      </c>
      <c r="L33" s="126" t="s">
        <v>28</v>
      </c>
      <c r="M33" s="159"/>
      <c r="N33" s="132"/>
      <c r="O33" s="132"/>
    </row>
    <row r="34" spans="1:16" s="146" customFormat="1" ht="20.100000000000001" customHeight="1" x14ac:dyDescent="0.15">
      <c r="A34" s="138" t="str">
        <f>IFERROR(IF(HLOOKUP($L$5,RangeUnitsets,M34,FALSE)=0,"",HLOOKUP($L$5,RangeUnitsets,M34,FALSE)),"")</f>
        <v/>
      </c>
      <c r="B34" s="153" t="str">
        <f>IFERROR(IF(VLOOKUP($A34,TableHandbook[],2,FALSE)=0,"",VLOOKUP($A34,TableHandbook[],2,FALSE)),"")</f>
        <v/>
      </c>
      <c r="C34" s="153" t="str">
        <f>IFERROR(IF(VLOOKUP($A34,TableHandbook[],3,FALSE)=0,"",VLOOKUP($A34,TableHandbook[],3,FALSE)),"")</f>
        <v/>
      </c>
      <c r="D34" s="160" t="str">
        <f>IFERROR(IF(VLOOKUP($A34,TableHandbook[],4,FALSE)=0,"",VLOOKUP($A34,TableHandbook[],4,FALSE)),"")</f>
        <v/>
      </c>
      <c r="E34" s="153" t="str">
        <f>IF(A34="","",VLOOKUP($D$7,TableStudyPeriod[],2,FALSE))</f>
        <v/>
      </c>
      <c r="F34" s="141" t="str">
        <f>IFERROR(IF(VLOOKUP($A34,TableHandbook[],6,FALSE)=0,"",VLOOKUP($A34,TableHandbook[],6,FALSE)),"")</f>
        <v/>
      </c>
      <c r="G34" s="139" t="str">
        <f>IFERROR(IF(VLOOKUP($A34,TableHandbook[],5,FALSE)=0,"",VLOOKUP($A34,TableHandbook[],5,FALSE)),"")</f>
        <v/>
      </c>
      <c r="H34" s="142" t="str">
        <f>IFERROR(VLOOKUP($A34,TableHandbook[],H$2,FALSE),"")</f>
        <v/>
      </c>
      <c r="I34" s="139" t="str">
        <f>IFERROR(VLOOKUP($A34,TableHandbook[],I$2,FALSE),"")</f>
        <v/>
      </c>
      <c r="J34" s="139" t="str">
        <f>IFERROR(VLOOKUP($A34,TableHandbook[],J$2,FALSE),"")</f>
        <v/>
      </c>
      <c r="K34" s="143" t="str">
        <f>IFERROR(VLOOKUP($A34,TableHandbook[],K$2,FALSE),"")</f>
        <v/>
      </c>
      <c r="L34" s="31"/>
      <c r="M34" s="144">
        <v>18</v>
      </c>
      <c r="N34" s="145"/>
      <c r="O34" s="145"/>
    </row>
    <row r="35" spans="1:16" s="146" customFormat="1" ht="20.100000000000001" customHeight="1" x14ac:dyDescent="0.15">
      <c r="A35" s="138" t="str">
        <f>IFERROR(IF(HLOOKUP($L$5,RangeUnitsets,M35,FALSE)=0,"",HLOOKUP($L$5,RangeUnitsets,M35,FALSE)),"")</f>
        <v/>
      </c>
      <c r="B35" s="153" t="str">
        <f>IFERROR(IF(VLOOKUP($A35,TableHandbook[],2,FALSE)=0,"",VLOOKUP($A35,TableHandbook[],2,FALSE)),"")</f>
        <v/>
      </c>
      <c r="C35" s="153" t="str">
        <f>IFERROR(IF(VLOOKUP($A35,TableHandbook[],3,FALSE)=0,"",VLOOKUP($A35,TableHandbook[],3,FALSE)),"")</f>
        <v/>
      </c>
      <c r="D35" s="158" t="str">
        <f>IFERROR(IF(VLOOKUP($A35,TableHandbook[],4,FALSE)=0,"",VLOOKUP($A35,TableHandbook[],4,FALSE)),"")</f>
        <v/>
      </c>
      <c r="E35" s="153" t="str">
        <f>IF(A35="","",E34)</f>
        <v/>
      </c>
      <c r="F35" s="141" t="str">
        <f>IFERROR(IF(VLOOKUP($A35,TableHandbook[],6,FALSE)=0,"",VLOOKUP($A35,TableHandbook[],6,FALSE)),"")</f>
        <v/>
      </c>
      <c r="G35" s="139" t="str">
        <f>IFERROR(IF(VLOOKUP($A35,TableHandbook[],5,FALSE)=0,"",VLOOKUP($A35,TableHandbook[],5,FALSE)),"")</f>
        <v/>
      </c>
      <c r="H35" s="142" t="str">
        <f>IFERROR(VLOOKUP($A35,TableHandbook[],H$2,FALSE),"")</f>
        <v/>
      </c>
      <c r="I35" s="139" t="str">
        <f>IFERROR(VLOOKUP($A35,TableHandbook[],I$2,FALSE),"")</f>
        <v/>
      </c>
      <c r="J35" s="139" t="str">
        <f>IFERROR(VLOOKUP($A35,TableHandbook[],J$2,FALSE),"")</f>
        <v/>
      </c>
      <c r="K35" s="143" t="str">
        <f>IFERROR(VLOOKUP($A35,TableHandbook[],K$2,FALSE),"")</f>
        <v/>
      </c>
      <c r="L35" s="31"/>
      <c r="M35" s="144">
        <v>19</v>
      </c>
      <c r="N35" s="145"/>
      <c r="O35" s="145"/>
    </row>
    <row r="36" spans="1:16" s="146" customFormat="1" ht="5.0999999999999996" customHeight="1" x14ac:dyDescent="0.15">
      <c r="A36" s="147"/>
      <c r="B36" s="148"/>
      <c r="C36" s="148"/>
      <c r="D36" s="149"/>
      <c r="E36" s="148"/>
      <c r="F36" s="150"/>
      <c r="G36" s="148"/>
      <c r="H36" s="151"/>
      <c r="I36" s="148"/>
      <c r="J36" s="148"/>
      <c r="K36" s="152"/>
      <c r="L36" s="100"/>
      <c r="M36" s="144"/>
      <c r="N36" s="145"/>
      <c r="O36" s="145"/>
      <c r="P36" s="145"/>
    </row>
    <row r="37" spans="1:16" s="146" customFormat="1" ht="20.100000000000001" customHeight="1" x14ac:dyDescent="0.15">
      <c r="A37" s="138" t="str">
        <f>IFERROR(IF(HLOOKUP($L$5,RangeUnitsets,M37,FALSE)=0,"",HLOOKUP($L$5,RangeUnitsets,M37,FALSE)),"")</f>
        <v/>
      </c>
      <c r="B37" s="153" t="str">
        <f>IFERROR(IF(VLOOKUP($A37,TableHandbook[],2,FALSE)=0,"",VLOOKUP($A37,TableHandbook[],2,FALSE)),"")</f>
        <v/>
      </c>
      <c r="C37" s="153" t="str">
        <f>IFERROR(IF(VLOOKUP($A37,TableHandbook[],3,FALSE)=0,"",VLOOKUP($A37,TableHandbook[],3,FALSE)),"")</f>
        <v/>
      </c>
      <c r="D37" s="158" t="str">
        <f>IFERROR(IF(VLOOKUP($A37,TableHandbook[],4,FALSE)=0,"",VLOOKUP($A37,TableHandbook[],4,FALSE)),"")</f>
        <v/>
      </c>
      <c r="E37" s="153" t="str">
        <f>IF(A37="","",VLOOKUP($D$7,TableStudyPeriod[],3,FALSE))</f>
        <v/>
      </c>
      <c r="F37" s="141" t="str">
        <f>IFERROR(IF(VLOOKUP($A37,TableHandbook[],6,FALSE)=0,"",VLOOKUP($A37,TableHandbook[],6,FALSE)),"")</f>
        <v/>
      </c>
      <c r="G37" s="139" t="str">
        <f>IFERROR(IF(VLOOKUP($A37,TableHandbook[],5,FALSE)=0,"",VLOOKUP($A37,TableHandbook[],5,FALSE)),"")</f>
        <v/>
      </c>
      <c r="H37" s="142" t="str">
        <f>IFERROR(VLOOKUP($A37,TableHandbook[],H$2,FALSE),"")</f>
        <v/>
      </c>
      <c r="I37" s="139" t="str">
        <f>IFERROR(VLOOKUP($A37,TableHandbook[],I$2,FALSE),"")</f>
        <v/>
      </c>
      <c r="J37" s="139" t="str">
        <f>IFERROR(VLOOKUP($A37,TableHandbook[],J$2,FALSE),"")</f>
        <v/>
      </c>
      <c r="K37" s="143" t="str">
        <f>IFERROR(VLOOKUP($A37,TableHandbook[],K$2,FALSE),"")</f>
        <v/>
      </c>
      <c r="L37" s="31"/>
      <c r="M37" s="144">
        <v>20</v>
      </c>
      <c r="N37" s="145"/>
      <c r="O37" s="145"/>
    </row>
    <row r="38" spans="1:16" s="146" customFormat="1" ht="20.100000000000001" customHeight="1" x14ac:dyDescent="0.15">
      <c r="A38" s="138" t="str">
        <f>IFERROR(IF(HLOOKUP($L$5,RangeUnitsets,M38,FALSE)=0,"",HLOOKUP($L$5,RangeUnitsets,M38,FALSE)),"")</f>
        <v/>
      </c>
      <c r="B38" s="153" t="str">
        <f>IFERROR(IF(VLOOKUP($A38,TableHandbook[],2,FALSE)=0,"",VLOOKUP($A38,TableHandbook[],2,FALSE)),"")</f>
        <v/>
      </c>
      <c r="C38" s="153" t="str">
        <f>IFERROR(IF(VLOOKUP($A38,TableHandbook[],3,FALSE)=0,"",VLOOKUP($A38,TableHandbook[],3,FALSE)),"")</f>
        <v/>
      </c>
      <c r="D38" s="158" t="str">
        <f>IFERROR(IF(VLOOKUP($A38,TableHandbook[],4,FALSE)=0,"",VLOOKUP($A38,TableHandbook[],4,FALSE)),"")</f>
        <v/>
      </c>
      <c r="E38" s="153" t="str">
        <f>IF(A38="","",E37)</f>
        <v/>
      </c>
      <c r="F38" s="141" t="str">
        <f>IFERROR(IF(VLOOKUP($A38,TableHandbook[],6,FALSE)=0,"",VLOOKUP($A38,TableHandbook[],6,FALSE)),"")</f>
        <v/>
      </c>
      <c r="G38" s="139" t="str">
        <f>IFERROR(IF(VLOOKUP($A38,TableHandbook[],5,FALSE)=0,"",VLOOKUP($A38,TableHandbook[],5,FALSE)),"")</f>
        <v/>
      </c>
      <c r="H38" s="142" t="str">
        <f>IFERROR(VLOOKUP($A38,TableHandbook[],H$2,FALSE),"")</f>
        <v/>
      </c>
      <c r="I38" s="139" t="str">
        <f>IFERROR(VLOOKUP($A38,TableHandbook[],I$2,FALSE),"")</f>
        <v/>
      </c>
      <c r="J38" s="139" t="str">
        <f>IFERROR(VLOOKUP($A38,TableHandbook[],J$2,FALSE),"")</f>
        <v/>
      </c>
      <c r="K38" s="143" t="str">
        <f>IFERROR(VLOOKUP($A38,TableHandbook[],K$2,FALSE),"")</f>
        <v/>
      </c>
      <c r="L38" s="31"/>
      <c r="M38" s="144">
        <v>21</v>
      </c>
      <c r="N38" s="145"/>
      <c r="O38" s="145"/>
    </row>
    <row r="39" spans="1:16" s="146" customFormat="1" ht="5.0999999999999996" customHeight="1" x14ac:dyDescent="0.15">
      <c r="A39" s="147"/>
      <c r="B39" s="148"/>
      <c r="C39" s="148"/>
      <c r="D39" s="149"/>
      <c r="E39" s="148"/>
      <c r="F39" s="150"/>
      <c r="G39" s="148"/>
      <c r="H39" s="151"/>
      <c r="I39" s="148"/>
      <c r="J39" s="148"/>
      <c r="K39" s="152"/>
      <c r="L39" s="100"/>
      <c r="M39" s="144"/>
      <c r="N39" s="145"/>
      <c r="O39" s="145"/>
      <c r="P39" s="145"/>
    </row>
    <row r="40" spans="1:16" s="146" customFormat="1" ht="20.100000000000001" customHeight="1" x14ac:dyDescent="0.15">
      <c r="A40" s="138" t="str">
        <f>IFERROR(IF(HLOOKUP($L$5,RangeUnitsets,M40,FALSE)=0,"",HLOOKUP($L$5,RangeUnitsets,M40,FALSE)),"")</f>
        <v/>
      </c>
      <c r="B40" s="153" t="str">
        <f>IFERROR(IF(VLOOKUP($A40,TableHandbook[],2,FALSE)=0,"",VLOOKUP($A40,TableHandbook[],2,FALSE)),"")</f>
        <v/>
      </c>
      <c r="C40" s="153" t="str">
        <f>IFERROR(IF(VLOOKUP($A40,TableHandbook[],3,FALSE)=0,"",VLOOKUP($A40,TableHandbook[],3,FALSE)),"")</f>
        <v/>
      </c>
      <c r="D40" s="158" t="str">
        <f>IFERROR(IF(VLOOKUP($A40,TableHandbook[],4,FALSE)=0,"",VLOOKUP($A40,TableHandbook[],4,FALSE)),"")</f>
        <v/>
      </c>
      <c r="E40" s="153" t="str">
        <f>IF(A40="","",VLOOKUP($D$7,TableStudyPeriod[],4,FALSE))</f>
        <v/>
      </c>
      <c r="F40" s="141" t="str">
        <f>IFERROR(IF(VLOOKUP($A40,TableHandbook[],6,FALSE)=0,"",VLOOKUP($A40,TableHandbook[],6,FALSE)),"")</f>
        <v/>
      </c>
      <c r="G40" s="139" t="str">
        <f>IFERROR(IF(VLOOKUP($A40,TableHandbook[],5,FALSE)=0,"",VLOOKUP($A40,TableHandbook[],5,FALSE)),"")</f>
        <v/>
      </c>
      <c r="H40" s="142" t="str">
        <f>IFERROR(VLOOKUP($A40,TableHandbook[],H$2,FALSE),"")</f>
        <v/>
      </c>
      <c r="I40" s="139" t="str">
        <f>IFERROR(VLOOKUP($A40,TableHandbook[],I$2,FALSE),"")</f>
        <v/>
      </c>
      <c r="J40" s="139" t="str">
        <f>IFERROR(VLOOKUP($A40,TableHandbook[],J$2,FALSE),"")</f>
        <v/>
      </c>
      <c r="K40" s="143" t="str">
        <f>IFERROR(VLOOKUP($A40,TableHandbook[],K$2,FALSE),"")</f>
        <v/>
      </c>
      <c r="L40" s="31"/>
      <c r="M40" s="144">
        <v>22</v>
      </c>
      <c r="N40" s="145"/>
      <c r="O40" s="145"/>
    </row>
    <row r="41" spans="1:16" s="146" customFormat="1" ht="20.100000000000001" customHeight="1" x14ac:dyDescent="0.15">
      <c r="A41" s="138" t="str">
        <f>IFERROR(IF(HLOOKUP($L$5,RangeUnitsets,M41,FALSE)=0,"",HLOOKUP($L$5,RangeUnitsets,M41,FALSE)),"")</f>
        <v/>
      </c>
      <c r="B41" s="153" t="str">
        <f>IFERROR(IF(VLOOKUP($A41,TableHandbook[],2,FALSE)=0,"",VLOOKUP($A41,TableHandbook[],2,FALSE)),"")</f>
        <v/>
      </c>
      <c r="C41" s="153" t="str">
        <f>IFERROR(IF(VLOOKUP($A41,TableHandbook[],3,FALSE)=0,"",VLOOKUP($A41,TableHandbook[],3,FALSE)),"")</f>
        <v/>
      </c>
      <c r="D41" s="158" t="str">
        <f>IFERROR(IF(VLOOKUP($A41,TableHandbook[],4,FALSE)=0,"",VLOOKUP($A41,TableHandbook[],4,FALSE)),"")</f>
        <v/>
      </c>
      <c r="E41" s="153" t="str">
        <f>IF(A41="","",E40)</f>
        <v/>
      </c>
      <c r="F41" s="141" t="str">
        <f>IFERROR(IF(VLOOKUP($A41,TableHandbook[],6,FALSE)=0,"",VLOOKUP($A41,TableHandbook[],6,FALSE)),"")</f>
        <v/>
      </c>
      <c r="G41" s="139" t="str">
        <f>IFERROR(IF(VLOOKUP($A41,TableHandbook[],5,FALSE)=0,"",VLOOKUP($A41,TableHandbook[],5,FALSE)),"")</f>
        <v/>
      </c>
      <c r="H41" s="142" t="str">
        <f>IFERROR(VLOOKUP($A41,TableHandbook[],H$2,FALSE),"")</f>
        <v/>
      </c>
      <c r="I41" s="139" t="str">
        <f>IFERROR(VLOOKUP($A41,TableHandbook[],I$2,FALSE),"")</f>
        <v/>
      </c>
      <c r="J41" s="139" t="str">
        <f>IFERROR(VLOOKUP($A41,TableHandbook[],J$2,FALSE),"")</f>
        <v/>
      </c>
      <c r="K41" s="143" t="str">
        <f>IFERROR(VLOOKUP($A41,TableHandbook[],K$2,FALSE),"")</f>
        <v/>
      </c>
      <c r="L41" s="31"/>
      <c r="M41" s="144">
        <v>23</v>
      </c>
      <c r="N41" s="145"/>
      <c r="O41" s="145"/>
    </row>
    <row r="42" spans="1:16" s="146" customFormat="1" ht="5.0999999999999996" customHeight="1" x14ac:dyDescent="0.15">
      <c r="A42" s="147"/>
      <c r="B42" s="148"/>
      <c r="C42" s="148"/>
      <c r="D42" s="149"/>
      <c r="E42" s="148"/>
      <c r="F42" s="150"/>
      <c r="G42" s="148"/>
      <c r="H42" s="151"/>
      <c r="I42" s="148"/>
      <c r="J42" s="148"/>
      <c r="K42" s="152"/>
      <c r="L42" s="100"/>
      <c r="M42" s="144"/>
      <c r="N42" s="145"/>
      <c r="O42" s="145"/>
      <c r="P42" s="145"/>
    </row>
    <row r="43" spans="1:16" s="157" customFormat="1" ht="20.100000000000001" customHeight="1" x14ac:dyDescent="0.15">
      <c r="A43" s="138" t="str">
        <f>IFERROR(IF(HLOOKUP($L$5,RangeUnitsets,M43,FALSE)=0,"",HLOOKUP($L$5,RangeUnitsets,M43,FALSE)),"")</f>
        <v/>
      </c>
      <c r="B43" s="153" t="str">
        <f>IFERROR(IF(VLOOKUP($A43,TableHandbook[],2,FALSE)=0,"",VLOOKUP($A43,TableHandbook[],2,FALSE)),"")</f>
        <v/>
      </c>
      <c r="C43" s="153" t="str">
        <f>IFERROR(IF(VLOOKUP($A43,TableHandbook[],3,FALSE)=0,"",VLOOKUP($A43,TableHandbook[],3,FALSE)),"")</f>
        <v/>
      </c>
      <c r="D43" s="158" t="str">
        <f>IFERROR(IF(VLOOKUP($A43,TableHandbook[],4,FALSE)=0,"",VLOOKUP($A43,TableHandbook[],4,FALSE)),"")</f>
        <v/>
      </c>
      <c r="E43" s="153" t="str">
        <f>IF(A43="","",VLOOKUP($D$7,TableStudyPeriod[],5,FALSE))</f>
        <v/>
      </c>
      <c r="F43" s="141" t="str">
        <f>IFERROR(IF(VLOOKUP($A43,TableHandbook[],6,FALSE)=0,"",VLOOKUP($A43,TableHandbook[],6,FALSE)),"")</f>
        <v/>
      </c>
      <c r="G43" s="139" t="str">
        <f>IFERROR(IF(VLOOKUP($A43,TableHandbook[],5,FALSE)=0,"",VLOOKUP($A43,TableHandbook[],5,FALSE)),"")</f>
        <v/>
      </c>
      <c r="H43" s="142" t="str">
        <f>IFERROR(VLOOKUP($A43,TableHandbook[],H$2,FALSE),"")</f>
        <v/>
      </c>
      <c r="I43" s="139" t="str">
        <f>IFERROR(VLOOKUP($A43,TableHandbook[],I$2,FALSE),"")</f>
        <v/>
      </c>
      <c r="J43" s="139" t="str">
        <f>IFERROR(VLOOKUP($A43,TableHandbook[],J$2,FALSE),"")</f>
        <v/>
      </c>
      <c r="K43" s="143" t="str">
        <f>IFERROR(VLOOKUP($A43,TableHandbook[],K$2,FALSE),"")</f>
        <v/>
      </c>
      <c r="L43" s="31"/>
      <c r="M43" s="144">
        <v>24</v>
      </c>
      <c r="N43" s="156"/>
      <c r="O43" s="156"/>
    </row>
    <row r="44" spans="1:16" s="157" customFormat="1" ht="20.100000000000001" customHeight="1" x14ac:dyDescent="0.15">
      <c r="A44" s="138" t="str">
        <f>IFERROR(IF(HLOOKUP($L$5,RangeUnitsets,M44,FALSE)=0,"",HLOOKUP($L$5,RangeUnitsets,M44,FALSE)),"")</f>
        <v/>
      </c>
      <c r="B44" s="153" t="str">
        <f>IFERROR(IF(VLOOKUP($A44,TableHandbook[],2,FALSE)=0,"",VLOOKUP($A44,TableHandbook[],2,FALSE)),"")</f>
        <v/>
      </c>
      <c r="C44" s="153" t="str">
        <f>IFERROR(IF(VLOOKUP($A44,TableHandbook[],3,FALSE)=0,"",VLOOKUP($A44,TableHandbook[],3,FALSE)),"")</f>
        <v/>
      </c>
      <c r="D44" s="158" t="str">
        <f>IFERROR(IF(VLOOKUP($A44,TableHandbook[],4,FALSE)=0,"",VLOOKUP($A44,TableHandbook[],4,FALSE)),"")</f>
        <v/>
      </c>
      <c r="E44" s="139" t="str">
        <f>IF(A44="","",E43)</f>
        <v/>
      </c>
      <c r="F44" s="141" t="str">
        <f>IFERROR(IF(VLOOKUP($A44,TableHandbook[],6,FALSE)=0,"",VLOOKUP($A44,TableHandbook[],6,FALSE)),"")</f>
        <v/>
      </c>
      <c r="G44" s="139" t="str">
        <f>IFERROR(IF(VLOOKUP($A44,TableHandbook[],5,FALSE)=0,"",VLOOKUP($A44,TableHandbook[],5,FALSE)),"")</f>
        <v/>
      </c>
      <c r="H44" s="142" t="str">
        <f>IFERROR(VLOOKUP($A44,TableHandbook[],H$2,FALSE),"")</f>
        <v/>
      </c>
      <c r="I44" s="139" t="str">
        <f>IFERROR(VLOOKUP($A44,TableHandbook[],I$2,FALSE),"")</f>
        <v/>
      </c>
      <c r="J44" s="139" t="str">
        <f>IFERROR(VLOOKUP($A44,TableHandbook[],J$2,FALSE),"")</f>
        <v/>
      </c>
      <c r="K44" s="143" t="str">
        <f>IFERROR(VLOOKUP($A44,TableHandbook[],K$2,FALSE),"")</f>
        <v/>
      </c>
      <c r="L44" s="31"/>
      <c r="M44" s="144">
        <v>25</v>
      </c>
      <c r="N44" s="156"/>
      <c r="O44" s="156"/>
    </row>
    <row r="45" spans="1:16" s="167" customFormat="1" ht="13.9" customHeight="1" x14ac:dyDescent="0.2">
      <c r="A45" s="161"/>
      <c r="B45" s="161"/>
      <c r="C45" s="161"/>
      <c r="D45" s="162"/>
      <c r="E45" s="163"/>
      <c r="F45" s="164"/>
      <c r="G45" s="164"/>
      <c r="H45" s="164"/>
      <c r="I45" s="164"/>
      <c r="J45" s="164"/>
      <c r="K45" s="164"/>
      <c r="L45" s="164"/>
      <c r="M45" s="165"/>
      <c r="N45" s="166"/>
      <c r="O45" s="166"/>
    </row>
    <row r="46" spans="1:16" ht="25.5" x14ac:dyDescent="0.25">
      <c r="A46" s="168" t="s">
        <v>31</v>
      </c>
      <c r="B46" s="169"/>
      <c r="C46" s="169"/>
      <c r="D46" s="170"/>
      <c r="E46" s="171"/>
      <c r="F46" s="172"/>
      <c r="G46" s="172"/>
      <c r="H46" s="129" t="s">
        <v>19</v>
      </c>
      <c r="I46" s="173"/>
      <c r="J46" s="174"/>
      <c r="K46" s="175"/>
      <c r="L46" s="176"/>
      <c r="M46" s="177"/>
    </row>
    <row r="47" spans="1:16" s="180" customFormat="1" x14ac:dyDescent="0.25">
      <c r="A47" s="178" t="str">
        <f>D6</f>
        <v>Choose your Specialisation (drop-down list)</v>
      </c>
      <c r="B47" s="179"/>
      <c r="C47" s="179"/>
      <c r="D47" s="134"/>
      <c r="E47" s="135"/>
      <c r="F47" s="126" t="s">
        <v>22</v>
      </c>
      <c r="G47" s="126" t="s">
        <v>23</v>
      </c>
      <c r="H47" s="136" t="s">
        <v>24</v>
      </c>
      <c r="I47" s="135" t="s">
        <v>25</v>
      </c>
      <c r="J47" s="135" t="s">
        <v>26</v>
      </c>
      <c r="K47" s="137" t="s">
        <v>27</v>
      </c>
      <c r="L47" s="126" t="s">
        <v>28</v>
      </c>
      <c r="M47" s="177"/>
    </row>
    <row r="48" spans="1:16" s="180" customFormat="1" ht="30" customHeight="1" x14ac:dyDescent="0.25">
      <c r="A48" s="181" t="s">
        <v>32</v>
      </c>
      <c r="B48" s="182"/>
      <c r="C48" s="182"/>
      <c r="D48" s="183"/>
      <c r="E48" s="184"/>
      <c r="F48" s="185"/>
      <c r="G48" s="185"/>
      <c r="H48" s="186"/>
      <c r="I48" s="184"/>
      <c r="J48" s="184"/>
      <c r="K48" s="187"/>
      <c r="L48" s="204"/>
      <c r="M48" s="177"/>
    </row>
    <row r="49" spans="1:13" x14ac:dyDescent="0.25">
      <c r="A49" s="188" t="str">
        <f t="shared" ref="A49:A63" si="0">IFERROR(IF(HLOOKUP($L$6,RangeSpecSets,M49,FALSE)=0,"",HLOOKUP($L$6,RangeSpecSets,M49,FALSE)),"")</f>
        <v/>
      </c>
      <c r="B49" s="189" t="str">
        <f>IFERROR(IF(VLOOKUP($A49,TableHandbook[],2,FALSE)=0,"",VLOOKUP($A49,TableHandbook[],2,FALSE)),"")</f>
        <v/>
      </c>
      <c r="C49" s="189" t="str">
        <f>IFERROR(IF(VLOOKUP($A49,TableHandbook[],3,FALSE)=0,"",VLOOKUP($A49,TableHandbook[],3,FALSE)),"")</f>
        <v/>
      </c>
      <c r="D49" s="190" t="str">
        <f>IFERROR(IF(VLOOKUP($A49,TableHandbook[],4,FALSE)=0,"",VLOOKUP($A49,TableHandbook[],4,FALSE)),"")</f>
        <v/>
      </c>
      <c r="E49" s="191"/>
      <c r="F49" s="141" t="str">
        <f>IFERROR(IF(VLOOKUP($A49,TableHandbook[],6,FALSE)=0,"",VLOOKUP($A49,TableHandbook[],6,FALSE)),"")</f>
        <v/>
      </c>
      <c r="G49" s="191" t="str">
        <f>IFERROR(IF(VLOOKUP($A49,TableHandbook[],5,FALSE)=0,"",VLOOKUP($A49,TableHandbook[],5,FALSE)),"")</f>
        <v/>
      </c>
      <c r="H49" s="192" t="str">
        <f>IFERROR(VLOOKUP($A49,TableHandbook[],H$2,FALSE),"")</f>
        <v/>
      </c>
      <c r="I49" s="193" t="str">
        <f>IFERROR(VLOOKUP($A49,TableHandbook[],I$2,FALSE),"")</f>
        <v/>
      </c>
      <c r="J49" s="193" t="str">
        <f>IFERROR(VLOOKUP($A49,TableHandbook[],J$2,FALSE),"")</f>
        <v/>
      </c>
      <c r="K49" s="194" t="str">
        <f>IFERROR(VLOOKUP($A49,TableHandbook[],K$2,FALSE),"")</f>
        <v/>
      </c>
      <c r="L49" s="32"/>
      <c r="M49" s="144">
        <v>2</v>
      </c>
    </row>
    <row r="50" spans="1:13" x14ac:dyDescent="0.25">
      <c r="A50" s="188" t="str">
        <f t="shared" si="0"/>
        <v/>
      </c>
      <c r="B50" s="189" t="str">
        <f>IFERROR(IF(VLOOKUP($A50,TableHandbook[],2,FALSE)=0,"",VLOOKUP($A50,TableHandbook[],2,FALSE)),"")</f>
        <v/>
      </c>
      <c r="C50" s="189" t="str">
        <f>IFERROR(IF(VLOOKUP($A50,TableHandbook[],3,FALSE)=0,"",VLOOKUP($A50,TableHandbook[],3,FALSE)),"")</f>
        <v/>
      </c>
      <c r="D50" s="190" t="str">
        <f>IFERROR(IF(VLOOKUP($A50,TableHandbook[],4,FALSE)=0,"",VLOOKUP($A50,TableHandbook[],4,FALSE)),"")</f>
        <v/>
      </c>
      <c r="E50" s="191"/>
      <c r="F50" s="141" t="str">
        <f>IFERROR(IF(VLOOKUP($A50,TableHandbook[],6,FALSE)=0,"",VLOOKUP($A50,TableHandbook[],6,FALSE)),"")</f>
        <v/>
      </c>
      <c r="G50" s="191" t="str">
        <f>IFERROR(IF(VLOOKUP($A50,TableHandbook[],5,FALSE)=0,"",VLOOKUP($A50,TableHandbook[],5,FALSE)),"")</f>
        <v/>
      </c>
      <c r="H50" s="192" t="str">
        <f>IFERROR(VLOOKUP($A50,TableHandbook[],H$2,FALSE),"")</f>
        <v/>
      </c>
      <c r="I50" s="193" t="str">
        <f>IFERROR(VLOOKUP($A50,TableHandbook[],I$2,FALSE),"")</f>
        <v/>
      </c>
      <c r="J50" s="193" t="str">
        <f>IFERROR(VLOOKUP($A50,TableHandbook[],J$2,FALSE),"")</f>
        <v/>
      </c>
      <c r="K50" s="194" t="str">
        <f>IFERROR(VLOOKUP($A50,TableHandbook[],K$2,FALSE),"")</f>
        <v/>
      </c>
      <c r="L50" s="32"/>
      <c r="M50" s="144">
        <v>3</v>
      </c>
    </row>
    <row r="51" spans="1:13" x14ac:dyDescent="0.25">
      <c r="A51" s="188" t="str">
        <f t="shared" si="0"/>
        <v/>
      </c>
      <c r="B51" s="189" t="str">
        <f>IFERROR(IF(VLOOKUP($A51,TableHandbook[],2,FALSE)=0,"",VLOOKUP($A51,TableHandbook[],2,FALSE)),"")</f>
        <v/>
      </c>
      <c r="C51" s="189" t="str">
        <f>IFERROR(IF(VLOOKUP($A51,TableHandbook[],3,FALSE)=0,"",VLOOKUP($A51,TableHandbook[],3,FALSE)),"")</f>
        <v/>
      </c>
      <c r="D51" s="190" t="str">
        <f>IFERROR(IF(VLOOKUP($A51,TableHandbook[],4,FALSE)=0,"",VLOOKUP($A51,TableHandbook[],4,FALSE)),"")</f>
        <v/>
      </c>
      <c r="E51" s="191"/>
      <c r="F51" s="141" t="str">
        <f>IFERROR(IF(VLOOKUP($A51,TableHandbook[],6,FALSE)=0,"",VLOOKUP($A51,TableHandbook[],6,FALSE)),"")</f>
        <v/>
      </c>
      <c r="G51" s="191" t="str">
        <f>IFERROR(IF(VLOOKUP($A51,TableHandbook[],5,FALSE)=0,"",VLOOKUP($A51,TableHandbook[],5,FALSE)),"")</f>
        <v/>
      </c>
      <c r="H51" s="192" t="str">
        <f>IFERROR(VLOOKUP($A51,TableHandbook[],H$2,FALSE),"")</f>
        <v/>
      </c>
      <c r="I51" s="193" t="str">
        <f>IFERROR(VLOOKUP($A51,TableHandbook[],I$2,FALSE),"")</f>
        <v/>
      </c>
      <c r="J51" s="193" t="str">
        <f>IFERROR(VLOOKUP($A51,TableHandbook[],J$2,FALSE),"")</f>
        <v/>
      </c>
      <c r="K51" s="194" t="str">
        <f>IFERROR(VLOOKUP($A51,TableHandbook[],K$2,FALSE),"")</f>
        <v/>
      </c>
      <c r="L51" s="32"/>
      <c r="M51" s="144">
        <v>4</v>
      </c>
    </row>
    <row r="52" spans="1:13" x14ac:dyDescent="0.25">
      <c r="A52" s="188" t="str">
        <f t="shared" si="0"/>
        <v/>
      </c>
      <c r="B52" s="189" t="str">
        <f>IFERROR(IF(VLOOKUP($A52,TableHandbook[],2,FALSE)=0,"",VLOOKUP($A52,TableHandbook[],2,FALSE)),"")</f>
        <v/>
      </c>
      <c r="C52" s="189" t="str">
        <f>IFERROR(IF(VLOOKUP($A52,TableHandbook[],3,FALSE)=0,"",VLOOKUP($A52,TableHandbook[],3,FALSE)),"")</f>
        <v/>
      </c>
      <c r="D52" s="190" t="str">
        <f>IFERROR(IF(VLOOKUP($A52,TableHandbook[],4,FALSE)=0,"",VLOOKUP($A52,TableHandbook[],4,FALSE)),"")</f>
        <v/>
      </c>
      <c r="E52" s="191"/>
      <c r="F52" s="141" t="str">
        <f>IFERROR(IF(VLOOKUP($A52,TableHandbook[],6,FALSE)=0,"",VLOOKUP($A52,TableHandbook[],6,FALSE)),"")</f>
        <v/>
      </c>
      <c r="G52" s="191" t="str">
        <f>IFERROR(IF(VLOOKUP($A52,TableHandbook[],5,FALSE)=0,"",VLOOKUP($A52,TableHandbook[],5,FALSE)),"")</f>
        <v/>
      </c>
      <c r="H52" s="192" t="str">
        <f>IFERROR(VLOOKUP($A52,TableHandbook[],H$2,FALSE),"")</f>
        <v/>
      </c>
      <c r="I52" s="193" t="str">
        <f>IFERROR(VLOOKUP($A52,TableHandbook[],I$2,FALSE),"")</f>
        <v/>
      </c>
      <c r="J52" s="193" t="str">
        <f>IFERROR(VLOOKUP($A52,TableHandbook[],J$2,FALSE),"")</f>
        <v/>
      </c>
      <c r="K52" s="194" t="str">
        <f>IFERROR(VLOOKUP($A52,TableHandbook[],K$2,FALSE),"")</f>
        <v/>
      </c>
      <c r="L52" s="32"/>
      <c r="M52" s="144">
        <v>5</v>
      </c>
    </row>
    <row r="53" spans="1:13" x14ac:dyDescent="0.25">
      <c r="A53" s="188" t="str">
        <f t="shared" si="0"/>
        <v/>
      </c>
      <c r="B53" s="189" t="str">
        <f>IFERROR(IF(VLOOKUP($A53,TableHandbook[],2,FALSE)=0,"",VLOOKUP($A53,TableHandbook[],2,FALSE)),"")</f>
        <v/>
      </c>
      <c r="C53" s="189" t="str">
        <f>IFERROR(IF(VLOOKUP($A53,TableHandbook[],3,FALSE)=0,"",VLOOKUP($A53,TableHandbook[],3,FALSE)),"")</f>
        <v/>
      </c>
      <c r="D53" s="190" t="str">
        <f>IFERROR(IF(VLOOKUP($A53,TableHandbook[],4,FALSE)=0,"",VLOOKUP($A53,TableHandbook[],4,FALSE)),"")</f>
        <v/>
      </c>
      <c r="E53" s="191"/>
      <c r="F53" s="141" t="str">
        <f>IFERROR(IF(VLOOKUP($A53,TableHandbook[],6,FALSE)=0,"",VLOOKUP($A53,TableHandbook[],6,FALSE)),"")</f>
        <v/>
      </c>
      <c r="G53" s="191" t="str">
        <f>IFERROR(IF(VLOOKUP($A53,TableHandbook[],5,FALSE)=0,"",VLOOKUP($A53,TableHandbook[],5,FALSE)),"")</f>
        <v/>
      </c>
      <c r="H53" s="192" t="str">
        <f>IFERROR(VLOOKUP($A53,TableHandbook[],H$2,FALSE),"")</f>
        <v/>
      </c>
      <c r="I53" s="193" t="str">
        <f>IFERROR(VLOOKUP($A53,TableHandbook[],I$2,FALSE),"")</f>
        <v/>
      </c>
      <c r="J53" s="193" t="str">
        <f>IFERROR(VLOOKUP($A53,TableHandbook[],J$2,FALSE),"")</f>
        <v/>
      </c>
      <c r="K53" s="194" t="str">
        <f>IFERROR(VLOOKUP($A53,TableHandbook[],K$2,FALSE),"")</f>
        <v/>
      </c>
      <c r="L53" s="32"/>
      <c r="M53" s="144">
        <v>6</v>
      </c>
    </row>
    <row r="54" spans="1:13" x14ac:dyDescent="0.25">
      <c r="A54" s="188" t="str">
        <f t="shared" si="0"/>
        <v/>
      </c>
      <c r="B54" s="189" t="str">
        <f>IFERROR(IF(VLOOKUP($A54,TableHandbook[],2,FALSE)=0,"",VLOOKUP($A54,TableHandbook[],2,FALSE)),"")</f>
        <v/>
      </c>
      <c r="C54" s="189" t="str">
        <f>IFERROR(IF(VLOOKUP($A54,TableHandbook[],3,FALSE)=0,"",VLOOKUP($A54,TableHandbook[],3,FALSE)),"")</f>
        <v/>
      </c>
      <c r="D54" s="190" t="str">
        <f>IFERROR(IF(VLOOKUP($A54,TableHandbook[],4,FALSE)=0,"",VLOOKUP($A54,TableHandbook[],4,FALSE)),"")</f>
        <v/>
      </c>
      <c r="E54" s="191"/>
      <c r="F54" s="141" t="str">
        <f>IFERROR(IF(VLOOKUP($A54,TableHandbook[],6,FALSE)=0,"",VLOOKUP($A54,TableHandbook[],6,FALSE)),"")</f>
        <v/>
      </c>
      <c r="G54" s="191" t="str">
        <f>IFERROR(IF(VLOOKUP($A54,TableHandbook[],5,FALSE)=0,"",VLOOKUP($A54,TableHandbook[],5,FALSE)),"")</f>
        <v/>
      </c>
      <c r="H54" s="192" t="str">
        <f>IFERROR(VLOOKUP($A54,TableHandbook[],H$2,FALSE),"")</f>
        <v/>
      </c>
      <c r="I54" s="193" t="str">
        <f>IFERROR(VLOOKUP($A54,TableHandbook[],I$2,FALSE),"")</f>
        <v/>
      </c>
      <c r="J54" s="193" t="str">
        <f>IFERROR(VLOOKUP($A54,TableHandbook[],J$2,FALSE),"")</f>
        <v/>
      </c>
      <c r="K54" s="194" t="str">
        <f>IFERROR(VLOOKUP($A54,TableHandbook[],K$2,FALSE),"")</f>
        <v/>
      </c>
      <c r="L54" s="32"/>
      <c r="M54" s="144">
        <v>7</v>
      </c>
    </row>
    <row r="55" spans="1:13" x14ac:dyDescent="0.25">
      <c r="A55" s="188" t="str">
        <f t="shared" si="0"/>
        <v/>
      </c>
      <c r="B55" s="189" t="str">
        <f>IFERROR(IF(VLOOKUP($A55,TableHandbook[],2,FALSE)=0,"",VLOOKUP($A55,TableHandbook[],2,FALSE)),"")</f>
        <v/>
      </c>
      <c r="C55" s="189" t="str">
        <f>IFERROR(IF(VLOOKUP($A55,TableHandbook[],3,FALSE)=0,"",VLOOKUP($A55,TableHandbook[],3,FALSE)),"")</f>
        <v/>
      </c>
      <c r="D55" s="190" t="str">
        <f>IFERROR(IF(VLOOKUP($A55,TableHandbook[],4,FALSE)=0,"",VLOOKUP($A55,TableHandbook[],4,FALSE)),"")</f>
        <v/>
      </c>
      <c r="E55" s="191"/>
      <c r="F55" s="141" t="str">
        <f>IFERROR(IF(VLOOKUP($A55,TableHandbook[],6,FALSE)=0,"",VLOOKUP($A55,TableHandbook[],6,FALSE)),"")</f>
        <v/>
      </c>
      <c r="G55" s="191" t="str">
        <f>IFERROR(IF(VLOOKUP($A55,TableHandbook[],5,FALSE)=0,"",VLOOKUP($A55,TableHandbook[],5,FALSE)),"")</f>
        <v/>
      </c>
      <c r="H55" s="192" t="str">
        <f>IFERROR(VLOOKUP($A55,TableHandbook[],H$2,FALSE),"")</f>
        <v/>
      </c>
      <c r="I55" s="193" t="str">
        <f>IFERROR(VLOOKUP($A55,TableHandbook[],I$2,FALSE),"")</f>
        <v/>
      </c>
      <c r="J55" s="193" t="str">
        <f>IFERROR(VLOOKUP($A55,TableHandbook[],J$2,FALSE),"")</f>
        <v/>
      </c>
      <c r="K55" s="194" t="str">
        <f>IFERROR(VLOOKUP($A55,TableHandbook[],K$2,FALSE),"")</f>
        <v/>
      </c>
      <c r="L55" s="32"/>
      <c r="M55" s="144">
        <v>8</v>
      </c>
    </row>
    <row r="56" spans="1:13" x14ac:dyDescent="0.25">
      <c r="A56" s="188" t="str">
        <f t="shared" si="0"/>
        <v/>
      </c>
      <c r="B56" s="189" t="str">
        <f>IFERROR(IF(VLOOKUP($A56,TableHandbook[],2,FALSE)=0,"",VLOOKUP($A56,TableHandbook[],2,FALSE)),"")</f>
        <v/>
      </c>
      <c r="C56" s="189" t="str">
        <f>IFERROR(IF(VLOOKUP($A56,TableHandbook[],3,FALSE)=0,"",VLOOKUP($A56,TableHandbook[],3,FALSE)),"")</f>
        <v/>
      </c>
      <c r="D56" s="190" t="str">
        <f>IFERROR(IF(VLOOKUP($A56,TableHandbook[],4,FALSE)=0,"",VLOOKUP($A56,TableHandbook[],4,FALSE)),"")</f>
        <v/>
      </c>
      <c r="E56" s="191"/>
      <c r="F56" s="141" t="str">
        <f>IFERROR(IF(VLOOKUP($A56,TableHandbook[],6,FALSE)=0,"",VLOOKUP($A56,TableHandbook[],6,FALSE)),"")</f>
        <v/>
      </c>
      <c r="G56" s="191" t="str">
        <f>IFERROR(IF(VLOOKUP($A56,TableHandbook[],5,FALSE)=0,"",VLOOKUP($A56,TableHandbook[],5,FALSE)),"")</f>
        <v/>
      </c>
      <c r="H56" s="192" t="str">
        <f>IFERROR(VLOOKUP($A56,TableHandbook[],H$2,FALSE),"")</f>
        <v/>
      </c>
      <c r="I56" s="193" t="str">
        <f>IFERROR(VLOOKUP($A56,TableHandbook[],I$2,FALSE),"")</f>
        <v/>
      </c>
      <c r="J56" s="193" t="str">
        <f>IFERROR(VLOOKUP($A56,TableHandbook[],J$2,FALSE),"")</f>
        <v/>
      </c>
      <c r="K56" s="194" t="str">
        <f>IFERROR(VLOOKUP($A56,TableHandbook[],K$2,FALSE),"")</f>
        <v/>
      </c>
      <c r="L56" s="32"/>
      <c r="M56" s="144">
        <v>9</v>
      </c>
    </row>
    <row r="57" spans="1:13" x14ac:dyDescent="0.25">
      <c r="A57" s="188" t="str">
        <f t="shared" si="0"/>
        <v/>
      </c>
      <c r="B57" s="189" t="str">
        <f>IFERROR(IF(VLOOKUP($A57,TableHandbook[],2,FALSE)=0,"",VLOOKUP($A57,TableHandbook[],2,FALSE)),"")</f>
        <v/>
      </c>
      <c r="C57" s="189" t="str">
        <f>IFERROR(IF(VLOOKUP($A57,TableHandbook[],3,FALSE)=0,"",VLOOKUP($A57,TableHandbook[],3,FALSE)),"")</f>
        <v/>
      </c>
      <c r="D57" s="190" t="str">
        <f>IFERROR(IF(VLOOKUP($A57,TableHandbook[],4,FALSE)=0,"",VLOOKUP($A57,TableHandbook[],4,FALSE)),"")</f>
        <v/>
      </c>
      <c r="E57" s="191"/>
      <c r="F57" s="141" t="str">
        <f>IFERROR(IF(VLOOKUP($A57,TableHandbook[],6,FALSE)=0,"",VLOOKUP($A57,TableHandbook[],6,FALSE)),"")</f>
        <v/>
      </c>
      <c r="G57" s="191" t="str">
        <f>IFERROR(IF(VLOOKUP($A57,TableHandbook[],5,FALSE)=0,"",VLOOKUP($A57,TableHandbook[],5,FALSE)),"")</f>
        <v/>
      </c>
      <c r="H57" s="192" t="str">
        <f>IFERROR(VLOOKUP($A57,TableHandbook[],H$2,FALSE),"")</f>
        <v/>
      </c>
      <c r="I57" s="193" t="str">
        <f>IFERROR(VLOOKUP($A57,TableHandbook[],I$2,FALSE),"")</f>
        <v/>
      </c>
      <c r="J57" s="193" t="str">
        <f>IFERROR(VLOOKUP($A57,TableHandbook[],J$2,FALSE),"")</f>
        <v/>
      </c>
      <c r="K57" s="194" t="str">
        <f>IFERROR(VLOOKUP($A57,TableHandbook[],K$2,FALSE),"")</f>
        <v/>
      </c>
      <c r="L57" s="32"/>
      <c r="M57" s="144">
        <v>10</v>
      </c>
    </row>
    <row r="58" spans="1:13" x14ac:dyDescent="0.25">
      <c r="A58" s="188" t="str">
        <f t="shared" si="0"/>
        <v/>
      </c>
      <c r="B58" s="189" t="str">
        <f>IFERROR(IF(VLOOKUP($A58,TableHandbook[],2,FALSE)=0,"",VLOOKUP($A58,TableHandbook[],2,FALSE)),"")</f>
        <v/>
      </c>
      <c r="C58" s="189" t="str">
        <f>IFERROR(IF(VLOOKUP($A58,TableHandbook[],3,FALSE)=0,"",VLOOKUP($A58,TableHandbook[],3,FALSE)),"")</f>
        <v/>
      </c>
      <c r="D58" s="190" t="str">
        <f>IFERROR(IF(VLOOKUP($A58,TableHandbook[],4,FALSE)=0,"",VLOOKUP($A58,TableHandbook[],4,FALSE)),"")</f>
        <v/>
      </c>
      <c r="E58" s="191"/>
      <c r="F58" s="141" t="str">
        <f>IFERROR(IF(VLOOKUP($A58,TableHandbook[],6,FALSE)=0,"",VLOOKUP($A58,TableHandbook[],6,FALSE)),"")</f>
        <v/>
      </c>
      <c r="G58" s="191" t="str">
        <f>IFERROR(IF(VLOOKUP($A58,TableHandbook[],5,FALSE)=0,"",VLOOKUP($A58,TableHandbook[],5,FALSE)),"")</f>
        <v/>
      </c>
      <c r="H58" s="192" t="str">
        <f>IFERROR(VLOOKUP($A58,TableHandbook[],H$2,FALSE),"")</f>
        <v/>
      </c>
      <c r="I58" s="193" t="str">
        <f>IFERROR(VLOOKUP($A58,TableHandbook[],I$2,FALSE),"")</f>
        <v/>
      </c>
      <c r="J58" s="193" t="str">
        <f>IFERROR(VLOOKUP($A58,TableHandbook[],J$2,FALSE),"")</f>
        <v/>
      </c>
      <c r="K58" s="194" t="str">
        <f>IFERROR(VLOOKUP($A58,TableHandbook[],K$2,FALSE),"")</f>
        <v/>
      </c>
      <c r="L58" s="32"/>
      <c r="M58" s="144">
        <v>11</v>
      </c>
    </row>
    <row r="59" spans="1:13" x14ac:dyDescent="0.25">
      <c r="A59" s="188" t="str">
        <f t="shared" si="0"/>
        <v/>
      </c>
      <c r="B59" s="189" t="str">
        <f>IFERROR(IF(VLOOKUP($A59,TableHandbook[],2,FALSE)=0,"",VLOOKUP($A59,TableHandbook[],2,FALSE)),"")</f>
        <v/>
      </c>
      <c r="C59" s="189" t="str">
        <f>IFERROR(IF(VLOOKUP($A59,TableHandbook[],3,FALSE)=0,"",VLOOKUP($A59,TableHandbook[],3,FALSE)),"")</f>
        <v/>
      </c>
      <c r="D59" s="190" t="str">
        <f>IFERROR(IF(VLOOKUP($A59,TableHandbook[],4,FALSE)=0,"",VLOOKUP($A59,TableHandbook[],4,FALSE)),"")</f>
        <v/>
      </c>
      <c r="E59" s="191"/>
      <c r="F59" s="141" t="str">
        <f>IFERROR(IF(VLOOKUP($A59,TableHandbook[],6,FALSE)=0,"",VLOOKUP($A59,TableHandbook[],6,FALSE)),"")</f>
        <v/>
      </c>
      <c r="G59" s="191" t="str">
        <f>IFERROR(IF(VLOOKUP($A59,TableHandbook[],5,FALSE)=0,"",VLOOKUP($A59,TableHandbook[],5,FALSE)),"")</f>
        <v/>
      </c>
      <c r="H59" s="192" t="str">
        <f>IFERROR(VLOOKUP($A59,TableHandbook[],H$2,FALSE),"")</f>
        <v/>
      </c>
      <c r="I59" s="193" t="str">
        <f>IFERROR(VLOOKUP($A59,TableHandbook[],I$2,FALSE),"")</f>
        <v/>
      </c>
      <c r="J59" s="193" t="str">
        <f>IFERROR(VLOOKUP($A59,TableHandbook[],J$2,FALSE),"")</f>
        <v/>
      </c>
      <c r="K59" s="194" t="str">
        <f>IFERROR(VLOOKUP($A59,TableHandbook[],K$2,FALSE),"")</f>
        <v/>
      </c>
      <c r="L59" s="32"/>
      <c r="M59" s="144">
        <v>12</v>
      </c>
    </row>
    <row r="60" spans="1:13" x14ac:dyDescent="0.25">
      <c r="A60" s="188" t="str">
        <f t="shared" si="0"/>
        <v/>
      </c>
      <c r="B60" s="189" t="str">
        <f>IFERROR(IF(VLOOKUP($A60,TableHandbook[],2,FALSE)=0,"",VLOOKUP($A60,TableHandbook[],2,FALSE)),"")</f>
        <v/>
      </c>
      <c r="C60" s="189" t="str">
        <f>IFERROR(IF(VLOOKUP($A60,TableHandbook[],3,FALSE)=0,"",VLOOKUP($A60,TableHandbook[],3,FALSE)),"")</f>
        <v/>
      </c>
      <c r="D60" s="190" t="str">
        <f>IFERROR(IF(VLOOKUP($A60,TableHandbook[],4,FALSE)=0,"",VLOOKUP($A60,TableHandbook[],4,FALSE)),"")</f>
        <v/>
      </c>
      <c r="E60" s="191"/>
      <c r="F60" s="141" t="str">
        <f>IFERROR(IF(VLOOKUP($A60,TableHandbook[],6,FALSE)=0,"",VLOOKUP($A60,TableHandbook[],6,FALSE)),"")</f>
        <v/>
      </c>
      <c r="G60" s="191" t="str">
        <f>IFERROR(IF(VLOOKUP($A60,TableHandbook[],5,FALSE)=0,"",VLOOKUP($A60,TableHandbook[],5,FALSE)),"")</f>
        <v/>
      </c>
      <c r="H60" s="192" t="str">
        <f>IFERROR(VLOOKUP($A60,TableHandbook[],H$2,FALSE),"")</f>
        <v/>
      </c>
      <c r="I60" s="193" t="str">
        <f>IFERROR(VLOOKUP($A60,TableHandbook[],I$2,FALSE),"")</f>
        <v/>
      </c>
      <c r="J60" s="193" t="str">
        <f>IFERROR(VLOOKUP($A60,TableHandbook[],J$2,FALSE),"")</f>
        <v/>
      </c>
      <c r="K60" s="194" t="str">
        <f>IFERROR(VLOOKUP($A60,TableHandbook[],K$2,FALSE),"")</f>
        <v/>
      </c>
      <c r="L60" s="32"/>
      <c r="M60" s="144">
        <v>13</v>
      </c>
    </row>
    <row r="61" spans="1:13" x14ac:dyDescent="0.25">
      <c r="A61" s="188" t="str">
        <f t="shared" si="0"/>
        <v/>
      </c>
      <c r="B61" s="189" t="str">
        <f>IFERROR(IF(VLOOKUP($A61,TableHandbook[],2,FALSE)=0,"",VLOOKUP($A61,TableHandbook[],2,FALSE)),"")</f>
        <v/>
      </c>
      <c r="C61" s="189" t="str">
        <f>IFERROR(IF(VLOOKUP($A61,TableHandbook[],3,FALSE)=0,"",VLOOKUP($A61,TableHandbook[],3,FALSE)),"")</f>
        <v/>
      </c>
      <c r="D61" s="190" t="str">
        <f>IFERROR(IF(VLOOKUP($A61,TableHandbook[],4,FALSE)=0,"",VLOOKUP($A61,TableHandbook[],4,FALSE)),"")</f>
        <v/>
      </c>
      <c r="E61" s="191"/>
      <c r="F61" s="141" t="str">
        <f>IFERROR(IF(VLOOKUP($A61,TableHandbook[],6,FALSE)=0,"",VLOOKUP($A61,TableHandbook[],6,FALSE)),"")</f>
        <v/>
      </c>
      <c r="G61" s="191" t="str">
        <f>IFERROR(IF(VLOOKUP($A61,TableHandbook[],5,FALSE)=0,"",VLOOKUP($A61,TableHandbook[],5,FALSE)),"")</f>
        <v/>
      </c>
      <c r="H61" s="192" t="str">
        <f>IFERROR(VLOOKUP($A61,TableHandbook[],H$2,FALSE),"")</f>
        <v/>
      </c>
      <c r="I61" s="193" t="str">
        <f>IFERROR(VLOOKUP($A61,TableHandbook[],I$2,FALSE),"")</f>
        <v/>
      </c>
      <c r="J61" s="193" t="str">
        <f>IFERROR(VLOOKUP($A61,TableHandbook[],J$2,FALSE),"")</f>
        <v/>
      </c>
      <c r="K61" s="194" t="str">
        <f>IFERROR(VLOOKUP($A61,TableHandbook[],K$2,FALSE),"")</f>
        <v/>
      </c>
      <c r="L61" s="32"/>
      <c r="M61" s="144">
        <v>14</v>
      </c>
    </row>
    <row r="62" spans="1:13" x14ac:dyDescent="0.25">
      <c r="A62" s="188" t="str">
        <f t="shared" si="0"/>
        <v/>
      </c>
      <c r="B62" s="189" t="str">
        <f>IFERROR(IF(VLOOKUP($A62,TableHandbook[],2,FALSE)=0,"",VLOOKUP($A62,TableHandbook[],2,FALSE)),"")</f>
        <v/>
      </c>
      <c r="C62" s="189" t="str">
        <f>IFERROR(IF(VLOOKUP($A62,TableHandbook[],3,FALSE)=0,"",VLOOKUP($A62,TableHandbook[],3,FALSE)),"")</f>
        <v/>
      </c>
      <c r="D62" s="190" t="str">
        <f>IFERROR(IF(VLOOKUP($A62,TableHandbook[],4,FALSE)=0,"",VLOOKUP($A62,TableHandbook[],4,FALSE)),"")</f>
        <v/>
      </c>
      <c r="E62" s="191"/>
      <c r="F62" s="141" t="str">
        <f>IFERROR(IF(VLOOKUP($A62,TableHandbook[],6,FALSE)=0,"",VLOOKUP($A62,TableHandbook[],6,FALSE)),"")</f>
        <v/>
      </c>
      <c r="G62" s="191" t="str">
        <f>IFERROR(IF(VLOOKUP($A62,TableHandbook[],5,FALSE)=0,"",VLOOKUP($A62,TableHandbook[],5,FALSE)),"")</f>
        <v/>
      </c>
      <c r="H62" s="192" t="str">
        <f>IFERROR(VLOOKUP($A62,TableHandbook[],H$2,FALSE),"")</f>
        <v/>
      </c>
      <c r="I62" s="193" t="str">
        <f>IFERROR(VLOOKUP($A62,TableHandbook[],I$2,FALSE),"")</f>
        <v/>
      </c>
      <c r="J62" s="193" t="str">
        <f>IFERROR(VLOOKUP($A62,TableHandbook[],J$2,FALSE),"")</f>
        <v/>
      </c>
      <c r="K62" s="194" t="str">
        <f>IFERROR(VLOOKUP($A62,TableHandbook[],K$2,FALSE),"")</f>
        <v/>
      </c>
      <c r="L62" s="32"/>
      <c r="M62" s="144">
        <v>15</v>
      </c>
    </row>
    <row r="63" spans="1:13" x14ac:dyDescent="0.25">
      <c r="A63" s="188" t="str">
        <f t="shared" si="0"/>
        <v/>
      </c>
      <c r="B63" s="189" t="str">
        <f>IFERROR(IF(VLOOKUP($A63,TableHandbook[],2,FALSE)=0,"",VLOOKUP($A63,TableHandbook[],2,FALSE)),"")</f>
        <v/>
      </c>
      <c r="C63" s="189" t="str">
        <f>IFERROR(IF(VLOOKUP($A63,TableHandbook[],3,FALSE)=0,"",VLOOKUP($A63,TableHandbook[],3,FALSE)),"")</f>
        <v/>
      </c>
      <c r="D63" s="190" t="str">
        <f>IFERROR(IF(VLOOKUP($A63,TableHandbook[],4,FALSE)=0,"",VLOOKUP($A63,TableHandbook[],4,FALSE)),"")</f>
        <v/>
      </c>
      <c r="E63" s="191"/>
      <c r="F63" s="141" t="str">
        <f>IFERROR(IF(VLOOKUP($A63,TableHandbook[],6,FALSE)=0,"",VLOOKUP($A63,TableHandbook[],6,FALSE)),"")</f>
        <v/>
      </c>
      <c r="G63" s="191" t="str">
        <f>IFERROR(IF(VLOOKUP($A63,TableHandbook[],5,FALSE)=0,"",VLOOKUP($A63,TableHandbook[],5,FALSE)),"")</f>
        <v/>
      </c>
      <c r="H63" s="192" t="str">
        <f>IFERROR(VLOOKUP($A63,TableHandbook[],H$2,FALSE),"")</f>
        <v/>
      </c>
      <c r="I63" s="193" t="str">
        <f>IFERROR(VLOOKUP($A63,TableHandbook[],I$2,FALSE),"")</f>
        <v/>
      </c>
      <c r="J63" s="193" t="str">
        <f>IFERROR(VLOOKUP($A63,TableHandbook[],J$2,FALSE),"")</f>
        <v/>
      </c>
      <c r="K63" s="194" t="str">
        <f>IFERROR(VLOOKUP($A63,TableHandbook[],K$2,FALSE),"")</f>
        <v/>
      </c>
      <c r="L63" s="32"/>
      <c r="M63" s="144">
        <v>16</v>
      </c>
    </row>
    <row r="64" spans="1:13" ht="19.5" customHeight="1" x14ac:dyDescent="0.25">
      <c r="A64" s="195"/>
      <c r="B64" s="195"/>
      <c r="C64" s="195"/>
      <c r="D64" s="195"/>
      <c r="E64" s="195"/>
      <c r="F64" s="195"/>
      <c r="G64" s="195"/>
      <c r="H64" s="195"/>
      <c r="I64" s="195"/>
      <c r="J64" s="195"/>
      <c r="K64" s="195"/>
      <c r="L64" s="195"/>
      <c r="M64" s="144"/>
    </row>
    <row r="65" spans="1:15" ht="32.25" customHeight="1" x14ac:dyDescent="0.25">
      <c r="A65" s="196" t="s">
        <v>33</v>
      </c>
      <c r="B65" s="196"/>
      <c r="C65" s="196"/>
      <c r="D65" s="196"/>
      <c r="E65" s="196"/>
      <c r="F65" s="196"/>
      <c r="G65" s="196"/>
      <c r="H65" s="196"/>
      <c r="I65" s="196"/>
      <c r="J65" s="196"/>
      <c r="K65" s="196"/>
      <c r="L65" s="196"/>
    </row>
    <row r="66" spans="1:15" s="198" customFormat="1" ht="24.95" customHeight="1" x14ac:dyDescent="0.3">
      <c r="A66" s="23" t="s">
        <v>34</v>
      </c>
      <c r="B66" s="23"/>
      <c r="C66" s="23"/>
      <c r="D66" s="24"/>
      <c r="E66" s="69"/>
      <c r="F66" s="24"/>
      <c r="G66" s="24"/>
      <c r="H66" s="24"/>
      <c r="I66" s="24"/>
      <c r="J66" s="24"/>
      <c r="K66" s="24"/>
      <c r="L66" s="24"/>
      <c r="M66" s="197"/>
      <c r="N66" s="197"/>
      <c r="O66" s="197"/>
    </row>
    <row r="67" spans="1:15" ht="15" customHeight="1" x14ac:dyDescent="0.25">
      <c r="A67" s="199" t="s">
        <v>35</v>
      </c>
      <c r="B67" s="199"/>
      <c r="C67" s="199"/>
      <c r="D67" s="199"/>
      <c r="E67" s="200"/>
      <c r="F67" s="164"/>
      <c r="G67" s="201"/>
      <c r="H67" s="201"/>
      <c r="I67" s="201"/>
      <c r="J67" s="201"/>
      <c r="K67" s="201"/>
      <c r="L67" s="201" t="s">
        <v>36</v>
      </c>
    </row>
  </sheetData>
  <sheetProtection algorithmName="SHA-512" hashValue="4umevco5ryKq+6n+J7UE8dZEduUBLM25x0SjnRuG6lV0NBW/cqJHEhsE7rvbPxvtupszSrNZeTu5z+9a5akuNw==" saltValue="tqYvfRl6UafTZbVpa6Xapw==" spinCount="100000" sheet="1" objects="1" scenarios="1" formatCells="0"/>
  <mergeCells count="2">
    <mergeCell ref="A3:D3"/>
    <mergeCell ref="A65:L65"/>
  </mergeCells>
  <conditionalFormatting sqref="D5:D7">
    <cfRule type="containsText" dxfId="110" priority="11" operator="containsText" text="Choose">
      <formula>NOT(ISERROR(SEARCH("Choose",D5)))</formula>
    </cfRule>
  </conditionalFormatting>
  <conditionalFormatting sqref="A49:L63">
    <cfRule type="expression" dxfId="109" priority="3">
      <formula>$A49=""</formula>
    </cfRule>
    <cfRule type="expression" dxfId="108" priority="8">
      <formula>OR(LEFT($D49,3)="AND",LEFT($D49,5)="Study")</formula>
    </cfRule>
  </conditionalFormatting>
  <conditionalFormatting sqref="A22:L32 A21:G21 L21 A34:L44 A33:G33 L33 A10:L20">
    <cfRule type="expression" dxfId="107" priority="6">
      <formula>$A10="Spec"</formula>
    </cfRule>
  </conditionalFormatting>
  <conditionalFormatting sqref="D47:G48">
    <cfRule type="expression" dxfId="106" priority="4">
      <formula>$A47="Spec"</formula>
    </cfRule>
  </conditionalFormatting>
  <conditionalFormatting sqref="H10:K44">
    <cfRule type="expression" dxfId="105" priority="2">
      <formula>$E10=H$9</formula>
    </cfRule>
  </conditionalFormatting>
  <conditionalFormatting sqref="L47">
    <cfRule type="expression" dxfId="104" priority="1">
      <formula>$A47="Spec"</formula>
    </cfRule>
  </conditionalFormatting>
  <dataValidations count="1">
    <dataValidation type="list" allowBlank="1" showInputMessage="1" showErrorMessage="1" sqref="L27 L15 L39 L12 L18 L24 L30 L36 L42"/>
  </dataValidations>
  <hyperlinks>
    <hyperlink ref="A66:L6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44" max="10" man="1"/>
  </rowBreaks>
  <ignoredErrors>
    <ignoredError sqref="M39"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Unitsets!$A$11:$A$15</xm:f>
          </x14:formula1>
          <xm:sqref>D7</xm:sqref>
        </x14:dataValidation>
        <x14:dataValidation type="list" showInputMessage="1" showErrorMessage="1">
          <x14:formula1>
            <xm:f>Unitsets!$A$18:$A$22</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6"/>
  <sheetViews>
    <sheetView zoomScale="85" zoomScaleNormal="85" workbookViewId="0">
      <selection activeCell="A27" sqref="A27"/>
    </sheetView>
  </sheetViews>
  <sheetFormatPr defaultRowHeight="15.75" x14ac:dyDescent="0.25"/>
  <cols>
    <col min="1" max="1" width="62.875" style="11" customWidth="1"/>
    <col min="2" max="2" width="12.25" style="6" bestFit="1" customWidth="1"/>
    <col min="3" max="3" width="8.875" style="6" bestFit="1" customWidth="1"/>
    <col min="4" max="4" width="19.375" style="6" bestFit="1" customWidth="1"/>
    <col min="5" max="5" width="14.25" style="6" bestFit="1" customWidth="1"/>
    <col min="6" max="6" width="13.625" style="6" bestFit="1" customWidth="1"/>
    <col min="7" max="7" width="16.5" style="6" bestFit="1" customWidth="1"/>
    <col min="8" max="8" width="16.5" style="6" customWidth="1"/>
    <col min="9" max="9" width="13.25" style="6" bestFit="1" customWidth="1"/>
    <col min="10" max="10" width="5.875" bestFit="1" customWidth="1"/>
    <col min="11" max="11" width="5.25" bestFit="1" customWidth="1"/>
    <col min="12" max="12" width="12.125" bestFit="1" customWidth="1"/>
    <col min="13" max="13" width="5.25" bestFit="1" customWidth="1"/>
    <col min="14" max="14" width="12.375" bestFit="1" customWidth="1"/>
    <col min="15" max="15" width="5.5" bestFit="1" customWidth="1"/>
    <col min="16" max="16" width="12" bestFit="1" customWidth="1"/>
    <col min="17" max="17" width="5.5" bestFit="1" customWidth="1"/>
    <col min="18" max="18" width="12" bestFit="1" customWidth="1"/>
    <col min="19" max="19" width="5.25" bestFit="1" customWidth="1"/>
    <col min="20" max="20" width="10.5" customWidth="1"/>
    <col min="21" max="21" width="5.25" bestFit="1" customWidth="1"/>
    <col min="22" max="22" width="10" customWidth="1"/>
    <col min="23" max="23" width="5.25" bestFit="1" customWidth="1"/>
    <col min="24" max="24" width="9.875" customWidth="1"/>
    <col min="25" max="25" width="5.25" bestFit="1" customWidth="1"/>
    <col min="26" max="26" width="10.5" customWidth="1"/>
    <col min="27" max="27" width="5.25" bestFit="1" customWidth="1"/>
    <col min="28" max="28" width="10.5" customWidth="1"/>
    <col min="29" max="29" width="5.25" bestFit="1" customWidth="1"/>
    <col min="30" max="30" width="10.875" customWidth="1"/>
    <col min="31" max="31" width="5.25" bestFit="1" customWidth="1"/>
    <col min="32" max="32" width="10" customWidth="1"/>
    <col min="33" max="33" width="5.25" bestFit="1" customWidth="1"/>
    <col min="34" max="34" width="9.5" customWidth="1"/>
    <col min="35" max="35" width="5.25" bestFit="1" customWidth="1"/>
    <col min="36" max="36" width="8.125" bestFit="1" customWidth="1"/>
    <col min="37" max="37" width="5.25" bestFit="1" customWidth="1"/>
    <col min="38" max="38" width="8.125" bestFit="1" customWidth="1"/>
    <col min="39" max="39" width="5.25" bestFit="1" customWidth="1"/>
    <col min="40" max="40" width="8.125" bestFit="1" customWidth="1"/>
    <col min="41" max="41" width="5.25" bestFit="1" customWidth="1"/>
    <col min="42" max="42" width="8.125" bestFit="1" customWidth="1"/>
  </cols>
  <sheetData>
    <row r="1" spans="1:42" x14ac:dyDescent="0.25">
      <c r="A1" s="13" t="s">
        <v>11</v>
      </c>
      <c r="B1" s="14"/>
      <c r="C1" s="14"/>
      <c r="D1" s="14"/>
    </row>
    <row r="2" spans="1:42" x14ac:dyDescent="0.25">
      <c r="A2"/>
      <c r="B2"/>
      <c r="C2"/>
      <c r="D2"/>
      <c r="E2"/>
      <c r="F2"/>
      <c r="G2"/>
      <c r="H2"/>
      <c r="I2"/>
      <c r="K2" s="28"/>
      <c r="L2" s="7"/>
      <c r="M2" s="8"/>
      <c r="N2" s="7"/>
      <c r="O2" s="7"/>
      <c r="P2" s="7"/>
      <c r="Q2" s="7"/>
      <c r="R2" s="7"/>
      <c r="S2" s="7"/>
    </row>
    <row r="3" spans="1:42" x14ac:dyDescent="0.25">
      <c r="I3" s="62" t="s">
        <v>37</v>
      </c>
      <c r="J3" s="1">
        <v>1</v>
      </c>
      <c r="K3" s="30"/>
      <c r="L3" s="9" t="s">
        <v>38</v>
      </c>
      <c r="M3" s="30"/>
      <c r="N3" s="10" t="s">
        <v>39</v>
      </c>
      <c r="O3" s="30"/>
      <c r="P3" s="9" t="s">
        <v>40</v>
      </c>
      <c r="Q3" s="30"/>
      <c r="R3" s="10" t="s">
        <v>41</v>
      </c>
      <c r="S3" s="30"/>
      <c r="T3" s="9" t="s">
        <v>42</v>
      </c>
      <c r="U3" s="30"/>
      <c r="V3" s="10" t="s">
        <v>43</v>
      </c>
      <c r="W3" s="30"/>
      <c r="X3" s="9" t="s">
        <v>44</v>
      </c>
      <c r="Y3" s="30"/>
      <c r="Z3" s="10" t="s">
        <v>45</v>
      </c>
      <c r="AA3" s="30"/>
      <c r="AB3" s="9" t="s">
        <v>46</v>
      </c>
      <c r="AC3" s="30"/>
      <c r="AD3" s="10" t="s">
        <v>47</v>
      </c>
      <c r="AE3" s="30"/>
      <c r="AF3" s="9" t="s">
        <v>48</v>
      </c>
      <c r="AG3" s="30"/>
      <c r="AH3" s="10" t="s">
        <v>49</v>
      </c>
      <c r="AI3" s="30"/>
      <c r="AJ3" s="9" t="s">
        <v>50</v>
      </c>
      <c r="AK3" s="30"/>
      <c r="AL3" s="10" t="s">
        <v>51</v>
      </c>
      <c r="AM3" s="30"/>
      <c r="AN3" s="9" t="s">
        <v>52</v>
      </c>
      <c r="AO3" s="30"/>
      <c r="AP3" s="10" t="s">
        <v>53</v>
      </c>
    </row>
    <row r="4" spans="1:42" x14ac:dyDescent="0.25">
      <c r="J4" s="17">
        <v>2</v>
      </c>
      <c r="K4" s="37" t="s">
        <v>54</v>
      </c>
      <c r="L4" s="26" t="s">
        <v>55</v>
      </c>
      <c r="M4" s="37" t="s">
        <v>56</v>
      </c>
      <c r="N4" s="26" t="s">
        <v>57</v>
      </c>
      <c r="O4" s="37" t="s">
        <v>58</v>
      </c>
      <c r="P4" s="26" t="s">
        <v>55</v>
      </c>
      <c r="Q4" s="37" t="s">
        <v>59</v>
      </c>
      <c r="R4" s="26" t="s">
        <v>57</v>
      </c>
      <c r="S4" s="37" t="s">
        <v>54</v>
      </c>
      <c r="T4" s="26" t="s">
        <v>60</v>
      </c>
      <c r="U4" s="37" t="s">
        <v>56</v>
      </c>
      <c r="V4" s="26" t="s">
        <v>61</v>
      </c>
      <c r="W4" s="37" t="s">
        <v>58</v>
      </c>
      <c r="X4" s="26" t="s">
        <v>60</v>
      </c>
      <c r="Y4" s="37" t="s">
        <v>59</v>
      </c>
      <c r="Z4" s="26" t="s">
        <v>61</v>
      </c>
      <c r="AA4" s="37" t="s">
        <v>54</v>
      </c>
      <c r="AB4" s="26" t="s">
        <v>60</v>
      </c>
      <c r="AC4" s="37" t="s">
        <v>56</v>
      </c>
      <c r="AD4" s="26" t="s">
        <v>61</v>
      </c>
      <c r="AE4" s="37" t="s">
        <v>58</v>
      </c>
      <c r="AF4" s="26" t="s">
        <v>60</v>
      </c>
      <c r="AG4" s="37" t="s">
        <v>59</v>
      </c>
      <c r="AH4" s="26" t="s">
        <v>61</v>
      </c>
      <c r="AI4" s="37" t="s">
        <v>54</v>
      </c>
      <c r="AJ4" s="26" t="s">
        <v>60</v>
      </c>
      <c r="AK4" s="37" t="s">
        <v>56</v>
      </c>
      <c r="AL4" s="26" t="s">
        <v>61</v>
      </c>
      <c r="AM4" s="37" t="s">
        <v>58</v>
      </c>
      <c r="AN4" s="26" t="s">
        <v>60</v>
      </c>
      <c r="AO4" s="37" t="s">
        <v>59</v>
      </c>
      <c r="AP4" s="26" t="s">
        <v>61</v>
      </c>
    </row>
    <row r="5" spans="1:42" x14ac:dyDescent="0.25">
      <c r="A5" s="81" t="s">
        <v>62</v>
      </c>
      <c r="J5" s="17">
        <v>3</v>
      </c>
      <c r="K5" s="38" t="s">
        <v>54</v>
      </c>
      <c r="L5" s="27" t="s">
        <v>60</v>
      </c>
      <c r="M5" s="38" t="s">
        <v>56</v>
      </c>
      <c r="N5" s="27" t="s">
        <v>61</v>
      </c>
      <c r="O5" s="38" t="s">
        <v>58</v>
      </c>
      <c r="P5" s="27" t="s">
        <v>60</v>
      </c>
      <c r="Q5" s="38" t="s">
        <v>59</v>
      </c>
      <c r="R5" s="27" t="s">
        <v>61</v>
      </c>
      <c r="S5" s="38" t="s">
        <v>54</v>
      </c>
      <c r="T5" s="27" t="s">
        <v>55</v>
      </c>
      <c r="U5" s="38" t="s">
        <v>56</v>
      </c>
      <c r="V5" s="27" t="s">
        <v>57</v>
      </c>
      <c r="W5" s="38" t="s">
        <v>58</v>
      </c>
      <c r="X5" s="27" t="s">
        <v>55</v>
      </c>
      <c r="Y5" s="38" t="s">
        <v>59</v>
      </c>
      <c r="Z5" s="27" t="s">
        <v>57</v>
      </c>
      <c r="AA5" s="38" t="s">
        <v>54</v>
      </c>
      <c r="AB5" s="27" t="s">
        <v>55</v>
      </c>
      <c r="AC5" s="38" t="s">
        <v>56</v>
      </c>
      <c r="AD5" s="27" t="s">
        <v>57</v>
      </c>
      <c r="AE5" s="38" t="s">
        <v>58</v>
      </c>
      <c r="AF5" s="27" t="s">
        <v>55</v>
      </c>
      <c r="AG5" s="38" t="s">
        <v>59</v>
      </c>
      <c r="AH5" s="27" t="s">
        <v>57</v>
      </c>
      <c r="AI5" s="38" t="s">
        <v>54</v>
      </c>
      <c r="AJ5" s="27" t="s">
        <v>55</v>
      </c>
      <c r="AK5" s="38" t="s">
        <v>56</v>
      </c>
      <c r="AL5" s="27" t="s">
        <v>57</v>
      </c>
      <c r="AM5" s="38" t="s">
        <v>58</v>
      </c>
      <c r="AN5" s="27" t="s">
        <v>55</v>
      </c>
      <c r="AO5" s="38" t="s">
        <v>59</v>
      </c>
      <c r="AP5" s="27" t="s">
        <v>57</v>
      </c>
    </row>
    <row r="6" spans="1:42" x14ac:dyDescent="0.25">
      <c r="A6" s="6" t="s">
        <v>63</v>
      </c>
      <c r="B6" s="11" t="s">
        <v>0</v>
      </c>
      <c r="C6" s="6" t="s">
        <v>64</v>
      </c>
      <c r="D6" s="6" t="s">
        <v>65</v>
      </c>
      <c r="E6" s="6" t="s">
        <v>66</v>
      </c>
      <c r="F6" s="6" t="s">
        <v>67</v>
      </c>
      <c r="G6" s="6" t="s">
        <v>6</v>
      </c>
      <c r="J6" s="17">
        <v>4</v>
      </c>
      <c r="K6" s="38" t="s">
        <v>56</v>
      </c>
      <c r="L6" s="27" t="s">
        <v>57</v>
      </c>
      <c r="M6" s="38" t="s">
        <v>58</v>
      </c>
      <c r="N6" s="27" t="s">
        <v>55</v>
      </c>
      <c r="O6" s="38" t="s">
        <v>59</v>
      </c>
      <c r="P6" s="27" t="s">
        <v>57</v>
      </c>
      <c r="Q6" s="38" t="s">
        <v>54</v>
      </c>
      <c r="R6" s="27" t="s">
        <v>55</v>
      </c>
      <c r="S6" s="38" t="s">
        <v>56</v>
      </c>
      <c r="T6" s="27" t="s">
        <v>61</v>
      </c>
      <c r="U6" s="38" t="s">
        <v>58</v>
      </c>
      <c r="V6" s="27" t="s">
        <v>60</v>
      </c>
      <c r="W6" s="38" t="s">
        <v>59</v>
      </c>
      <c r="X6" s="27" t="s">
        <v>61</v>
      </c>
      <c r="Y6" s="38" t="s">
        <v>54</v>
      </c>
      <c r="Z6" s="27" t="s">
        <v>60</v>
      </c>
      <c r="AA6" s="38" t="s">
        <v>56</v>
      </c>
      <c r="AB6" s="27" t="s">
        <v>61</v>
      </c>
      <c r="AC6" s="38" t="s">
        <v>58</v>
      </c>
      <c r="AD6" s="27" t="s">
        <v>60</v>
      </c>
      <c r="AE6" s="38" t="s">
        <v>59</v>
      </c>
      <c r="AF6" s="27" t="s">
        <v>61</v>
      </c>
      <c r="AG6" s="38" t="s">
        <v>54</v>
      </c>
      <c r="AH6" s="27" t="s">
        <v>60</v>
      </c>
      <c r="AI6" s="38" t="s">
        <v>56</v>
      </c>
      <c r="AJ6" s="27" t="s">
        <v>61</v>
      </c>
      <c r="AK6" s="38" t="s">
        <v>58</v>
      </c>
      <c r="AL6" s="27" t="s">
        <v>60</v>
      </c>
      <c r="AM6" s="38" t="s">
        <v>59</v>
      </c>
      <c r="AN6" s="27" t="s">
        <v>61</v>
      </c>
      <c r="AO6" s="38" t="s">
        <v>54</v>
      </c>
      <c r="AP6" s="27" t="s">
        <v>60</v>
      </c>
    </row>
    <row r="7" spans="1:42" x14ac:dyDescent="0.25">
      <c r="A7" s="6" t="s">
        <v>11</v>
      </c>
      <c r="B7" s="85" t="s">
        <v>68</v>
      </c>
      <c r="C7" s="45" t="s">
        <v>69</v>
      </c>
      <c r="D7" s="45" t="s">
        <v>70</v>
      </c>
      <c r="E7" s="79">
        <v>44378</v>
      </c>
      <c r="F7" s="79">
        <v>44743</v>
      </c>
      <c r="G7" s="45" t="s">
        <v>71</v>
      </c>
      <c r="H7" s="45"/>
      <c r="J7" s="17">
        <v>5</v>
      </c>
      <c r="K7" s="38" t="s">
        <v>56</v>
      </c>
      <c r="L7" s="27" t="s">
        <v>72</v>
      </c>
      <c r="M7" s="38" t="s">
        <v>58</v>
      </c>
      <c r="N7" s="27" t="s">
        <v>60</v>
      </c>
      <c r="O7" s="38" t="s">
        <v>59</v>
      </c>
      <c r="P7" s="27" t="s">
        <v>72</v>
      </c>
      <c r="Q7" s="38" t="s">
        <v>54</v>
      </c>
      <c r="R7" s="27" t="s">
        <v>60</v>
      </c>
      <c r="S7" s="38" t="s">
        <v>56</v>
      </c>
      <c r="T7" s="27" t="s">
        <v>57</v>
      </c>
      <c r="U7" s="38" t="s">
        <v>58</v>
      </c>
      <c r="V7" s="27" t="s">
        <v>55</v>
      </c>
      <c r="W7" s="38" t="s">
        <v>59</v>
      </c>
      <c r="X7" s="27" t="s">
        <v>57</v>
      </c>
      <c r="Y7" s="38" t="s">
        <v>54</v>
      </c>
      <c r="Z7" s="27" t="s">
        <v>55</v>
      </c>
      <c r="AA7" s="38" t="s">
        <v>56</v>
      </c>
      <c r="AB7" s="27" t="s">
        <v>57</v>
      </c>
      <c r="AC7" s="38" t="s">
        <v>58</v>
      </c>
      <c r="AD7" s="27" t="s">
        <v>55</v>
      </c>
      <c r="AE7" s="38" t="s">
        <v>59</v>
      </c>
      <c r="AF7" s="27" t="s">
        <v>57</v>
      </c>
      <c r="AG7" s="38" t="s">
        <v>54</v>
      </c>
      <c r="AH7" s="27" t="s">
        <v>55</v>
      </c>
      <c r="AI7" s="38" t="s">
        <v>56</v>
      </c>
      <c r="AJ7" s="27" t="s">
        <v>57</v>
      </c>
      <c r="AK7" s="38" t="s">
        <v>58</v>
      </c>
      <c r="AL7" s="27" t="s">
        <v>55</v>
      </c>
      <c r="AM7" s="38" t="s">
        <v>59</v>
      </c>
      <c r="AN7" s="27" t="s">
        <v>57</v>
      </c>
      <c r="AO7" s="38" t="s">
        <v>54</v>
      </c>
      <c r="AP7" s="27" t="s">
        <v>55</v>
      </c>
    </row>
    <row r="8" spans="1:42" x14ac:dyDescent="0.25">
      <c r="A8" s="6" t="s">
        <v>73</v>
      </c>
      <c r="B8" s="85" t="s">
        <v>74</v>
      </c>
      <c r="C8" s="45" t="s">
        <v>69</v>
      </c>
      <c r="D8" s="45" t="s">
        <v>70</v>
      </c>
      <c r="E8" s="79">
        <v>44378</v>
      </c>
      <c r="F8" s="80">
        <v>44743</v>
      </c>
      <c r="G8" s="45" t="s">
        <v>71</v>
      </c>
      <c r="H8" s="45"/>
      <c r="J8" s="17">
        <v>6</v>
      </c>
      <c r="K8" s="38" t="s">
        <v>58</v>
      </c>
      <c r="L8" s="27" t="s">
        <v>75</v>
      </c>
      <c r="M8" s="38" t="s">
        <v>59</v>
      </c>
      <c r="N8" s="27" t="s">
        <v>76</v>
      </c>
      <c r="O8" s="38" t="s">
        <v>54</v>
      </c>
      <c r="P8" s="27" t="s">
        <v>75</v>
      </c>
      <c r="Q8" s="38" t="s">
        <v>56</v>
      </c>
      <c r="R8" s="27" t="s">
        <v>76</v>
      </c>
      <c r="S8" s="38" t="s">
        <v>58</v>
      </c>
      <c r="T8" s="27" t="s">
        <v>75</v>
      </c>
      <c r="U8" s="38" t="s">
        <v>59</v>
      </c>
      <c r="V8" s="27" t="s">
        <v>76</v>
      </c>
      <c r="W8" s="38" t="s">
        <v>54</v>
      </c>
      <c r="X8" s="27" t="s">
        <v>75</v>
      </c>
      <c r="Y8" s="38" t="s">
        <v>56</v>
      </c>
      <c r="Z8" s="27" t="s">
        <v>76</v>
      </c>
      <c r="AA8" s="38" t="s">
        <v>58</v>
      </c>
      <c r="AB8" s="27" t="s">
        <v>75</v>
      </c>
      <c r="AC8" s="38" t="s">
        <v>59</v>
      </c>
      <c r="AD8" s="27" t="s">
        <v>76</v>
      </c>
      <c r="AE8" s="38" t="s">
        <v>54</v>
      </c>
      <c r="AF8" s="27" t="s">
        <v>75</v>
      </c>
      <c r="AG8" s="38" t="s">
        <v>56</v>
      </c>
      <c r="AH8" s="27" t="s">
        <v>76</v>
      </c>
      <c r="AI8" s="38" t="s">
        <v>58</v>
      </c>
      <c r="AJ8" s="27" t="s">
        <v>75</v>
      </c>
      <c r="AK8" s="38" t="s">
        <v>59</v>
      </c>
      <c r="AL8" s="27" t="s">
        <v>76</v>
      </c>
      <c r="AM8" s="38" t="s">
        <v>54</v>
      </c>
      <c r="AN8" s="27" t="s">
        <v>75</v>
      </c>
      <c r="AO8" s="38" t="s">
        <v>56</v>
      </c>
      <c r="AP8" s="27" t="s">
        <v>76</v>
      </c>
    </row>
    <row r="9" spans="1:42" x14ac:dyDescent="0.25">
      <c r="J9" s="17">
        <v>7</v>
      </c>
      <c r="K9" s="38" t="s">
        <v>58</v>
      </c>
      <c r="L9" s="27" t="s">
        <v>77</v>
      </c>
      <c r="M9" s="38" t="s">
        <v>59</v>
      </c>
      <c r="N9" s="27" t="s">
        <v>72</v>
      </c>
      <c r="O9" s="38" t="s">
        <v>54</v>
      </c>
      <c r="P9" s="27" t="s">
        <v>77</v>
      </c>
      <c r="Q9" s="38" t="s">
        <v>56</v>
      </c>
      <c r="R9" s="27" t="s">
        <v>72</v>
      </c>
      <c r="S9" s="38" t="s">
        <v>58</v>
      </c>
      <c r="T9" s="27" t="s">
        <v>78</v>
      </c>
      <c r="U9" s="38" t="s">
        <v>59</v>
      </c>
      <c r="V9" s="27" t="s">
        <v>72</v>
      </c>
      <c r="W9" s="38" t="s">
        <v>54</v>
      </c>
      <c r="X9" s="27" t="s">
        <v>78</v>
      </c>
      <c r="Y9" s="38" t="s">
        <v>56</v>
      </c>
      <c r="Z9" s="27" t="s">
        <v>72</v>
      </c>
      <c r="AA9" s="38" t="s">
        <v>58</v>
      </c>
      <c r="AB9" s="27" t="s">
        <v>78</v>
      </c>
      <c r="AC9" s="38" t="s">
        <v>59</v>
      </c>
      <c r="AD9" s="27" t="s">
        <v>72</v>
      </c>
      <c r="AE9" s="38" t="s">
        <v>54</v>
      </c>
      <c r="AF9" s="27" t="s">
        <v>78</v>
      </c>
      <c r="AG9" s="38" t="s">
        <v>56</v>
      </c>
      <c r="AH9" s="27" t="s">
        <v>72</v>
      </c>
      <c r="AI9" s="38" t="s">
        <v>58</v>
      </c>
      <c r="AJ9" s="27" t="s">
        <v>78</v>
      </c>
      <c r="AK9" s="38" t="s">
        <v>59</v>
      </c>
      <c r="AL9" s="27" t="s">
        <v>72</v>
      </c>
      <c r="AM9" s="38" t="s">
        <v>54</v>
      </c>
      <c r="AN9" s="27" t="s">
        <v>78</v>
      </c>
      <c r="AO9" s="38" t="s">
        <v>56</v>
      </c>
      <c r="AP9" s="27" t="s">
        <v>72</v>
      </c>
    </row>
    <row r="10" spans="1:42" x14ac:dyDescent="0.25">
      <c r="A10" s="81" t="s">
        <v>79</v>
      </c>
      <c r="J10" s="17">
        <v>8</v>
      </c>
      <c r="K10" s="38" t="s">
        <v>59</v>
      </c>
      <c r="L10" s="27" t="s">
        <v>76</v>
      </c>
      <c r="M10" s="38" t="s">
        <v>54</v>
      </c>
      <c r="N10" s="27" t="s">
        <v>75</v>
      </c>
      <c r="O10" s="38" t="s">
        <v>56</v>
      </c>
      <c r="P10" s="27" t="s">
        <v>76</v>
      </c>
      <c r="Q10" s="38" t="s">
        <v>58</v>
      </c>
      <c r="R10" s="27" t="s">
        <v>75</v>
      </c>
      <c r="S10" s="38" t="s">
        <v>59</v>
      </c>
      <c r="T10" s="27" t="s">
        <v>76</v>
      </c>
      <c r="U10" s="38" t="s">
        <v>54</v>
      </c>
      <c r="V10" s="27" t="s">
        <v>75</v>
      </c>
      <c r="W10" s="38" t="s">
        <v>56</v>
      </c>
      <c r="X10" s="27" t="s">
        <v>76</v>
      </c>
      <c r="Y10" s="38" t="s">
        <v>58</v>
      </c>
      <c r="Z10" s="27" t="s">
        <v>75</v>
      </c>
      <c r="AA10" s="38" t="s">
        <v>59</v>
      </c>
      <c r="AB10" s="27" t="s">
        <v>76</v>
      </c>
      <c r="AC10" s="38" t="s">
        <v>54</v>
      </c>
      <c r="AD10" s="27" t="s">
        <v>75</v>
      </c>
      <c r="AE10" s="38" t="s">
        <v>56</v>
      </c>
      <c r="AF10" s="27" t="s">
        <v>76</v>
      </c>
      <c r="AG10" s="38" t="s">
        <v>58</v>
      </c>
      <c r="AH10" s="27" t="s">
        <v>75</v>
      </c>
      <c r="AI10" s="38" t="s">
        <v>59</v>
      </c>
      <c r="AJ10" s="27" t="s">
        <v>76</v>
      </c>
      <c r="AK10" s="38" t="s">
        <v>54</v>
      </c>
      <c r="AL10" s="27" t="s">
        <v>75</v>
      </c>
      <c r="AM10" s="38" t="s">
        <v>56</v>
      </c>
      <c r="AN10" s="27" t="s">
        <v>76</v>
      </c>
      <c r="AO10" s="38" t="s">
        <v>58</v>
      </c>
      <c r="AP10" s="27" t="s">
        <v>75</v>
      </c>
    </row>
    <row r="11" spans="1:42" x14ac:dyDescent="0.25">
      <c r="A11" s="12" t="s">
        <v>80</v>
      </c>
      <c r="B11" s="15" t="s">
        <v>81</v>
      </c>
      <c r="C11" s="6" t="s">
        <v>82</v>
      </c>
      <c r="D11" s="6" t="s">
        <v>83</v>
      </c>
      <c r="E11" s="6" t="s">
        <v>84</v>
      </c>
      <c r="J11" s="17">
        <v>9</v>
      </c>
      <c r="K11" s="38" t="s">
        <v>59</v>
      </c>
      <c r="L11" s="27" t="s">
        <v>61</v>
      </c>
      <c r="M11" s="39" t="s">
        <v>54</v>
      </c>
      <c r="N11" s="27" t="s">
        <v>77</v>
      </c>
      <c r="O11" s="38" t="s">
        <v>56</v>
      </c>
      <c r="P11" s="27" t="s">
        <v>61</v>
      </c>
      <c r="Q11" s="39" t="s">
        <v>58</v>
      </c>
      <c r="R11" s="27" t="s">
        <v>77</v>
      </c>
      <c r="S11" s="38" t="s">
        <v>59</v>
      </c>
      <c r="T11" s="27" t="s">
        <v>72</v>
      </c>
      <c r="U11" s="39" t="s">
        <v>54</v>
      </c>
      <c r="V11" s="27" t="s">
        <v>78</v>
      </c>
      <c r="W11" s="38" t="s">
        <v>56</v>
      </c>
      <c r="X11" s="27" t="s">
        <v>72</v>
      </c>
      <c r="Y11" s="39" t="s">
        <v>58</v>
      </c>
      <c r="Z11" s="27" t="s">
        <v>78</v>
      </c>
      <c r="AA11" s="38" t="s">
        <v>59</v>
      </c>
      <c r="AB11" s="27" t="s">
        <v>72</v>
      </c>
      <c r="AC11" s="39" t="s">
        <v>54</v>
      </c>
      <c r="AD11" s="27" t="s">
        <v>78</v>
      </c>
      <c r="AE11" s="38" t="s">
        <v>56</v>
      </c>
      <c r="AF11" s="27" t="s">
        <v>72</v>
      </c>
      <c r="AG11" s="39" t="s">
        <v>58</v>
      </c>
      <c r="AH11" s="27" t="s">
        <v>78</v>
      </c>
      <c r="AI11" s="38" t="s">
        <v>59</v>
      </c>
      <c r="AJ11" s="27" t="s">
        <v>72</v>
      </c>
      <c r="AK11" s="39" t="s">
        <v>54</v>
      </c>
      <c r="AL11" s="27" t="s">
        <v>78</v>
      </c>
      <c r="AM11" s="38" t="s">
        <v>56</v>
      </c>
      <c r="AN11" s="27" t="s">
        <v>72</v>
      </c>
      <c r="AO11" s="39" t="s">
        <v>58</v>
      </c>
      <c r="AP11" s="27" t="s">
        <v>78</v>
      </c>
    </row>
    <row r="12" spans="1:42" x14ac:dyDescent="0.25">
      <c r="A12" s="6" t="s">
        <v>17</v>
      </c>
      <c r="B12" s="45" t="s">
        <v>24</v>
      </c>
      <c r="C12" s="45" t="s">
        <v>25</v>
      </c>
      <c r="D12" s="45" t="s">
        <v>26</v>
      </c>
      <c r="E12" s="45" t="s">
        <v>27</v>
      </c>
      <c r="J12" s="17">
        <v>10</v>
      </c>
      <c r="K12" s="98" t="s">
        <v>85</v>
      </c>
      <c r="L12" s="26" t="s">
        <v>86</v>
      </c>
      <c r="M12" s="98" t="s">
        <v>87</v>
      </c>
      <c r="N12" s="26" t="s">
        <v>88</v>
      </c>
      <c r="O12" s="98" t="s">
        <v>89</v>
      </c>
      <c r="P12" s="26" t="s">
        <v>86</v>
      </c>
      <c r="Q12" s="98" t="s">
        <v>90</v>
      </c>
      <c r="R12" s="26" t="s">
        <v>88</v>
      </c>
      <c r="S12" s="98" t="s">
        <v>85</v>
      </c>
      <c r="T12" s="26" t="s">
        <v>86</v>
      </c>
      <c r="U12" s="98" t="s">
        <v>87</v>
      </c>
      <c r="V12" s="26" t="s">
        <v>88</v>
      </c>
      <c r="W12" s="98" t="s">
        <v>89</v>
      </c>
      <c r="X12" s="26" t="s">
        <v>86</v>
      </c>
      <c r="Y12" s="98" t="s">
        <v>90</v>
      </c>
      <c r="Z12" s="26" t="s">
        <v>88</v>
      </c>
      <c r="AA12" s="98" t="s">
        <v>85</v>
      </c>
      <c r="AB12" s="26" t="s">
        <v>86</v>
      </c>
      <c r="AC12" s="98" t="s">
        <v>87</v>
      </c>
      <c r="AD12" s="26" t="s">
        <v>88</v>
      </c>
      <c r="AE12" s="98" t="s">
        <v>89</v>
      </c>
      <c r="AF12" s="26" t="s">
        <v>86</v>
      </c>
      <c r="AG12" s="98" t="s">
        <v>90</v>
      </c>
      <c r="AH12" s="26" t="s">
        <v>88</v>
      </c>
      <c r="AI12" s="98" t="s">
        <v>85</v>
      </c>
      <c r="AJ12" s="26" t="s">
        <v>86</v>
      </c>
      <c r="AK12" s="98" t="s">
        <v>87</v>
      </c>
      <c r="AL12" s="26" t="s">
        <v>88</v>
      </c>
      <c r="AM12" s="98" t="s">
        <v>89</v>
      </c>
      <c r="AN12" s="26" t="s">
        <v>86</v>
      </c>
      <c r="AO12" s="98" t="s">
        <v>90</v>
      </c>
      <c r="AP12" s="26" t="s">
        <v>88</v>
      </c>
    </row>
    <row r="13" spans="1:42" x14ac:dyDescent="0.25">
      <c r="A13" s="6" t="s">
        <v>91</v>
      </c>
      <c r="B13" s="45" t="s">
        <v>25</v>
      </c>
      <c r="C13" s="45" t="s">
        <v>26</v>
      </c>
      <c r="D13" s="45" t="s">
        <v>27</v>
      </c>
      <c r="E13" s="45" t="s">
        <v>24</v>
      </c>
      <c r="J13" s="17">
        <v>11</v>
      </c>
      <c r="K13" s="67" t="s">
        <v>85</v>
      </c>
      <c r="L13" s="27" t="s">
        <v>92</v>
      </c>
      <c r="M13" s="67" t="s">
        <v>87</v>
      </c>
      <c r="N13" s="27" t="s">
        <v>93</v>
      </c>
      <c r="O13" s="67" t="s">
        <v>89</v>
      </c>
      <c r="P13" s="27" t="s">
        <v>92</v>
      </c>
      <c r="Q13" s="67" t="s">
        <v>90</v>
      </c>
      <c r="R13" s="27" t="s">
        <v>93</v>
      </c>
      <c r="S13" s="67" t="s">
        <v>85</v>
      </c>
      <c r="T13" s="27" t="s">
        <v>77</v>
      </c>
      <c r="U13" s="67" t="s">
        <v>87</v>
      </c>
      <c r="V13" s="27" t="s">
        <v>93</v>
      </c>
      <c r="W13" s="67" t="s">
        <v>89</v>
      </c>
      <c r="X13" s="27" t="s">
        <v>77</v>
      </c>
      <c r="Y13" s="67" t="s">
        <v>90</v>
      </c>
      <c r="Z13" s="27" t="s">
        <v>93</v>
      </c>
      <c r="AA13" s="67" t="s">
        <v>85</v>
      </c>
      <c r="AB13" s="27" t="s">
        <v>77</v>
      </c>
      <c r="AC13" s="67" t="s">
        <v>87</v>
      </c>
      <c r="AD13" s="27" t="s">
        <v>93</v>
      </c>
      <c r="AE13" s="67" t="s">
        <v>89</v>
      </c>
      <c r="AF13" s="27" t="s">
        <v>77</v>
      </c>
      <c r="AG13" s="67" t="s">
        <v>90</v>
      </c>
      <c r="AH13" s="27" t="s">
        <v>93</v>
      </c>
      <c r="AI13" s="67" t="s">
        <v>85</v>
      </c>
      <c r="AJ13" s="27" t="s">
        <v>77</v>
      </c>
      <c r="AK13" s="67" t="s">
        <v>87</v>
      </c>
      <c r="AL13" s="27" t="s">
        <v>93</v>
      </c>
      <c r="AM13" s="67" t="s">
        <v>89</v>
      </c>
      <c r="AN13" s="27" t="s">
        <v>77</v>
      </c>
      <c r="AO13" s="67" t="s">
        <v>90</v>
      </c>
      <c r="AP13" s="27" t="s">
        <v>93</v>
      </c>
    </row>
    <row r="14" spans="1:42" x14ac:dyDescent="0.25">
      <c r="A14" s="6" t="s">
        <v>94</v>
      </c>
      <c r="B14" s="45" t="s">
        <v>26</v>
      </c>
      <c r="C14" s="45" t="s">
        <v>27</v>
      </c>
      <c r="D14" s="45" t="s">
        <v>24</v>
      </c>
      <c r="E14" s="45" t="s">
        <v>25</v>
      </c>
      <c r="J14" s="17">
        <v>12</v>
      </c>
      <c r="K14" s="67" t="s">
        <v>87</v>
      </c>
      <c r="L14" s="27" t="s">
        <v>88</v>
      </c>
      <c r="M14" s="67" t="s">
        <v>89</v>
      </c>
      <c r="N14" s="27" t="s">
        <v>86</v>
      </c>
      <c r="O14" s="67" t="s">
        <v>90</v>
      </c>
      <c r="P14" s="27" t="s">
        <v>88</v>
      </c>
      <c r="Q14" s="67" t="s">
        <v>85</v>
      </c>
      <c r="R14" s="27" t="s">
        <v>86</v>
      </c>
      <c r="S14" s="67" t="s">
        <v>87</v>
      </c>
      <c r="T14" s="27" t="s">
        <v>88</v>
      </c>
      <c r="U14" s="67" t="s">
        <v>89</v>
      </c>
      <c r="V14" s="27" t="s">
        <v>86</v>
      </c>
      <c r="W14" s="67" t="s">
        <v>90</v>
      </c>
      <c r="X14" s="27" t="s">
        <v>88</v>
      </c>
      <c r="Y14" s="67" t="s">
        <v>85</v>
      </c>
      <c r="Z14" s="27" t="s">
        <v>86</v>
      </c>
      <c r="AA14" s="67" t="s">
        <v>87</v>
      </c>
      <c r="AB14" s="27" t="s">
        <v>88</v>
      </c>
      <c r="AC14" s="67" t="s">
        <v>89</v>
      </c>
      <c r="AD14" s="27" t="s">
        <v>86</v>
      </c>
      <c r="AE14" s="67" t="s">
        <v>90</v>
      </c>
      <c r="AF14" s="27" t="s">
        <v>88</v>
      </c>
      <c r="AG14" s="67" t="s">
        <v>85</v>
      </c>
      <c r="AH14" s="27" t="s">
        <v>86</v>
      </c>
      <c r="AI14" s="67" t="s">
        <v>87</v>
      </c>
      <c r="AJ14" s="27" t="s">
        <v>88</v>
      </c>
      <c r="AK14" s="67" t="s">
        <v>89</v>
      </c>
      <c r="AL14" s="27" t="s">
        <v>86</v>
      </c>
      <c r="AM14" s="67" t="s">
        <v>90</v>
      </c>
      <c r="AN14" s="27" t="s">
        <v>88</v>
      </c>
      <c r="AO14" s="67" t="s">
        <v>85</v>
      </c>
      <c r="AP14" s="27" t="s">
        <v>86</v>
      </c>
    </row>
    <row r="15" spans="1:42" x14ac:dyDescent="0.25">
      <c r="A15" s="6" t="s">
        <v>95</v>
      </c>
      <c r="B15" s="45" t="s">
        <v>27</v>
      </c>
      <c r="C15" s="45" t="s">
        <v>24</v>
      </c>
      <c r="D15" s="45" t="s">
        <v>25</v>
      </c>
      <c r="E15" s="45" t="s">
        <v>26</v>
      </c>
      <c r="J15" s="17">
        <v>13</v>
      </c>
      <c r="K15" s="67" t="s">
        <v>87</v>
      </c>
      <c r="L15" s="27" t="s">
        <v>78</v>
      </c>
      <c r="M15" s="67" t="s">
        <v>89</v>
      </c>
      <c r="N15" s="27" t="s">
        <v>92</v>
      </c>
      <c r="O15" s="67" t="s">
        <v>90</v>
      </c>
      <c r="P15" s="27" t="s">
        <v>78</v>
      </c>
      <c r="Q15" s="67" t="s">
        <v>85</v>
      </c>
      <c r="R15" s="27" t="s">
        <v>92</v>
      </c>
      <c r="S15" s="67" t="s">
        <v>87</v>
      </c>
      <c r="T15" s="27" t="s">
        <v>78</v>
      </c>
      <c r="U15" s="67" t="s">
        <v>89</v>
      </c>
      <c r="V15" s="27" t="s">
        <v>77</v>
      </c>
      <c r="W15" s="67" t="s">
        <v>90</v>
      </c>
      <c r="X15" s="27" t="s">
        <v>78</v>
      </c>
      <c r="Y15" s="67" t="s">
        <v>85</v>
      </c>
      <c r="Z15" s="27" t="s">
        <v>77</v>
      </c>
      <c r="AA15" s="67" t="s">
        <v>87</v>
      </c>
      <c r="AB15" s="27" t="s">
        <v>78</v>
      </c>
      <c r="AC15" s="67" t="s">
        <v>89</v>
      </c>
      <c r="AD15" s="27" t="s">
        <v>77</v>
      </c>
      <c r="AE15" s="67" t="s">
        <v>90</v>
      </c>
      <c r="AF15" s="27" t="s">
        <v>78</v>
      </c>
      <c r="AG15" s="67" t="s">
        <v>85</v>
      </c>
      <c r="AH15" s="27" t="s">
        <v>77</v>
      </c>
      <c r="AI15" s="67" t="s">
        <v>87</v>
      </c>
      <c r="AJ15" s="27" t="s">
        <v>78</v>
      </c>
      <c r="AK15" s="67" t="s">
        <v>89</v>
      </c>
      <c r="AL15" s="27" t="s">
        <v>77</v>
      </c>
      <c r="AM15" s="67" t="s">
        <v>90</v>
      </c>
      <c r="AN15" s="27" t="s">
        <v>78</v>
      </c>
      <c r="AO15" s="67" t="s">
        <v>85</v>
      </c>
      <c r="AP15" s="27" t="s">
        <v>77</v>
      </c>
    </row>
    <row r="16" spans="1:42" x14ac:dyDescent="0.25">
      <c r="A16" s="6"/>
      <c r="J16" s="17">
        <v>14</v>
      </c>
      <c r="K16" s="67" t="s">
        <v>89</v>
      </c>
      <c r="L16" s="27" t="s">
        <v>96</v>
      </c>
      <c r="M16" s="67" t="s">
        <v>90</v>
      </c>
      <c r="N16" s="27" t="s">
        <v>97</v>
      </c>
      <c r="O16" s="67" t="s">
        <v>85</v>
      </c>
      <c r="P16" s="27" t="s">
        <v>96</v>
      </c>
      <c r="Q16" s="67" t="s">
        <v>87</v>
      </c>
      <c r="R16" s="27" t="s">
        <v>97</v>
      </c>
      <c r="S16" s="67" t="s">
        <v>89</v>
      </c>
      <c r="T16" s="27" t="s">
        <v>96</v>
      </c>
      <c r="U16" s="67" t="s">
        <v>90</v>
      </c>
      <c r="V16" s="27" t="s">
        <v>97</v>
      </c>
      <c r="W16" s="67" t="s">
        <v>85</v>
      </c>
      <c r="X16" s="27" t="s">
        <v>96</v>
      </c>
      <c r="Y16" s="67" t="s">
        <v>87</v>
      </c>
      <c r="Z16" s="27" t="s">
        <v>97</v>
      </c>
      <c r="AA16" s="67" t="s">
        <v>89</v>
      </c>
      <c r="AB16" s="27" t="s">
        <v>96</v>
      </c>
      <c r="AC16" s="67" t="s">
        <v>90</v>
      </c>
      <c r="AD16" s="27" t="s">
        <v>97</v>
      </c>
      <c r="AE16" s="67" t="s">
        <v>85</v>
      </c>
      <c r="AF16" s="27" t="s">
        <v>96</v>
      </c>
      <c r="AG16" s="67" t="s">
        <v>87</v>
      </c>
      <c r="AH16" s="27" t="s">
        <v>97</v>
      </c>
      <c r="AI16" s="67" t="s">
        <v>89</v>
      </c>
      <c r="AJ16" s="27" t="s">
        <v>96</v>
      </c>
      <c r="AK16" s="67" t="s">
        <v>90</v>
      </c>
      <c r="AL16" s="27" t="s">
        <v>97</v>
      </c>
      <c r="AM16" s="67" t="s">
        <v>85</v>
      </c>
      <c r="AN16" s="27" t="s">
        <v>96</v>
      </c>
      <c r="AO16" s="67" t="s">
        <v>87</v>
      </c>
      <c r="AP16" s="27" t="s">
        <v>97</v>
      </c>
    </row>
    <row r="17" spans="1:42" x14ac:dyDescent="0.25">
      <c r="A17" s="81" t="s">
        <v>98</v>
      </c>
      <c r="E17" s="16"/>
      <c r="J17" s="17">
        <v>15</v>
      </c>
      <c r="K17" s="67" t="s">
        <v>89</v>
      </c>
      <c r="L17" s="27" t="s">
        <v>78</v>
      </c>
      <c r="M17" s="67" t="s">
        <v>90</v>
      </c>
      <c r="N17" s="27" t="s">
        <v>78</v>
      </c>
      <c r="O17" s="67" t="s">
        <v>85</v>
      </c>
      <c r="P17" s="27" t="s">
        <v>78</v>
      </c>
      <c r="Q17" s="67" t="s">
        <v>87</v>
      </c>
      <c r="R17" s="27" t="s">
        <v>78</v>
      </c>
      <c r="S17" s="67" t="s">
        <v>89</v>
      </c>
      <c r="T17" s="27" t="s">
        <v>78</v>
      </c>
      <c r="U17" s="67" t="s">
        <v>90</v>
      </c>
      <c r="V17" s="27" t="s">
        <v>78</v>
      </c>
      <c r="W17" s="67" t="s">
        <v>85</v>
      </c>
      <c r="X17" s="27" t="s">
        <v>78</v>
      </c>
      <c r="Y17" s="67" t="s">
        <v>87</v>
      </c>
      <c r="Z17" s="27" t="s">
        <v>78</v>
      </c>
      <c r="AA17" s="67" t="s">
        <v>89</v>
      </c>
      <c r="AB17" s="27" t="s">
        <v>78</v>
      </c>
      <c r="AC17" s="67" t="s">
        <v>90</v>
      </c>
      <c r="AD17" s="27" t="s">
        <v>78</v>
      </c>
      <c r="AE17" s="67" t="s">
        <v>85</v>
      </c>
      <c r="AF17" s="27" t="s">
        <v>78</v>
      </c>
      <c r="AG17" s="67" t="s">
        <v>87</v>
      </c>
      <c r="AH17" s="27" t="s">
        <v>78</v>
      </c>
      <c r="AI17" s="67" t="s">
        <v>89</v>
      </c>
      <c r="AJ17" s="27" t="s">
        <v>78</v>
      </c>
      <c r="AK17" s="67" t="s">
        <v>90</v>
      </c>
      <c r="AL17" s="27" t="s">
        <v>78</v>
      </c>
      <c r="AM17" s="67" t="s">
        <v>85</v>
      </c>
      <c r="AN17" s="27" t="s">
        <v>78</v>
      </c>
      <c r="AO17" s="67" t="s">
        <v>87</v>
      </c>
      <c r="AP17" s="27" t="s">
        <v>78</v>
      </c>
    </row>
    <row r="18" spans="1:42" x14ac:dyDescent="0.25">
      <c r="A18" s="6" t="s">
        <v>99</v>
      </c>
      <c r="B18" s="11" t="s">
        <v>0</v>
      </c>
      <c r="C18" s="6" t="s">
        <v>64</v>
      </c>
      <c r="D18" s="6" t="s">
        <v>65</v>
      </c>
      <c r="E18" s="6" t="s">
        <v>66</v>
      </c>
      <c r="F18" s="6" t="s">
        <v>67</v>
      </c>
      <c r="J18" s="17">
        <v>16</v>
      </c>
      <c r="K18" s="67" t="s">
        <v>90</v>
      </c>
      <c r="L18" s="27" t="s">
        <v>97</v>
      </c>
      <c r="M18" s="67" t="s">
        <v>85</v>
      </c>
      <c r="N18" s="27" t="s">
        <v>96</v>
      </c>
      <c r="O18" s="67" t="s">
        <v>87</v>
      </c>
      <c r="P18" s="27" t="s">
        <v>97</v>
      </c>
      <c r="Q18" s="67" t="s">
        <v>89</v>
      </c>
      <c r="R18" s="27" t="s">
        <v>96</v>
      </c>
      <c r="S18" s="67" t="s">
        <v>90</v>
      </c>
      <c r="T18" s="27" t="s">
        <v>97</v>
      </c>
      <c r="U18" s="67" t="s">
        <v>85</v>
      </c>
      <c r="V18" s="27" t="s">
        <v>96</v>
      </c>
      <c r="W18" s="67" t="s">
        <v>87</v>
      </c>
      <c r="X18" s="27" t="s">
        <v>97</v>
      </c>
      <c r="Y18" s="67" t="s">
        <v>89</v>
      </c>
      <c r="Z18" s="27" t="s">
        <v>96</v>
      </c>
      <c r="AA18" s="67" t="s">
        <v>90</v>
      </c>
      <c r="AB18" s="27" t="s">
        <v>97</v>
      </c>
      <c r="AC18" s="67" t="s">
        <v>85</v>
      </c>
      <c r="AD18" s="27" t="s">
        <v>96</v>
      </c>
      <c r="AE18" s="67" t="s">
        <v>87</v>
      </c>
      <c r="AF18" s="27" t="s">
        <v>97</v>
      </c>
      <c r="AG18" s="67" t="s">
        <v>89</v>
      </c>
      <c r="AH18" s="27" t="s">
        <v>96</v>
      </c>
      <c r="AI18" s="67" t="s">
        <v>90</v>
      </c>
      <c r="AJ18" s="27" t="s">
        <v>97</v>
      </c>
      <c r="AK18" s="67" t="s">
        <v>85</v>
      </c>
      <c r="AL18" s="27" t="s">
        <v>96</v>
      </c>
      <c r="AM18" s="67" t="s">
        <v>87</v>
      </c>
      <c r="AN18" s="27" t="s">
        <v>97</v>
      </c>
      <c r="AO18" s="67" t="s">
        <v>89</v>
      </c>
      <c r="AP18" s="27" t="s">
        <v>96</v>
      </c>
    </row>
    <row r="19" spans="1:42" x14ac:dyDescent="0.25">
      <c r="A19" s="6" t="s">
        <v>100</v>
      </c>
      <c r="B19" s="86" t="s">
        <v>101</v>
      </c>
      <c r="C19" s="5" t="s">
        <v>102</v>
      </c>
      <c r="D19" s="5" t="s">
        <v>103</v>
      </c>
      <c r="E19" s="80">
        <v>44562</v>
      </c>
      <c r="F19" s="80">
        <v>44562</v>
      </c>
      <c r="J19" s="17">
        <v>17</v>
      </c>
      <c r="K19" s="68" t="s">
        <v>90</v>
      </c>
      <c r="L19" s="27" t="s">
        <v>93</v>
      </c>
      <c r="M19" s="68" t="s">
        <v>85</v>
      </c>
      <c r="N19" s="27" t="s">
        <v>78</v>
      </c>
      <c r="O19" s="68" t="s">
        <v>87</v>
      </c>
      <c r="P19" s="27" t="s">
        <v>93</v>
      </c>
      <c r="Q19" s="68" t="s">
        <v>89</v>
      </c>
      <c r="R19" s="27" t="s">
        <v>78</v>
      </c>
      <c r="S19" s="68" t="s">
        <v>90</v>
      </c>
      <c r="T19" s="27" t="s">
        <v>93</v>
      </c>
      <c r="U19" s="68" t="s">
        <v>85</v>
      </c>
      <c r="V19" s="27" t="s">
        <v>78</v>
      </c>
      <c r="W19" s="68" t="s">
        <v>87</v>
      </c>
      <c r="X19" s="27" t="s">
        <v>93</v>
      </c>
      <c r="Y19" s="68" t="s">
        <v>89</v>
      </c>
      <c r="Z19" s="27" t="s">
        <v>78</v>
      </c>
      <c r="AA19" s="68" t="s">
        <v>90</v>
      </c>
      <c r="AB19" s="27" t="s">
        <v>93</v>
      </c>
      <c r="AC19" s="68" t="s">
        <v>85</v>
      </c>
      <c r="AD19" s="27" t="s">
        <v>78</v>
      </c>
      <c r="AE19" s="68" t="s">
        <v>87</v>
      </c>
      <c r="AF19" s="27" t="s">
        <v>93</v>
      </c>
      <c r="AG19" s="68" t="s">
        <v>89</v>
      </c>
      <c r="AH19" s="27" t="s">
        <v>78</v>
      </c>
      <c r="AI19" s="68" t="s">
        <v>90</v>
      </c>
      <c r="AJ19" s="27" t="s">
        <v>93</v>
      </c>
      <c r="AK19" s="68" t="s">
        <v>85</v>
      </c>
      <c r="AL19" s="27" t="s">
        <v>78</v>
      </c>
      <c r="AM19" s="68" t="s">
        <v>87</v>
      </c>
      <c r="AN19" s="27" t="s">
        <v>93</v>
      </c>
      <c r="AO19" s="68" t="s">
        <v>89</v>
      </c>
      <c r="AP19" s="27" t="s">
        <v>78</v>
      </c>
    </row>
    <row r="20" spans="1:42" x14ac:dyDescent="0.25">
      <c r="A20" s="6" t="s">
        <v>14</v>
      </c>
      <c r="B20" s="86" t="s">
        <v>104</v>
      </c>
      <c r="C20" s="5" t="s">
        <v>102</v>
      </c>
      <c r="D20" s="5" t="s">
        <v>103</v>
      </c>
      <c r="E20" s="80">
        <v>44378</v>
      </c>
      <c r="F20" s="79">
        <v>44378</v>
      </c>
      <c r="J20" s="17">
        <v>18</v>
      </c>
      <c r="K20" s="98" t="s">
        <v>105</v>
      </c>
      <c r="L20" s="26" t="s">
        <v>106</v>
      </c>
      <c r="M20" s="98" t="s">
        <v>107</v>
      </c>
      <c r="N20" s="26" t="s">
        <v>108</v>
      </c>
      <c r="O20" s="98" t="s">
        <v>109</v>
      </c>
      <c r="P20" s="26" t="s">
        <v>106</v>
      </c>
      <c r="Q20" s="98" t="s">
        <v>110</v>
      </c>
      <c r="R20" s="26" t="s">
        <v>108</v>
      </c>
      <c r="S20" s="98" t="s">
        <v>105</v>
      </c>
      <c r="T20" s="26" t="s">
        <v>106</v>
      </c>
      <c r="U20" s="98" t="s">
        <v>107</v>
      </c>
      <c r="V20" s="26" t="s">
        <v>108</v>
      </c>
      <c r="W20" s="98" t="s">
        <v>109</v>
      </c>
      <c r="X20" s="26" t="s">
        <v>106</v>
      </c>
      <c r="Y20" s="98" t="s">
        <v>110</v>
      </c>
      <c r="Z20" s="26" t="s">
        <v>108</v>
      </c>
      <c r="AA20" s="98" t="s">
        <v>105</v>
      </c>
      <c r="AB20" s="26" t="s">
        <v>106</v>
      </c>
      <c r="AC20" s="98" t="s">
        <v>107</v>
      </c>
      <c r="AD20" s="26" t="s">
        <v>108</v>
      </c>
      <c r="AE20" s="98" t="s">
        <v>109</v>
      </c>
      <c r="AF20" s="26" t="s">
        <v>106</v>
      </c>
      <c r="AG20" s="98" t="s">
        <v>110</v>
      </c>
      <c r="AH20" s="26" t="s">
        <v>108</v>
      </c>
      <c r="AI20" s="98" t="s">
        <v>105</v>
      </c>
      <c r="AJ20" s="26" t="s">
        <v>106</v>
      </c>
      <c r="AK20" s="98" t="s">
        <v>107</v>
      </c>
      <c r="AL20" s="26" t="s">
        <v>108</v>
      </c>
      <c r="AM20" s="98" t="s">
        <v>109</v>
      </c>
      <c r="AN20" s="26" t="s">
        <v>106</v>
      </c>
      <c r="AO20" s="98" t="s">
        <v>110</v>
      </c>
      <c r="AP20" s="26" t="s">
        <v>108</v>
      </c>
    </row>
    <row r="21" spans="1:42" x14ac:dyDescent="0.25">
      <c r="A21" s="4" t="s">
        <v>111</v>
      </c>
      <c r="B21" s="87" t="s">
        <v>112</v>
      </c>
      <c r="C21" s="87" t="s">
        <v>69</v>
      </c>
      <c r="D21" s="5" t="s">
        <v>103</v>
      </c>
      <c r="E21" s="88">
        <v>45292</v>
      </c>
      <c r="F21" s="84">
        <v>45292</v>
      </c>
      <c r="G21"/>
      <c r="H21"/>
      <c r="J21" s="17">
        <v>19</v>
      </c>
      <c r="K21" s="67" t="s">
        <v>105</v>
      </c>
      <c r="L21" s="27" t="s">
        <v>78</v>
      </c>
      <c r="M21" s="67" t="s">
        <v>107</v>
      </c>
      <c r="N21" s="27" t="s">
        <v>113</v>
      </c>
      <c r="O21" s="67" t="s">
        <v>109</v>
      </c>
      <c r="P21" s="27" t="s">
        <v>78</v>
      </c>
      <c r="Q21" s="67" t="s">
        <v>110</v>
      </c>
      <c r="R21" s="27" t="s">
        <v>113</v>
      </c>
      <c r="S21" s="67" t="s">
        <v>105</v>
      </c>
      <c r="T21" s="27" t="s">
        <v>92</v>
      </c>
      <c r="U21" s="67" t="s">
        <v>107</v>
      </c>
      <c r="V21" s="27" t="s">
        <v>113</v>
      </c>
      <c r="W21" s="67" t="s">
        <v>109</v>
      </c>
      <c r="X21" s="27" t="s">
        <v>92</v>
      </c>
      <c r="Y21" s="67" t="s">
        <v>110</v>
      </c>
      <c r="Z21" s="27" t="s">
        <v>113</v>
      </c>
      <c r="AA21" s="67" t="s">
        <v>105</v>
      </c>
      <c r="AB21" s="27" t="s">
        <v>92</v>
      </c>
      <c r="AC21" s="67" t="s">
        <v>107</v>
      </c>
      <c r="AD21" s="27" t="s">
        <v>113</v>
      </c>
      <c r="AE21" s="67" t="s">
        <v>109</v>
      </c>
      <c r="AF21" s="27" t="s">
        <v>92</v>
      </c>
      <c r="AG21" s="67" t="s">
        <v>110</v>
      </c>
      <c r="AH21" s="27" t="s">
        <v>113</v>
      </c>
      <c r="AI21" s="67" t="s">
        <v>105</v>
      </c>
      <c r="AJ21" s="27" t="s">
        <v>92</v>
      </c>
      <c r="AK21" s="67" t="s">
        <v>107</v>
      </c>
      <c r="AL21" s="27" t="s">
        <v>113</v>
      </c>
      <c r="AM21" s="67" t="s">
        <v>109</v>
      </c>
      <c r="AN21" s="27" t="s">
        <v>92</v>
      </c>
      <c r="AO21" s="67" t="s">
        <v>110</v>
      </c>
      <c r="AP21" s="27" t="s">
        <v>113</v>
      </c>
    </row>
    <row r="22" spans="1:42" x14ac:dyDescent="0.25">
      <c r="A22" s="6" t="s">
        <v>114</v>
      </c>
      <c r="B22" s="86" t="s">
        <v>115</v>
      </c>
      <c r="C22" s="5" t="s">
        <v>102</v>
      </c>
      <c r="D22" s="5" t="s">
        <v>103</v>
      </c>
      <c r="E22" s="80">
        <v>44743</v>
      </c>
      <c r="F22" s="80">
        <v>44743</v>
      </c>
      <c r="G22"/>
      <c r="H22"/>
      <c r="J22" s="17">
        <v>20</v>
      </c>
      <c r="K22" s="67" t="s">
        <v>107</v>
      </c>
      <c r="L22" s="27" t="s">
        <v>108</v>
      </c>
      <c r="M22" s="67" t="s">
        <v>109</v>
      </c>
      <c r="N22" s="27" t="s">
        <v>106</v>
      </c>
      <c r="O22" s="67" t="s">
        <v>110</v>
      </c>
      <c r="P22" s="27" t="s">
        <v>108</v>
      </c>
      <c r="Q22" s="67" t="s">
        <v>105</v>
      </c>
      <c r="R22" s="27" t="s">
        <v>106</v>
      </c>
      <c r="S22" s="67" t="s">
        <v>107</v>
      </c>
      <c r="T22" s="27" t="s">
        <v>108</v>
      </c>
      <c r="U22" s="67" t="s">
        <v>109</v>
      </c>
      <c r="V22" s="27" t="s">
        <v>106</v>
      </c>
      <c r="W22" s="67" t="s">
        <v>110</v>
      </c>
      <c r="X22" s="27" t="s">
        <v>108</v>
      </c>
      <c r="Y22" s="67" t="s">
        <v>105</v>
      </c>
      <c r="Z22" s="27" t="s">
        <v>106</v>
      </c>
      <c r="AA22" s="67" t="s">
        <v>107</v>
      </c>
      <c r="AB22" s="27" t="s">
        <v>108</v>
      </c>
      <c r="AC22" s="67" t="s">
        <v>109</v>
      </c>
      <c r="AD22" s="27" t="s">
        <v>106</v>
      </c>
      <c r="AE22" s="67" t="s">
        <v>110</v>
      </c>
      <c r="AF22" s="27" t="s">
        <v>108</v>
      </c>
      <c r="AG22" s="67" t="s">
        <v>105</v>
      </c>
      <c r="AH22" s="27" t="s">
        <v>106</v>
      </c>
      <c r="AI22" s="67" t="s">
        <v>107</v>
      </c>
      <c r="AJ22" s="27" t="s">
        <v>108</v>
      </c>
      <c r="AK22" s="67" t="s">
        <v>109</v>
      </c>
      <c r="AL22" s="27" t="s">
        <v>106</v>
      </c>
      <c r="AM22" s="67" t="s">
        <v>110</v>
      </c>
      <c r="AN22" s="27" t="s">
        <v>108</v>
      </c>
      <c r="AO22" s="67" t="s">
        <v>105</v>
      </c>
      <c r="AP22" s="27" t="s">
        <v>106</v>
      </c>
    </row>
    <row r="23" spans="1:42" x14ac:dyDescent="0.25">
      <c r="F23"/>
      <c r="G23"/>
      <c r="H23"/>
      <c r="J23" s="17">
        <v>21</v>
      </c>
      <c r="K23" s="67" t="s">
        <v>107</v>
      </c>
      <c r="L23" s="27" t="s">
        <v>113</v>
      </c>
      <c r="M23" s="67" t="s">
        <v>109</v>
      </c>
      <c r="N23" s="27" t="s">
        <v>78</v>
      </c>
      <c r="O23" s="67" t="s">
        <v>110</v>
      </c>
      <c r="P23" s="27" t="s">
        <v>113</v>
      </c>
      <c r="Q23" s="67" t="s">
        <v>105</v>
      </c>
      <c r="R23" s="27" t="s">
        <v>78</v>
      </c>
      <c r="S23" s="67" t="s">
        <v>107</v>
      </c>
      <c r="T23" s="27" t="s">
        <v>113</v>
      </c>
      <c r="U23" s="67" t="s">
        <v>109</v>
      </c>
      <c r="V23" s="27" t="s">
        <v>92</v>
      </c>
      <c r="W23" s="67" t="s">
        <v>110</v>
      </c>
      <c r="X23" s="27" t="s">
        <v>113</v>
      </c>
      <c r="Y23" s="67" t="s">
        <v>105</v>
      </c>
      <c r="Z23" s="27" t="s">
        <v>92</v>
      </c>
      <c r="AA23" s="67" t="s">
        <v>107</v>
      </c>
      <c r="AB23" s="27" t="s">
        <v>113</v>
      </c>
      <c r="AC23" s="67" t="s">
        <v>109</v>
      </c>
      <c r="AD23" s="27" t="s">
        <v>92</v>
      </c>
      <c r="AE23" s="67" t="s">
        <v>110</v>
      </c>
      <c r="AF23" s="27" t="s">
        <v>113</v>
      </c>
      <c r="AG23" s="67" t="s">
        <v>105</v>
      </c>
      <c r="AH23" s="27" t="s">
        <v>92</v>
      </c>
      <c r="AI23" s="67" t="s">
        <v>107</v>
      </c>
      <c r="AJ23" s="27" t="s">
        <v>113</v>
      </c>
      <c r="AK23" s="67" t="s">
        <v>109</v>
      </c>
      <c r="AL23" s="27" t="s">
        <v>92</v>
      </c>
      <c r="AM23" s="67" t="s">
        <v>110</v>
      </c>
      <c r="AN23" s="27" t="s">
        <v>113</v>
      </c>
      <c r="AO23" s="67" t="s">
        <v>105</v>
      </c>
      <c r="AP23" s="27" t="s">
        <v>92</v>
      </c>
    </row>
    <row r="24" spans="1:42" x14ac:dyDescent="0.25">
      <c r="A24"/>
      <c r="B24"/>
      <c r="C24"/>
      <c r="D24"/>
      <c r="E24"/>
      <c r="F24"/>
      <c r="G24"/>
      <c r="H24"/>
      <c r="J24" s="17">
        <v>22</v>
      </c>
      <c r="K24" s="67" t="s">
        <v>109</v>
      </c>
      <c r="L24" s="27" t="s">
        <v>116</v>
      </c>
      <c r="M24" s="67" t="s">
        <v>110</v>
      </c>
      <c r="N24" s="27" t="s">
        <v>117</v>
      </c>
      <c r="O24" s="67" t="s">
        <v>105</v>
      </c>
      <c r="P24" s="27" t="s">
        <v>116</v>
      </c>
      <c r="Q24" s="67" t="s">
        <v>107</v>
      </c>
      <c r="R24" s="27" t="s">
        <v>117</v>
      </c>
      <c r="S24" s="67" t="s">
        <v>109</v>
      </c>
      <c r="T24" s="27" t="s">
        <v>116</v>
      </c>
      <c r="U24" s="67" t="s">
        <v>110</v>
      </c>
      <c r="V24" s="27" t="s">
        <v>117</v>
      </c>
      <c r="W24" s="67" t="s">
        <v>105</v>
      </c>
      <c r="X24" s="27" t="s">
        <v>116</v>
      </c>
      <c r="Y24" s="67" t="s">
        <v>107</v>
      </c>
      <c r="Z24" s="27" t="s">
        <v>117</v>
      </c>
      <c r="AA24" s="67" t="s">
        <v>109</v>
      </c>
      <c r="AB24" s="27" t="s">
        <v>116</v>
      </c>
      <c r="AC24" s="67" t="s">
        <v>110</v>
      </c>
      <c r="AD24" s="27" t="s">
        <v>117</v>
      </c>
      <c r="AE24" s="67" t="s">
        <v>105</v>
      </c>
      <c r="AF24" s="27" t="s">
        <v>116</v>
      </c>
      <c r="AG24" s="67" t="s">
        <v>107</v>
      </c>
      <c r="AH24" s="27" t="s">
        <v>117</v>
      </c>
      <c r="AI24" s="67" t="s">
        <v>109</v>
      </c>
      <c r="AJ24" s="27" t="s">
        <v>116</v>
      </c>
      <c r="AK24" s="67" t="s">
        <v>110</v>
      </c>
      <c r="AL24" s="27" t="s">
        <v>117</v>
      </c>
      <c r="AM24" s="67" t="s">
        <v>105</v>
      </c>
      <c r="AN24" s="27" t="s">
        <v>116</v>
      </c>
      <c r="AO24" s="67" t="s">
        <v>107</v>
      </c>
      <c r="AP24" s="27" t="s">
        <v>117</v>
      </c>
    </row>
    <row r="25" spans="1:42" x14ac:dyDescent="0.25">
      <c r="A25"/>
      <c r="B25"/>
      <c r="C25"/>
      <c r="D25"/>
      <c r="E25"/>
      <c r="F25"/>
      <c r="G25"/>
      <c r="H25"/>
      <c r="J25" s="17">
        <v>23</v>
      </c>
      <c r="K25" s="67" t="s">
        <v>109</v>
      </c>
      <c r="L25" s="27" t="s">
        <v>118</v>
      </c>
      <c r="M25" s="67" t="s">
        <v>110</v>
      </c>
      <c r="N25" s="27" t="s">
        <v>78</v>
      </c>
      <c r="O25" s="67" t="s">
        <v>105</v>
      </c>
      <c r="P25" s="27" t="s">
        <v>118</v>
      </c>
      <c r="Q25" s="67" t="s">
        <v>107</v>
      </c>
      <c r="R25" s="27" t="s">
        <v>78</v>
      </c>
      <c r="S25" s="67" t="s">
        <v>109</v>
      </c>
      <c r="T25" s="27" t="s">
        <v>118</v>
      </c>
      <c r="U25" s="67" t="s">
        <v>110</v>
      </c>
      <c r="V25" s="27" t="s">
        <v>78</v>
      </c>
      <c r="W25" s="67" t="s">
        <v>105</v>
      </c>
      <c r="X25" s="27" t="s">
        <v>118</v>
      </c>
      <c r="Y25" s="67" t="s">
        <v>107</v>
      </c>
      <c r="Z25" s="27" t="s">
        <v>78</v>
      </c>
      <c r="AA25" s="67" t="s">
        <v>109</v>
      </c>
      <c r="AB25" s="27" t="s">
        <v>118</v>
      </c>
      <c r="AC25" s="67" t="s">
        <v>110</v>
      </c>
      <c r="AD25" s="27" t="s">
        <v>78</v>
      </c>
      <c r="AE25" s="67" t="s">
        <v>105</v>
      </c>
      <c r="AF25" s="27" t="s">
        <v>118</v>
      </c>
      <c r="AG25" s="67" t="s">
        <v>107</v>
      </c>
      <c r="AH25" s="27" t="s">
        <v>78</v>
      </c>
      <c r="AI25" s="67" t="s">
        <v>109</v>
      </c>
      <c r="AJ25" s="27" t="s">
        <v>118</v>
      </c>
      <c r="AK25" s="67" t="s">
        <v>110</v>
      </c>
      <c r="AL25" s="27" t="s">
        <v>78</v>
      </c>
      <c r="AM25" s="67" t="s">
        <v>105</v>
      </c>
      <c r="AN25" s="27" t="s">
        <v>118</v>
      </c>
      <c r="AO25" s="67" t="s">
        <v>107</v>
      </c>
      <c r="AP25" s="27" t="s">
        <v>78</v>
      </c>
    </row>
    <row r="26" spans="1:42" x14ac:dyDescent="0.25">
      <c r="A26" s="78" t="s">
        <v>119</v>
      </c>
      <c r="B26"/>
      <c r="C26"/>
      <c r="D26"/>
      <c r="E26"/>
      <c r="F26"/>
      <c r="G26"/>
      <c r="H26"/>
      <c r="J26" s="17">
        <v>24</v>
      </c>
      <c r="K26" s="67" t="s">
        <v>110</v>
      </c>
      <c r="L26" s="27" t="s">
        <v>117</v>
      </c>
      <c r="M26" s="67" t="s">
        <v>105</v>
      </c>
      <c r="N26" s="27" t="s">
        <v>116</v>
      </c>
      <c r="O26" s="67" t="s">
        <v>107</v>
      </c>
      <c r="P26" s="27" t="s">
        <v>117</v>
      </c>
      <c r="Q26" s="67" t="s">
        <v>109</v>
      </c>
      <c r="R26" s="27" t="s">
        <v>116</v>
      </c>
      <c r="S26" s="67" t="s">
        <v>110</v>
      </c>
      <c r="T26" s="27" t="s">
        <v>117</v>
      </c>
      <c r="U26" s="67" t="s">
        <v>105</v>
      </c>
      <c r="V26" s="27" t="s">
        <v>116</v>
      </c>
      <c r="W26" s="67" t="s">
        <v>107</v>
      </c>
      <c r="X26" s="27" t="s">
        <v>117</v>
      </c>
      <c r="Y26" s="67" t="s">
        <v>109</v>
      </c>
      <c r="Z26" s="27" t="s">
        <v>116</v>
      </c>
      <c r="AA26" s="67" t="s">
        <v>110</v>
      </c>
      <c r="AB26" s="27" t="s">
        <v>117</v>
      </c>
      <c r="AC26" s="67" t="s">
        <v>105</v>
      </c>
      <c r="AD26" s="27" t="s">
        <v>116</v>
      </c>
      <c r="AE26" s="67" t="s">
        <v>107</v>
      </c>
      <c r="AF26" s="27" t="s">
        <v>117</v>
      </c>
      <c r="AG26" s="67" t="s">
        <v>109</v>
      </c>
      <c r="AH26" s="27" t="s">
        <v>116</v>
      </c>
      <c r="AI26" s="67" t="s">
        <v>110</v>
      </c>
      <c r="AJ26" s="27" t="s">
        <v>117</v>
      </c>
      <c r="AK26" s="67" t="s">
        <v>105</v>
      </c>
      <c r="AL26" s="27" t="s">
        <v>116</v>
      </c>
      <c r="AM26" s="67" t="s">
        <v>107</v>
      </c>
      <c r="AN26" s="27" t="s">
        <v>117</v>
      </c>
      <c r="AO26" s="67" t="s">
        <v>109</v>
      </c>
      <c r="AP26" s="27" t="s">
        <v>116</v>
      </c>
    </row>
    <row r="27" spans="1:42" x14ac:dyDescent="0.25">
      <c r="A27" s="95" t="s">
        <v>120</v>
      </c>
      <c r="B27"/>
      <c r="C27"/>
      <c r="D27"/>
      <c r="E27"/>
      <c r="F27"/>
      <c r="G27"/>
      <c r="H27"/>
      <c r="J27" s="17">
        <v>25</v>
      </c>
      <c r="K27" s="68" t="s">
        <v>110</v>
      </c>
      <c r="L27" s="27" t="s">
        <v>78</v>
      </c>
      <c r="M27" s="68" t="s">
        <v>105</v>
      </c>
      <c r="N27" s="99" t="s">
        <v>118</v>
      </c>
      <c r="O27" s="68" t="s">
        <v>107</v>
      </c>
      <c r="P27" s="27" t="s">
        <v>78</v>
      </c>
      <c r="Q27" s="68" t="s">
        <v>109</v>
      </c>
      <c r="R27" s="99" t="s">
        <v>118</v>
      </c>
      <c r="S27" s="68" t="s">
        <v>110</v>
      </c>
      <c r="T27" s="27" t="s">
        <v>78</v>
      </c>
      <c r="U27" s="68" t="s">
        <v>105</v>
      </c>
      <c r="V27" s="99" t="s">
        <v>118</v>
      </c>
      <c r="W27" s="68" t="s">
        <v>107</v>
      </c>
      <c r="X27" s="27" t="s">
        <v>78</v>
      </c>
      <c r="Y27" s="68" t="s">
        <v>109</v>
      </c>
      <c r="Z27" s="99" t="s">
        <v>118</v>
      </c>
      <c r="AA27" s="68" t="s">
        <v>110</v>
      </c>
      <c r="AB27" s="27" t="s">
        <v>78</v>
      </c>
      <c r="AC27" s="68" t="s">
        <v>105</v>
      </c>
      <c r="AD27" s="99" t="s">
        <v>118</v>
      </c>
      <c r="AE27" s="68" t="s">
        <v>107</v>
      </c>
      <c r="AF27" s="27" t="s">
        <v>78</v>
      </c>
      <c r="AG27" s="68" t="s">
        <v>109</v>
      </c>
      <c r="AH27" s="99" t="s">
        <v>118</v>
      </c>
      <c r="AI27" s="68" t="s">
        <v>110</v>
      </c>
      <c r="AJ27" s="27" t="s">
        <v>78</v>
      </c>
      <c r="AK27" s="68" t="s">
        <v>105</v>
      </c>
      <c r="AL27" s="99" t="s">
        <v>118</v>
      </c>
      <c r="AM27" s="68" t="s">
        <v>107</v>
      </c>
      <c r="AN27" s="27" t="s">
        <v>78</v>
      </c>
      <c r="AO27" s="68" t="s">
        <v>109</v>
      </c>
      <c r="AP27" s="99" t="s">
        <v>118</v>
      </c>
    </row>
    <row r="28" spans="1:42" x14ac:dyDescent="0.25">
      <c r="A28" s="95" t="s">
        <v>121</v>
      </c>
      <c r="B28"/>
      <c r="C28"/>
      <c r="D28"/>
      <c r="E28"/>
      <c r="F28"/>
      <c r="G28"/>
      <c r="H28"/>
      <c r="K28" s="29"/>
      <c r="L28" s="50" t="s">
        <v>122</v>
      </c>
      <c r="M28" s="29"/>
      <c r="N28" s="50" t="s">
        <v>122</v>
      </c>
      <c r="O28" s="29"/>
      <c r="P28" s="50" t="s">
        <v>122</v>
      </c>
      <c r="Q28" s="29"/>
      <c r="R28" s="50" t="s">
        <v>122</v>
      </c>
      <c r="S28" s="29"/>
      <c r="T28" s="50" t="s">
        <v>122</v>
      </c>
      <c r="U28" s="29"/>
      <c r="V28" s="50" t="s">
        <v>122</v>
      </c>
      <c r="W28" s="29"/>
      <c r="X28" s="50" t="s">
        <v>122</v>
      </c>
      <c r="Y28" s="29"/>
      <c r="Z28" s="50" t="s">
        <v>122</v>
      </c>
      <c r="AA28" s="29"/>
      <c r="AB28" s="50" t="s">
        <v>122</v>
      </c>
      <c r="AC28" s="29"/>
      <c r="AD28" s="50" t="s">
        <v>122</v>
      </c>
      <c r="AE28" s="29"/>
      <c r="AF28" s="50" t="s">
        <v>122</v>
      </c>
      <c r="AG28" s="29"/>
      <c r="AH28" s="50" t="s">
        <v>122</v>
      </c>
      <c r="AI28" s="29"/>
      <c r="AJ28" s="50" t="s">
        <v>122</v>
      </c>
      <c r="AK28" s="29"/>
      <c r="AL28" s="50" t="s">
        <v>122</v>
      </c>
      <c r="AM28" s="29"/>
      <c r="AN28" s="50" t="s">
        <v>122</v>
      </c>
      <c r="AO28" s="29"/>
      <c r="AP28" s="50" t="s">
        <v>122</v>
      </c>
    </row>
    <row r="29" spans="1:42" x14ac:dyDescent="0.25">
      <c r="A29" s="95" t="s">
        <v>123</v>
      </c>
      <c r="B29"/>
      <c r="C29"/>
      <c r="D29"/>
      <c r="E29"/>
      <c r="F29"/>
      <c r="G29"/>
      <c r="H29"/>
      <c r="I29"/>
      <c r="L29" s="54" t="s">
        <v>124</v>
      </c>
      <c r="N29" s="54" t="s">
        <v>124</v>
      </c>
      <c r="P29" s="54" t="s">
        <v>124</v>
      </c>
      <c r="R29" s="54" t="s">
        <v>124</v>
      </c>
      <c r="T29" s="54" t="s">
        <v>124</v>
      </c>
      <c r="V29" s="54" t="s">
        <v>124</v>
      </c>
      <c r="X29" s="54" t="s">
        <v>124</v>
      </c>
      <c r="Z29" s="54" t="s">
        <v>124</v>
      </c>
      <c r="AB29" s="54" t="s">
        <v>124</v>
      </c>
      <c r="AD29" s="54" t="s">
        <v>124</v>
      </c>
      <c r="AF29" s="54" t="s">
        <v>124</v>
      </c>
      <c r="AH29" s="54" t="s">
        <v>124</v>
      </c>
      <c r="AJ29" s="54" t="s">
        <v>124</v>
      </c>
      <c r="AL29" s="54" t="s">
        <v>124</v>
      </c>
      <c r="AN29" s="54" t="s">
        <v>124</v>
      </c>
      <c r="AP29" s="54" t="s">
        <v>124</v>
      </c>
    </row>
    <row r="30" spans="1:42" x14ac:dyDescent="0.25">
      <c r="A30"/>
      <c r="B30"/>
      <c r="C30"/>
      <c r="D30"/>
      <c r="E30"/>
      <c r="F30"/>
      <c r="G30"/>
      <c r="H30"/>
      <c r="I30"/>
    </row>
    <row r="31" spans="1:42" x14ac:dyDescent="0.25">
      <c r="A31" s="95" t="s">
        <v>125</v>
      </c>
      <c r="B31"/>
      <c r="C31"/>
      <c r="D31"/>
      <c r="E31"/>
      <c r="F31"/>
      <c r="G31"/>
      <c r="H31"/>
      <c r="I31"/>
    </row>
    <row r="32" spans="1:42" x14ac:dyDescent="0.25">
      <c r="A32" s="73" t="s">
        <v>126</v>
      </c>
      <c r="B32"/>
      <c r="C32"/>
      <c r="D32"/>
      <c r="E32"/>
      <c r="F32"/>
      <c r="G32"/>
      <c r="H32"/>
      <c r="I32"/>
    </row>
    <row r="33" spans="1:18" x14ac:dyDescent="0.25">
      <c r="A33"/>
      <c r="B33"/>
      <c r="C33"/>
      <c r="D33"/>
      <c r="E33"/>
      <c r="F33"/>
      <c r="G33"/>
      <c r="H33"/>
      <c r="I33" s="62" t="s">
        <v>127</v>
      </c>
      <c r="K33" s="47"/>
      <c r="L33" s="48" t="s">
        <v>101</v>
      </c>
      <c r="M33" s="47"/>
      <c r="N33" s="48" t="s">
        <v>104</v>
      </c>
      <c r="O33" s="72"/>
      <c r="P33" s="72" t="s">
        <v>112</v>
      </c>
      <c r="Q33" s="47"/>
      <c r="R33" s="48" t="s">
        <v>115</v>
      </c>
    </row>
    <row r="34" spans="1:18" ht="15.75" customHeight="1" x14ac:dyDescent="0.25">
      <c r="A34"/>
      <c r="B34"/>
      <c r="C34"/>
      <c r="D34"/>
      <c r="E34"/>
      <c r="F34"/>
      <c r="G34"/>
      <c r="H34"/>
      <c r="I34"/>
      <c r="J34" s="17">
        <v>2</v>
      </c>
      <c r="K34" s="37" t="s">
        <v>128</v>
      </c>
      <c r="L34" s="96" t="s">
        <v>129</v>
      </c>
      <c r="M34" s="37" t="s">
        <v>128</v>
      </c>
      <c r="N34" s="26" t="s">
        <v>130</v>
      </c>
      <c r="O34" s="37" t="s">
        <v>128</v>
      </c>
      <c r="P34" s="26" t="s">
        <v>131</v>
      </c>
      <c r="Q34" s="37" t="s">
        <v>128</v>
      </c>
      <c r="R34" s="26" t="s">
        <v>129</v>
      </c>
    </row>
    <row r="35" spans="1:18" x14ac:dyDescent="0.25">
      <c r="A35"/>
      <c r="B35"/>
      <c r="C35"/>
      <c r="D35"/>
      <c r="E35"/>
      <c r="F35"/>
      <c r="G35"/>
      <c r="H35"/>
      <c r="I35"/>
      <c r="J35" s="17">
        <v>3</v>
      </c>
      <c r="K35" s="38" t="s">
        <v>132</v>
      </c>
      <c r="L35" s="27" t="s">
        <v>133</v>
      </c>
      <c r="M35" s="38" t="s">
        <v>132</v>
      </c>
      <c r="N35" s="27" t="s">
        <v>134</v>
      </c>
      <c r="O35" s="38" t="s">
        <v>132</v>
      </c>
      <c r="P35" s="27" t="s">
        <v>135</v>
      </c>
      <c r="Q35" s="38" t="s">
        <v>132</v>
      </c>
      <c r="R35" s="27" t="s">
        <v>136</v>
      </c>
    </row>
    <row r="36" spans="1:18" ht="15.75" customHeight="1" x14ac:dyDescent="0.25">
      <c r="A36"/>
      <c r="B36"/>
      <c r="C36"/>
      <c r="D36"/>
      <c r="E36"/>
      <c r="F36"/>
      <c r="G36"/>
      <c r="H36"/>
      <c r="I36"/>
      <c r="J36" s="17">
        <v>4</v>
      </c>
      <c r="K36" s="38" t="s">
        <v>137</v>
      </c>
      <c r="L36" s="27" t="s">
        <v>138</v>
      </c>
      <c r="M36" s="38" t="s">
        <v>137</v>
      </c>
      <c r="N36" s="27" t="s">
        <v>139</v>
      </c>
      <c r="O36" s="38" t="s">
        <v>137</v>
      </c>
      <c r="P36" s="27" t="s">
        <v>140</v>
      </c>
      <c r="Q36" s="38" t="s">
        <v>137</v>
      </c>
      <c r="R36" s="27" t="s">
        <v>141</v>
      </c>
    </row>
    <row r="37" spans="1:18" ht="15.75" customHeight="1" x14ac:dyDescent="0.25">
      <c r="A37"/>
      <c r="B37"/>
      <c r="C37"/>
      <c r="D37"/>
      <c r="E37"/>
      <c r="I37"/>
      <c r="J37" s="17">
        <v>5</v>
      </c>
      <c r="K37" s="38" t="s">
        <v>142</v>
      </c>
      <c r="L37" s="27" t="s">
        <v>143</v>
      </c>
      <c r="M37" s="38" t="s">
        <v>142</v>
      </c>
      <c r="N37" s="27" t="s">
        <v>144</v>
      </c>
      <c r="O37" s="38" t="s">
        <v>142</v>
      </c>
      <c r="P37" s="27" t="s">
        <v>134</v>
      </c>
      <c r="Q37" s="38" t="s">
        <v>142</v>
      </c>
      <c r="R37" s="27" t="s">
        <v>145</v>
      </c>
    </row>
    <row r="38" spans="1:18" ht="16.5" customHeight="1" x14ac:dyDescent="0.25">
      <c r="A38"/>
      <c r="B38"/>
      <c r="C38"/>
      <c r="D38"/>
      <c r="E38"/>
      <c r="I38"/>
      <c r="J38" s="17">
        <v>6</v>
      </c>
      <c r="K38" s="38" t="s">
        <v>146</v>
      </c>
      <c r="L38" s="27" t="s">
        <v>134</v>
      </c>
      <c r="M38" s="38" t="s">
        <v>146</v>
      </c>
      <c r="N38" s="27" t="s">
        <v>147</v>
      </c>
      <c r="O38" s="38" t="s">
        <v>146</v>
      </c>
      <c r="P38" s="97" t="s">
        <v>148</v>
      </c>
      <c r="Q38" s="38" t="s">
        <v>146</v>
      </c>
      <c r="R38" s="27" t="s">
        <v>134</v>
      </c>
    </row>
    <row r="39" spans="1:18" x14ac:dyDescent="0.25">
      <c r="A39"/>
      <c r="B39"/>
      <c r="C39"/>
      <c r="D39"/>
      <c r="E39"/>
      <c r="I39"/>
      <c r="J39" s="17">
        <v>7</v>
      </c>
      <c r="K39" s="38" t="s">
        <v>149</v>
      </c>
      <c r="L39" s="27" t="s">
        <v>150</v>
      </c>
      <c r="M39" s="38" t="s">
        <v>149</v>
      </c>
      <c r="N39" s="27" t="s">
        <v>134</v>
      </c>
      <c r="O39" s="38" t="s">
        <v>149</v>
      </c>
      <c r="P39" s="27" t="s">
        <v>151</v>
      </c>
      <c r="Q39" s="38" t="s">
        <v>149</v>
      </c>
      <c r="R39" s="27" t="s">
        <v>152</v>
      </c>
    </row>
    <row r="40" spans="1:18" x14ac:dyDescent="0.25">
      <c r="A40"/>
      <c r="B40"/>
      <c r="C40"/>
      <c r="I40"/>
      <c r="J40" s="17">
        <v>8</v>
      </c>
      <c r="K40" s="38" t="s">
        <v>153</v>
      </c>
      <c r="L40" s="27" t="s">
        <v>154</v>
      </c>
      <c r="M40" s="38" t="s">
        <v>153</v>
      </c>
      <c r="N40" s="97" t="s">
        <v>148</v>
      </c>
      <c r="O40" s="38" t="s">
        <v>153</v>
      </c>
      <c r="P40" s="27" t="s">
        <v>155</v>
      </c>
      <c r="Q40" s="38" t="s">
        <v>153</v>
      </c>
      <c r="R40" s="27" t="s">
        <v>156</v>
      </c>
    </row>
    <row r="41" spans="1:18" x14ac:dyDescent="0.25">
      <c r="A41"/>
      <c r="B41"/>
      <c r="C41"/>
      <c r="I41"/>
      <c r="J41" s="17">
        <v>9</v>
      </c>
      <c r="K41" s="38" t="s">
        <v>157</v>
      </c>
      <c r="L41" s="27" t="s">
        <v>158</v>
      </c>
      <c r="M41" s="38" t="s">
        <v>157</v>
      </c>
      <c r="N41" s="27" t="s">
        <v>159</v>
      </c>
      <c r="O41" s="38" t="s">
        <v>157</v>
      </c>
      <c r="P41" s="27" t="s">
        <v>134</v>
      </c>
      <c r="Q41" s="38"/>
      <c r="R41" s="27" t="s">
        <v>158</v>
      </c>
    </row>
    <row r="42" spans="1:18" x14ac:dyDescent="0.25">
      <c r="A42"/>
      <c r="B42"/>
      <c r="C42"/>
      <c r="I42"/>
      <c r="J42" s="17">
        <v>10</v>
      </c>
      <c r="K42" s="38"/>
      <c r="L42" s="27"/>
      <c r="M42" s="38" t="s">
        <v>160</v>
      </c>
      <c r="N42" s="27" t="s">
        <v>161</v>
      </c>
      <c r="O42" s="67" t="s">
        <v>160</v>
      </c>
      <c r="P42" s="27" t="s">
        <v>162</v>
      </c>
      <c r="Q42" s="38"/>
      <c r="R42" s="27"/>
    </row>
    <row r="43" spans="1:18" x14ac:dyDescent="0.25">
      <c r="A43"/>
      <c r="B43"/>
      <c r="C43"/>
      <c r="I43"/>
      <c r="J43" s="17">
        <v>11</v>
      </c>
      <c r="K43" s="38"/>
      <c r="L43" s="27"/>
      <c r="M43" s="38"/>
      <c r="N43" s="27"/>
      <c r="O43" s="67" t="s">
        <v>163</v>
      </c>
      <c r="P43" s="27" t="s">
        <v>164</v>
      </c>
      <c r="Q43" s="38"/>
      <c r="R43" s="27"/>
    </row>
    <row r="44" spans="1:18" x14ac:dyDescent="0.25">
      <c r="A44"/>
      <c r="B44"/>
      <c r="C44"/>
      <c r="I44"/>
      <c r="J44" s="17">
        <v>12</v>
      </c>
      <c r="K44" s="38"/>
      <c r="L44" s="27"/>
      <c r="M44" s="38"/>
      <c r="N44" s="27"/>
      <c r="O44" s="67" t="s">
        <v>165</v>
      </c>
      <c r="P44" s="27" t="s">
        <v>166</v>
      </c>
      <c r="Q44" s="38"/>
      <c r="R44" s="27"/>
    </row>
    <row r="45" spans="1:18" x14ac:dyDescent="0.25">
      <c r="A45"/>
      <c r="B45"/>
      <c r="C45"/>
      <c r="I45"/>
      <c r="J45" s="17">
        <v>13</v>
      </c>
      <c r="K45" s="38"/>
      <c r="L45" s="27"/>
      <c r="M45" s="38"/>
      <c r="N45" s="27"/>
      <c r="O45" s="67" t="s">
        <v>167</v>
      </c>
      <c r="P45" s="27" t="s">
        <v>168</v>
      </c>
      <c r="Q45" s="38"/>
      <c r="R45" s="27"/>
    </row>
    <row r="46" spans="1:18" x14ac:dyDescent="0.25">
      <c r="A46"/>
      <c r="B46"/>
      <c r="C46"/>
      <c r="I46"/>
      <c r="J46" s="17">
        <v>14</v>
      </c>
      <c r="K46" s="38"/>
      <c r="L46" s="27"/>
      <c r="M46" s="38"/>
      <c r="N46" s="27"/>
      <c r="O46" s="67" t="s">
        <v>169</v>
      </c>
      <c r="P46" s="27" t="s">
        <v>170</v>
      </c>
      <c r="Q46" s="38"/>
      <c r="R46" s="27"/>
    </row>
    <row r="47" spans="1:18" x14ac:dyDescent="0.25">
      <c r="A47"/>
      <c r="B47"/>
      <c r="C47"/>
      <c r="F47"/>
      <c r="G47"/>
      <c r="H47"/>
      <c r="I47"/>
      <c r="J47" s="17">
        <v>15</v>
      </c>
      <c r="K47" s="38"/>
      <c r="L47" s="27"/>
      <c r="M47" s="38"/>
      <c r="N47" s="27"/>
      <c r="O47" s="67" t="s">
        <v>171</v>
      </c>
      <c r="P47" s="27" t="s">
        <v>158</v>
      </c>
      <c r="Q47" s="38"/>
      <c r="R47" s="27"/>
    </row>
    <row r="48" spans="1:18" x14ac:dyDescent="0.25">
      <c r="A48"/>
      <c r="B48"/>
      <c r="C48"/>
      <c r="D48"/>
      <c r="E48"/>
      <c r="F48"/>
      <c r="G48"/>
      <c r="H48"/>
      <c r="I48"/>
      <c r="J48" s="17">
        <v>16</v>
      </c>
      <c r="K48" s="38"/>
      <c r="L48" s="49"/>
      <c r="M48" s="38"/>
      <c r="N48" s="27"/>
      <c r="O48" s="67" t="s">
        <v>172</v>
      </c>
      <c r="P48" s="27" t="s">
        <v>173</v>
      </c>
      <c r="Q48" s="38"/>
      <c r="R48" s="27"/>
    </row>
    <row r="49" spans="1:18" x14ac:dyDescent="0.25">
      <c r="A49"/>
      <c r="B49"/>
      <c r="C49"/>
      <c r="D49"/>
      <c r="E49"/>
      <c r="F49"/>
      <c r="G49"/>
      <c r="H49"/>
      <c r="I49"/>
      <c r="J49" s="17">
        <v>17</v>
      </c>
      <c r="K49" s="39"/>
      <c r="L49" s="46"/>
      <c r="M49" s="39"/>
      <c r="N49" s="46"/>
      <c r="O49" s="68" t="s">
        <v>174</v>
      </c>
      <c r="P49" s="46"/>
      <c r="Q49" s="39"/>
      <c r="R49" s="46"/>
    </row>
    <row r="50" spans="1:18" x14ac:dyDescent="0.25">
      <c r="A50"/>
      <c r="B50"/>
      <c r="C50"/>
      <c r="D50"/>
      <c r="E50"/>
      <c r="F50"/>
      <c r="G50"/>
      <c r="H50"/>
    </row>
    <row r="51" spans="1:18" x14ac:dyDescent="0.25">
      <c r="A51"/>
      <c r="B51"/>
      <c r="C51"/>
      <c r="D51"/>
      <c r="E51"/>
      <c r="F51"/>
      <c r="G51"/>
      <c r="H51"/>
    </row>
    <row r="52" spans="1:18" x14ac:dyDescent="0.25">
      <c r="A52"/>
      <c r="B52"/>
      <c r="C52"/>
      <c r="D52"/>
      <c r="E52"/>
      <c r="F52"/>
      <c r="G52"/>
      <c r="H52"/>
    </row>
    <row r="53" spans="1:18" x14ac:dyDescent="0.25">
      <c r="A53"/>
      <c r="B53"/>
      <c r="C53"/>
      <c r="D53"/>
      <c r="E53"/>
      <c r="F53"/>
      <c r="G53"/>
      <c r="H53"/>
      <c r="I53"/>
    </row>
    <row r="54" spans="1:18" x14ac:dyDescent="0.25">
      <c r="A54"/>
      <c r="B54"/>
      <c r="C54"/>
      <c r="D54"/>
      <c r="E54"/>
      <c r="F54"/>
      <c r="G54"/>
      <c r="H54"/>
      <c r="I54"/>
    </row>
    <row r="55" spans="1:18" x14ac:dyDescent="0.25">
      <c r="A55"/>
      <c r="B55"/>
      <c r="C55"/>
      <c r="D55"/>
      <c r="E55"/>
      <c r="F55"/>
      <c r="G55"/>
      <c r="H55"/>
      <c r="I55"/>
    </row>
    <row r="56" spans="1:18" ht="24.75" customHeight="1" x14ac:dyDescent="0.25">
      <c r="A56"/>
      <c r="B56"/>
      <c r="C56"/>
      <c r="D56"/>
      <c r="E56"/>
      <c r="F56"/>
      <c r="G56"/>
      <c r="H56"/>
      <c r="I56"/>
    </row>
    <row r="57" spans="1:18" ht="22.5" customHeight="1" x14ac:dyDescent="0.25">
      <c r="A57"/>
      <c r="B57"/>
      <c r="C57"/>
      <c r="D57"/>
      <c r="E57"/>
      <c r="F57"/>
      <c r="G57"/>
      <c r="H57"/>
      <c r="I57"/>
    </row>
    <row r="58" spans="1:18" x14ac:dyDescent="0.25">
      <c r="A58"/>
      <c r="B58"/>
      <c r="C58"/>
      <c r="D58"/>
      <c r="E58"/>
      <c r="F58"/>
      <c r="G58"/>
      <c r="H58"/>
      <c r="I58"/>
    </row>
    <row r="59" spans="1:18" x14ac:dyDescent="0.25">
      <c r="A59"/>
      <c r="B59"/>
      <c r="C59"/>
      <c r="D59"/>
      <c r="E59"/>
      <c r="F59"/>
      <c r="G59"/>
      <c r="H59"/>
      <c r="I59"/>
    </row>
    <row r="60" spans="1:18" x14ac:dyDescent="0.25">
      <c r="A60"/>
      <c r="B60"/>
      <c r="C60"/>
      <c r="D60"/>
      <c r="E60"/>
      <c r="F60"/>
      <c r="G60"/>
      <c r="H60"/>
      <c r="I60"/>
    </row>
    <row r="61" spans="1:18" x14ac:dyDescent="0.25">
      <c r="I61"/>
    </row>
    <row r="62" spans="1:18" x14ac:dyDescent="0.25">
      <c r="I62"/>
    </row>
    <row r="63" spans="1:18" x14ac:dyDescent="0.25">
      <c r="I63"/>
    </row>
    <row r="64" spans="1:18" x14ac:dyDescent="0.25">
      <c r="I64"/>
    </row>
    <row r="65" spans="9:9" x14ac:dyDescent="0.25">
      <c r="I65"/>
    </row>
    <row r="66" spans="9:9" x14ac:dyDescent="0.25">
      <c r="I66"/>
    </row>
  </sheetData>
  <conditionalFormatting sqref="K4:AP27">
    <cfRule type="cellIs" dxfId="103" priority="1" operator="equal">
      <formula>"Spec"</formula>
    </cfRule>
  </conditionalFormatting>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85" zoomScaleNormal="85" workbookViewId="0">
      <pane ySplit="3" topLeftCell="A25" activePane="bottomLeft" state="frozen"/>
      <selection activeCell="A27" sqref="A27"/>
      <selection pane="bottomLeft" activeCell="A27" sqref="A27"/>
    </sheetView>
  </sheetViews>
  <sheetFormatPr defaultRowHeight="15.75" x14ac:dyDescent="0.25"/>
  <cols>
    <col min="1" max="1" width="13.875" bestFit="1" customWidth="1"/>
    <col min="2" max="2" width="6.25" style="2" bestFit="1" customWidth="1"/>
    <col min="3" max="3" width="9.375" bestFit="1" customWidth="1"/>
    <col min="4" max="4" width="69.125" bestFit="1" customWidth="1"/>
    <col min="5" max="5" width="9.375" style="2" bestFit="1" customWidth="1"/>
    <col min="6" max="6" width="45.75" customWidth="1"/>
    <col min="7" max="10" width="6.25" bestFit="1" customWidth="1"/>
    <col min="11" max="11" width="25.875" customWidth="1"/>
    <col min="12" max="15" width="6.25" style="2" bestFit="1" customWidth="1"/>
    <col min="16" max="16" width="6.25" bestFit="1" customWidth="1"/>
    <col min="17" max="17" width="6" bestFit="1" customWidth="1"/>
    <col min="18" max="21" width="6.5" bestFit="1" customWidth="1"/>
  </cols>
  <sheetData>
    <row r="1" spans="1:17" x14ac:dyDescent="0.25">
      <c r="A1" s="25">
        <v>1</v>
      </c>
      <c r="B1" s="25">
        <v>2</v>
      </c>
      <c r="C1" s="25">
        <v>3</v>
      </c>
      <c r="D1" s="25">
        <v>4</v>
      </c>
      <c r="E1" s="25">
        <v>5</v>
      </c>
      <c r="F1" s="25">
        <v>6</v>
      </c>
      <c r="G1" s="25">
        <v>7</v>
      </c>
      <c r="H1" s="25">
        <v>8</v>
      </c>
      <c r="I1" s="25">
        <v>9</v>
      </c>
      <c r="J1" s="25">
        <v>10</v>
      </c>
      <c r="L1" s="25">
        <v>7</v>
      </c>
      <c r="M1" s="25">
        <v>8</v>
      </c>
      <c r="N1" s="25">
        <v>9</v>
      </c>
      <c r="O1" s="25">
        <v>10</v>
      </c>
      <c r="P1" s="25">
        <v>11</v>
      </c>
    </row>
    <row r="2" spans="1:17" x14ac:dyDescent="0.25">
      <c r="A2" s="18"/>
      <c r="B2" s="19"/>
      <c r="C2" s="19"/>
      <c r="D2" s="18"/>
      <c r="E2" s="19"/>
      <c r="F2" s="18"/>
      <c r="G2" s="22"/>
      <c r="H2" s="19"/>
      <c r="I2" s="20"/>
      <c r="J2" s="21"/>
      <c r="K2" s="3"/>
      <c r="L2" s="18"/>
      <c r="M2" s="18"/>
      <c r="N2" s="18"/>
      <c r="O2" s="18"/>
      <c r="P2" s="18"/>
      <c r="Q2" s="3"/>
    </row>
    <row r="3" spans="1:17" ht="72.75" x14ac:dyDescent="0.25">
      <c r="A3" s="33" t="s">
        <v>0</v>
      </c>
      <c r="B3" s="33" t="s">
        <v>1</v>
      </c>
      <c r="C3" s="33" t="s">
        <v>2</v>
      </c>
      <c r="D3" s="33" t="s">
        <v>175</v>
      </c>
      <c r="E3" s="33" t="s">
        <v>5</v>
      </c>
      <c r="F3" s="33" t="s">
        <v>4</v>
      </c>
      <c r="G3" s="34" t="s">
        <v>24</v>
      </c>
      <c r="H3" s="35" t="s">
        <v>25</v>
      </c>
      <c r="I3" s="35" t="s">
        <v>26</v>
      </c>
      <c r="J3" s="36" t="s">
        <v>27</v>
      </c>
      <c r="K3" s="34" t="s">
        <v>176</v>
      </c>
      <c r="L3" s="51" t="s">
        <v>68</v>
      </c>
      <c r="M3" s="51" t="s">
        <v>101</v>
      </c>
      <c r="N3" s="51" t="s">
        <v>104</v>
      </c>
      <c r="O3" s="51" t="s">
        <v>112</v>
      </c>
      <c r="P3" s="51" t="s">
        <v>115</v>
      </c>
      <c r="Q3" s="3"/>
    </row>
    <row r="4" spans="1:17" x14ac:dyDescent="0.25">
      <c r="A4" s="6" t="s">
        <v>177</v>
      </c>
      <c r="B4" s="45"/>
      <c r="C4" s="6"/>
      <c r="D4" s="6" t="s">
        <v>178</v>
      </c>
      <c r="E4" s="45"/>
      <c r="F4" s="55"/>
      <c r="G4" s="63" t="str">
        <f>IFERROR(IF(VLOOKUP(TableHandbook[[#This Row],[UDC]],TableAvailabilities[],2,FALSE)&gt;0,"Y",""),"")</f>
        <v/>
      </c>
      <c r="H4" s="64" t="str">
        <f>IFERROR(IF(VLOOKUP(TableHandbook[[#This Row],[UDC]],TableAvailabilities[],3,FALSE)&gt;0,"Y",""),"")</f>
        <v/>
      </c>
      <c r="I4" s="65" t="str">
        <f>IFERROR(IF(VLOOKUP(TableHandbook[[#This Row],[UDC]],TableAvailabilities[],4,FALSE)&gt;0,"Y",""),"")</f>
        <v/>
      </c>
      <c r="J4" s="66" t="str">
        <f>IFERROR(IF(VLOOKUP(TableHandbook[[#This Row],[UDC]],TableAvailabilities[],5,FALSE)&gt;0,"Y",""),"")</f>
        <v/>
      </c>
      <c r="K4" s="77"/>
      <c r="L4" s="52" t="str">
        <f>IFERROR(VLOOKUP(TableHandbook[[#This Row],[UDC]],TableOBARCH[],7,FALSE),"")</f>
        <v/>
      </c>
      <c r="M4" s="53" t="str">
        <f>IFERROR(VLOOKUP(TableHandbook[[#This Row],[UDC]],TableOSCUANGAD[],7,FALSE),"")</f>
        <v/>
      </c>
      <c r="N4" s="53" t="str">
        <f>IFERROR(VLOOKUP(TableHandbook[[#This Row],[UDC]],TableOSCUCONMS[],7,FALSE),"")</f>
        <v/>
      </c>
      <c r="O4" s="53" t="str">
        <f>IFERROR(VLOOKUP(TableHandbook[[#This Row],[UDC]],TableOSCUINARS[],7,FALSE),"")</f>
        <v/>
      </c>
      <c r="P4" s="53" t="str">
        <f>IFERROR(VLOOKUP(TableHandbook[[#This Row],[UDC]],TableOSCUPLGEO[],7,FALSE),"")</f>
        <v/>
      </c>
      <c r="Q4" s="3"/>
    </row>
    <row r="5" spans="1:17" x14ac:dyDescent="0.25">
      <c r="A5" s="6" t="s">
        <v>148</v>
      </c>
      <c r="B5" s="45"/>
      <c r="C5" s="6"/>
      <c r="D5" s="6" t="s">
        <v>179</v>
      </c>
      <c r="E5" s="45">
        <v>50</v>
      </c>
      <c r="F5" s="55"/>
      <c r="G5" s="63" t="str">
        <f>IFERROR(IF(VLOOKUP(TableHandbook[[#This Row],[UDC]],TableAvailabilities[],2,FALSE)&gt;0,"Y",""),"")</f>
        <v/>
      </c>
      <c r="H5" s="64" t="str">
        <f>IFERROR(IF(VLOOKUP(TableHandbook[[#This Row],[UDC]],TableAvailabilities[],3,FALSE)&gt;0,"Y",""),"")</f>
        <v/>
      </c>
      <c r="I5" s="65" t="str">
        <f>IFERROR(IF(VLOOKUP(TableHandbook[[#This Row],[UDC]],TableAvailabilities[],4,FALSE)&gt;0,"Y",""),"")</f>
        <v/>
      </c>
      <c r="J5" s="66" t="str">
        <f>IFERROR(IF(VLOOKUP(TableHandbook[[#This Row],[UDC]],TableAvailabilities[],5,FALSE)&gt;0,"Y",""),"")</f>
        <v/>
      </c>
      <c r="K5" s="77"/>
      <c r="L5" s="57" t="str">
        <f>IFERROR(VLOOKUP(TableHandbook[[#This Row],[UDC]],TableOBARCH[],7,FALSE),"")</f>
        <v/>
      </c>
      <c r="M5" s="53" t="str">
        <f>IFERROR(VLOOKUP(TableHandbook[[#This Row],[UDC]],TableOSCUANGAD[],7,FALSE),"")</f>
        <v/>
      </c>
      <c r="N5" s="53" t="str">
        <f>IFERROR(VLOOKUP(TableHandbook[[#This Row],[UDC]],TableOSCUCONMS[],7,FALSE),"")</f>
        <v/>
      </c>
      <c r="O5" s="58" t="str">
        <f>IFERROR(VLOOKUP(TableHandbook[[#This Row],[UDC]],TableOSCUINARS[],7,FALSE),"")</f>
        <v/>
      </c>
      <c r="P5" s="58" t="str">
        <f>IFERROR(VLOOKUP(TableHandbook[[#This Row],[UDC]],TableOSCUPLGEO[],7,FALSE),"")</f>
        <v/>
      </c>
    </row>
    <row r="6" spans="1:17" x14ac:dyDescent="0.25">
      <c r="A6" s="6" t="s">
        <v>129</v>
      </c>
      <c r="B6" s="45"/>
      <c r="C6" s="6"/>
      <c r="D6" s="6" t="s">
        <v>180</v>
      </c>
      <c r="E6" s="45">
        <v>75</v>
      </c>
      <c r="F6" s="55"/>
      <c r="G6" s="63" t="str">
        <f>IFERROR(IF(VLOOKUP(TableHandbook[[#This Row],[UDC]],TableAvailabilities[],2,FALSE)&gt;0,"Y",""),"")</f>
        <v/>
      </c>
      <c r="H6" s="64" t="str">
        <f>IFERROR(IF(VLOOKUP(TableHandbook[[#This Row],[UDC]],TableAvailabilities[],3,FALSE)&gt;0,"Y",""),"")</f>
        <v/>
      </c>
      <c r="I6" s="65" t="str">
        <f>IFERROR(IF(VLOOKUP(TableHandbook[[#This Row],[UDC]],TableAvailabilities[],4,FALSE)&gt;0,"Y",""),"")</f>
        <v/>
      </c>
      <c r="J6" s="66" t="str">
        <f>IFERROR(IF(VLOOKUP(TableHandbook[[#This Row],[UDC]],TableAvailabilities[],5,FALSE)&gt;0,"Y",""),"")</f>
        <v/>
      </c>
      <c r="K6" s="77"/>
      <c r="L6" s="57" t="str">
        <f>IFERROR(VLOOKUP(TableHandbook[[#This Row],[UDC]],TableOBARCH[],7,FALSE),"")</f>
        <v/>
      </c>
      <c r="M6" s="53" t="str">
        <f>IFERROR(VLOOKUP(TableHandbook[[#This Row],[UDC]],TableOSCUANGAD[],7,FALSE),"")</f>
        <v/>
      </c>
      <c r="N6" s="53" t="str">
        <f>IFERROR(VLOOKUP(TableHandbook[[#This Row],[UDC]],TableOSCUCONMS[],7,FALSE),"")</f>
        <v/>
      </c>
      <c r="O6" s="58" t="str">
        <f>IFERROR(VLOOKUP(TableHandbook[[#This Row],[UDC]],TableOSCUINARS[],7,FALSE),"")</f>
        <v/>
      </c>
      <c r="P6" s="58" t="str">
        <f>IFERROR(VLOOKUP(TableHandbook[[#This Row],[UDC]],TableOSCUPLGEO[],7,FALSE),"")</f>
        <v/>
      </c>
    </row>
    <row r="7" spans="1:17" x14ac:dyDescent="0.25">
      <c r="A7" s="6" t="s">
        <v>150</v>
      </c>
      <c r="B7" s="45">
        <v>0</v>
      </c>
      <c r="C7" s="6"/>
      <c r="D7" s="6" t="s">
        <v>181</v>
      </c>
      <c r="E7" s="45">
        <v>25</v>
      </c>
      <c r="F7" s="55"/>
      <c r="G7" s="63" t="str">
        <f>IFERROR(IF(VLOOKUP(TableHandbook[[#This Row],[UDC]],TableAvailabilities[],2,FALSE)&gt;0,"Y",""),"")</f>
        <v/>
      </c>
      <c r="H7" s="64" t="str">
        <f>IFERROR(IF(VLOOKUP(TableHandbook[[#This Row],[UDC]],TableAvailabilities[],3,FALSE)&gt;0,"Y",""),"")</f>
        <v/>
      </c>
      <c r="I7" s="65" t="str">
        <f>IFERROR(IF(VLOOKUP(TableHandbook[[#This Row],[UDC]],TableAvailabilities[],4,FALSE)&gt;0,"Y",""),"")</f>
        <v/>
      </c>
      <c r="J7" s="66" t="str">
        <f>IFERROR(IF(VLOOKUP(TableHandbook[[#This Row],[UDC]],TableAvailabilities[],5,FALSE)&gt;0,"Y",""),"")</f>
        <v/>
      </c>
      <c r="K7" s="77"/>
      <c r="L7" s="57" t="str">
        <f>IFERROR(VLOOKUP(TableHandbook[[#This Row],[UDC]],TableOBARCH[],7,FALSE),"")</f>
        <v/>
      </c>
      <c r="M7" s="53" t="str">
        <f>IFERROR(VLOOKUP(TableHandbook[[#This Row],[UDC]],TableOSCUANGAD[],7,FALSE),"")</f>
        <v>AltCore</v>
      </c>
      <c r="N7" s="53" t="str">
        <f>IFERROR(VLOOKUP(TableHandbook[[#This Row],[UDC]],TableOSCUCONMS[],7,FALSE),"")</f>
        <v/>
      </c>
      <c r="O7" s="58" t="str">
        <f>IFERROR(VLOOKUP(TableHandbook[[#This Row],[UDC]],TableOSCUINARS[],7,FALSE),"")</f>
        <v/>
      </c>
      <c r="P7" s="58" t="str">
        <f>IFERROR(VLOOKUP(TableHandbook[[#This Row],[UDC]],TableOSCUPLGEO[],7,FALSE),"")</f>
        <v/>
      </c>
    </row>
    <row r="8" spans="1:17" x14ac:dyDescent="0.25">
      <c r="A8" s="6" t="s">
        <v>139</v>
      </c>
      <c r="B8" s="45">
        <v>0</v>
      </c>
      <c r="C8" s="6"/>
      <c r="D8" s="6" t="s">
        <v>182</v>
      </c>
      <c r="E8" s="45">
        <v>25</v>
      </c>
      <c r="F8" s="55"/>
      <c r="G8" s="63" t="str">
        <f>IFERROR(IF(VLOOKUP(TableHandbook[[#This Row],[UDC]],TableAvailabilities[],2,FALSE)&gt;0,"Y",""),"")</f>
        <v/>
      </c>
      <c r="H8" s="64" t="str">
        <f>IFERROR(IF(VLOOKUP(TableHandbook[[#This Row],[UDC]],TableAvailabilities[],3,FALSE)&gt;0,"Y",""),"")</f>
        <v/>
      </c>
      <c r="I8" s="65" t="str">
        <f>IFERROR(IF(VLOOKUP(TableHandbook[[#This Row],[UDC]],TableAvailabilities[],4,FALSE)&gt;0,"Y",""),"")</f>
        <v/>
      </c>
      <c r="J8" s="66" t="str">
        <f>IFERROR(IF(VLOOKUP(TableHandbook[[#This Row],[UDC]],TableAvailabilities[],5,FALSE)&gt;0,"Y",""),"")</f>
        <v/>
      </c>
      <c r="K8" s="77"/>
      <c r="L8" s="57" t="str">
        <f>IFERROR(VLOOKUP(TableHandbook[[#This Row],[UDC]],TableOBARCH[],7,FALSE),"")</f>
        <v/>
      </c>
      <c r="M8" s="53" t="str">
        <f>IFERROR(VLOOKUP(TableHandbook[[#This Row],[UDC]],TableOSCUANGAD[],7,FALSE),"")</f>
        <v/>
      </c>
      <c r="N8" s="53" t="str">
        <f>IFERROR(VLOOKUP(TableHandbook[[#This Row],[UDC]],TableOSCUCONMS[],7,FALSE),"")</f>
        <v>AltCore</v>
      </c>
      <c r="O8" s="58" t="str">
        <f>IFERROR(VLOOKUP(TableHandbook[[#This Row],[UDC]],TableOSCUINARS[],7,FALSE),"")</f>
        <v/>
      </c>
      <c r="P8" s="58" t="str">
        <f>IFERROR(VLOOKUP(TableHandbook[[#This Row],[UDC]],TableOSCUPLGEO[],7,FALSE),"")</f>
        <v/>
      </c>
    </row>
    <row r="9" spans="1:17" x14ac:dyDescent="0.25">
      <c r="A9" s="6" t="s">
        <v>131</v>
      </c>
      <c r="B9" s="45">
        <v>0</v>
      </c>
      <c r="C9" s="6"/>
      <c r="D9" s="6" t="s">
        <v>183</v>
      </c>
      <c r="E9" s="45">
        <v>25</v>
      </c>
      <c r="F9" s="55"/>
      <c r="G9" s="63" t="str">
        <f>IFERROR(IF(VLOOKUP(TableHandbook[[#This Row],[UDC]],TableAvailabilities[],2,FALSE)&gt;0,"Y",""),"")</f>
        <v/>
      </c>
      <c r="H9" s="64" t="str">
        <f>IFERROR(IF(VLOOKUP(TableHandbook[[#This Row],[UDC]],TableAvailabilities[],3,FALSE)&gt;0,"Y",""),"")</f>
        <v/>
      </c>
      <c r="I9" s="65" t="str">
        <f>IFERROR(IF(VLOOKUP(TableHandbook[[#This Row],[UDC]],TableAvailabilities[],4,FALSE)&gt;0,"Y",""),"")</f>
        <v/>
      </c>
      <c r="J9" s="66" t="str">
        <f>IFERROR(IF(VLOOKUP(TableHandbook[[#This Row],[UDC]],TableAvailabilities[],5,FALSE)&gt;0,"Y",""),"")</f>
        <v/>
      </c>
      <c r="K9" s="77"/>
      <c r="L9" s="57" t="str">
        <f>IFERROR(VLOOKUP(TableHandbook[[#This Row],[UDC]],TableOBARCH[],7,FALSE),"")</f>
        <v/>
      </c>
      <c r="M9" s="53" t="str">
        <f>IFERROR(VLOOKUP(TableHandbook[[#This Row],[UDC]],TableOSCUANGAD[],7,FALSE),"")</f>
        <v/>
      </c>
      <c r="N9" s="53" t="str">
        <f>IFERROR(VLOOKUP(TableHandbook[[#This Row],[UDC]],TableOSCUCONMS[],7,FALSE),"")</f>
        <v/>
      </c>
      <c r="O9" s="58" t="str">
        <f>IFERROR(VLOOKUP(TableHandbook[[#This Row],[UDC]],TableOSCUINARS[],7,FALSE),"")</f>
        <v>AltCore</v>
      </c>
      <c r="P9" s="58" t="str">
        <f>IFERROR(VLOOKUP(TableHandbook[[#This Row],[UDC]],TableOSCUPLGEO[],7,FALSE),"")</f>
        <v/>
      </c>
    </row>
    <row r="10" spans="1:17" x14ac:dyDescent="0.25">
      <c r="A10" s="6" t="s">
        <v>152</v>
      </c>
      <c r="B10" s="45">
        <v>0</v>
      </c>
      <c r="C10" s="6"/>
      <c r="D10" s="6" t="s">
        <v>184</v>
      </c>
      <c r="E10" s="45">
        <v>25</v>
      </c>
      <c r="F10" s="55"/>
      <c r="G10" s="63" t="str">
        <f>IFERROR(IF(VLOOKUP(TableHandbook[[#This Row],[UDC]],TableAvailabilities[],2,FALSE)&gt;0,"Y",""),"")</f>
        <v/>
      </c>
      <c r="H10" s="64" t="str">
        <f>IFERROR(IF(VLOOKUP(TableHandbook[[#This Row],[UDC]],TableAvailabilities[],3,FALSE)&gt;0,"Y",""),"")</f>
        <v/>
      </c>
      <c r="I10" s="65" t="str">
        <f>IFERROR(IF(VLOOKUP(TableHandbook[[#This Row],[UDC]],TableAvailabilities[],4,FALSE)&gt;0,"Y",""),"")</f>
        <v/>
      </c>
      <c r="J10" s="66" t="str">
        <f>IFERROR(IF(VLOOKUP(TableHandbook[[#This Row],[UDC]],TableAvailabilities[],5,FALSE)&gt;0,"Y",""),"")</f>
        <v/>
      </c>
      <c r="K10" s="77"/>
      <c r="L10" s="57" t="str">
        <f>IFERROR(VLOOKUP(TableHandbook[[#This Row],[UDC]],TableOBARCH[],7,FALSE),"")</f>
        <v/>
      </c>
      <c r="M10" s="53" t="str">
        <f>IFERROR(VLOOKUP(TableHandbook[[#This Row],[UDC]],TableOSCUANGAD[],7,FALSE),"")</f>
        <v/>
      </c>
      <c r="N10" s="53" t="str">
        <f>IFERROR(VLOOKUP(TableHandbook[[#This Row],[UDC]],TableOSCUCONMS[],7,FALSE),"")</f>
        <v/>
      </c>
      <c r="O10" s="58" t="str">
        <f>IFERROR(VLOOKUP(TableHandbook[[#This Row],[UDC]],TableOSCUINARS[],7,FALSE),"")</f>
        <v/>
      </c>
      <c r="P10" s="58" t="str">
        <f>IFERROR(VLOOKUP(TableHandbook[[#This Row],[UDC]],TableOSCUPLGEO[],7,FALSE),"")</f>
        <v>AltCore</v>
      </c>
    </row>
    <row r="11" spans="1:17" x14ac:dyDescent="0.25">
      <c r="A11" s="6" t="s">
        <v>72</v>
      </c>
      <c r="B11" s="45">
        <v>2</v>
      </c>
      <c r="C11" s="6" t="s">
        <v>185</v>
      </c>
      <c r="D11" s="6" t="s">
        <v>186</v>
      </c>
      <c r="E11" s="45">
        <v>25</v>
      </c>
      <c r="F11" s="55" t="s">
        <v>187</v>
      </c>
      <c r="G11" s="63" t="str">
        <f>IFERROR(IF(VLOOKUP(TableHandbook[[#This Row],[UDC]],TableAvailabilities[],2,FALSE)&gt;0,"Y",""),"")</f>
        <v/>
      </c>
      <c r="H11" s="64" t="str">
        <f>IFERROR(IF(VLOOKUP(TableHandbook[[#This Row],[UDC]],TableAvailabilities[],3,FALSE)&gt;0,"Y",""),"")</f>
        <v>Y</v>
      </c>
      <c r="I11" s="65" t="str">
        <f>IFERROR(IF(VLOOKUP(TableHandbook[[#This Row],[UDC]],TableAvailabilities[],4,FALSE)&gt;0,"Y",""),"")</f>
        <v/>
      </c>
      <c r="J11" s="66" t="str">
        <f>IFERROR(IF(VLOOKUP(TableHandbook[[#This Row],[UDC]],TableAvailabilities[],5,FALSE)&gt;0,"Y",""),"")</f>
        <v>Y</v>
      </c>
      <c r="K11" s="77"/>
      <c r="L11" s="57" t="str">
        <f>IFERROR(VLOOKUP(TableHandbook[[#This Row],[UDC]],TableOBARCH[],7,FALSE),"")</f>
        <v>Core</v>
      </c>
      <c r="M11" s="53" t="str">
        <f>IFERROR(VLOOKUP(TableHandbook[[#This Row],[UDC]],TableOSCUANGAD[],7,FALSE),"")</f>
        <v/>
      </c>
      <c r="N11" s="53" t="str">
        <f>IFERROR(VLOOKUP(TableHandbook[[#This Row],[UDC]],TableOSCUCONMS[],7,FALSE),"")</f>
        <v/>
      </c>
      <c r="O11" s="58" t="str">
        <f>IFERROR(VLOOKUP(TableHandbook[[#This Row],[UDC]],TableOSCUINARS[],7,FALSE),"")</f>
        <v/>
      </c>
      <c r="P11" s="58" t="str">
        <f>IFERROR(VLOOKUP(TableHandbook[[#This Row],[UDC]],TableOSCUPLGEO[],7,FALSE),"")</f>
        <v/>
      </c>
    </row>
    <row r="12" spans="1:17" x14ac:dyDescent="0.25">
      <c r="A12" s="6" t="s">
        <v>55</v>
      </c>
      <c r="B12" s="45">
        <v>3</v>
      </c>
      <c r="C12" s="6" t="s">
        <v>188</v>
      </c>
      <c r="D12" s="6" t="s">
        <v>189</v>
      </c>
      <c r="E12" s="45">
        <v>25</v>
      </c>
      <c r="F12" s="55" t="s">
        <v>187</v>
      </c>
      <c r="G12" s="63" t="str">
        <f>IFERROR(IF(VLOOKUP(TableHandbook[[#This Row],[UDC]],TableAvailabilities[],2,FALSE)&gt;0,"Y",""),"")</f>
        <v>Y</v>
      </c>
      <c r="H12" s="64" t="str">
        <f>IFERROR(IF(VLOOKUP(TableHandbook[[#This Row],[UDC]],TableAvailabilities[],3,FALSE)&gt;0,"Y",""),"")</f>
        <v/>
      </c>
      <c r="I12" s="65" t="str">
        <f>IFERROR(IF(VLOOKUP(TableHandbook[[#This Row],[UDC]],TableAvailabilities[],4,FALSE)&gt;0,"Y",""),"")</f>
        <v>Y</v>
      </c>
      <c r="J12" s="66" t="str">
        <f>IFERROR(IF(VLOOKUP(TableHandbook[[#This Row],[UDC]],TableAvailabilities[],5,FALSE)&gt;0,"Y",""),"")</f>
        <v/>
      </c>
      <c r="K12" s="77"/>
      <c r="L12" s="57" t="str">
        <f>IFERROR(VLOOKUP(TableHandbook[[#This Row],[UDC]],TableOBARCH[],7,FALSE),"")</f>
        <v>Core</v>
      </c>
      <c r="M12" s="53" t="str">
        <f>IFERROR(VLOOKUP(TableHandbook[[#This Row],[UDC]],TableOSCUANGAD[],7,FALSE),"")</f>
        <v/>
      </c>
      <c r="N12" s="53" t="str">
        <f>IFERROR(VLOOKUP(TableHandbook[[#This Row],[UDC]],TableOSCUCONMS[],7,FALSE),"")</f>
        <v/>
      </c>
      <c r="O12" s="58" t="str">
        <f>IFERROR(VLOOKUP(TableHandbook[[#This Row],[UDC]],TableOSCUINARS[],7,FALSE),"")</f>
        <v/>
      </c>
      <c r="P12" s="58" t="str">
        <f>IFERROR(VLOOKUP(TableHandbook[[#This Row],[UDC]],TableOSCUPLGEO[],7,FALSE),"")</f>
        <v/>
      </c>
    </row>
    <row r="13" spans="1:17" x14ac:dyDescent="0.25">
      <c r="A13" s="6" t="s">
        <v>60</v>
      </c>
      <c r="B13" s="45">
        <v>3</v>
      </c>
      <c r="C13" s="6" t="s">
        <v>190</v>
      </c>
      <c r="D13" s="6" t="s">
        <v>191</v>
      </c>
      <c r="E13" s="45">
        <v>25</v>
      </c>
      <c r="F13" s="55" t="s">
        <v>187</v>
      </c>
      <c r="G13" s="63" t="str">
        <f>IFERROR(IF(VLOOKUP(TableHandbook[[#This Row],[UDC]],TableAvailabilities[],2,FALSE)&gt;0,"Y",""),"")</f>
        <v>Y</v>
      </c>
      <c r="H13" s="64" t="str">
        <f>IFERROR(IF(VLOOKUP(TableHandbook[[#This Row],[UDC]],TableAvailabilities[],3,FALSE)&gt;0,"Y",""),"")</f>
        <v/>
      </c>
      <c r="I13" s="65" t="str">
        <f>IFERROR(IF(VLOOKUP(TableHandbook[[#This Row],[UDC]],TableAvailabilities[],4,FALSE)&gt;0,"Y",""),"")</f>
        <v>Y</v>
      </c>
      <c r="J13" s="66" t="str">
        <f>IFERROR(IF(VLOOKUP(TableHandbook[[#This Row],[UDC]],TableAvailabilities[],5,FALSE)&gt;0,"Y",""),"")</f>
        <v/>
      </c>
      <c r="K13" s="77"/>
      <c r="L13" s="57" t="str">
        <f>IFERROR(VLOOKUP(TableHandbook[[#This Row],[UDC]],TableOBARCH[],7,FALSE),"")</f>
        <v>Core</v>
      </c>
      <c r="M13" s="53" t="str">
        <f>IFERROR(VLOOKUP(TableHandbook[[#This Row],[UDC]],TableOSCUANGAD[],7,FALSE),"")</f>
        <v/>
      </c>
      <c r="N13" s="53" t="str">
        <f>IFERROR(VLOOKUP(TableHandbook[[#This Row],[UDC]],TableOSCUCONMS[],7,FALSE),"")</f>
        <v/>
      </c>
      <c r="O13" s="58" t="str">
        <f>IFERROR(VLOOKUP(TableHandbook[[#This Row],[UDC]],TableOSCUINARS[],7,FALSE),"")</f>
        <v/>
      </c>
      <c r="P13" s="58" t="str">
        <f>IFERROR(VLOOKUP(TableHandbook[[#This Row],[UDC]],TableOSCUPLGEO[],7,FALSE),"")</f>
        <v/>
      </c>
    </row>
    <row r="14" spans="1:17" x14ac:dyDescent="0.25">
      <c r="A14" s="6" t="s">
        <v>57</v>
      </c>
      <c r="B14" s="45">
        <v>3</v>
      </c>
      <c r="C14" s="6" t="s">
        <v>192</v>
      </c>
      <c r="D14" s="6" t="s">
        <v>193</v>
      </c>
      <c r="E14" s="45">
        <v>25</v>
      </c>
      <c r="F14" s="55" t="s">
        <v>187</v>
      </c>
      <c r="G14" s="63" t="str">
        <f>IFERROR(IF(VLOOKUP(TableHandbook[[#This Row],[UDC]],TableAvailabilities[],2,FALSE)&gt;0,"Y",""),"")</f>
        <v/>
      </c>
      <c r="H14" s="64" t="str">
        <f>IFERROR(IF(VLOOKUP(TableHandbook[[#This Row],[UDC]],TableAvailabilities[],3,FALSE)&gt;0,"Y",""),"")</f>
        <v>Y</v>
      </c>
      <c r="I14" s="65" t="str">
        <f>IFERROR(IF(VLOOKUP(TableHandbook[[#This Row],[UDC]],TableAvailabilities[],4,FALSE)&gt;0,"Y",""),"")</f>
        <v/>
      </c>
      <c r="J14" s="66" t="str">
        <f>IFERROR(IF(VLOOKUP(TableHandbook[[#This Row],[UDC]],TableAvailabilities[],5,FALSE)&gt;0,"Y",""),"")</f>
        <v>Y</v>
      </c>
      <c r="K14" s="77"/>
      <c r="L14" s="57" t="str">
        <f>IFERROR(VLOOKUP(TableHandbook[[#This Row],[UDC]],TableOBARCH[],7,FALSE),"")</f>
        <v>Core</v>
      </c>
      <c r="M14" s="53" t="str">
        <f>IFERROR(VLOOKUP(TableHandbook[[#This Row],[UDC]],TableOSCUANGAD[],7,FALSE),"")</f>
        <v/>
      </c>
      <c r="N14" s="53" t="str">
        <f>IFERROR(VLOOKUP(TableHandbook[[#This Row],[UDC]],TableOSCUCONMS[],7,FALSE),"")</f>
        <v/>
      </c>
      <c r="O14" s="58" t="str">
        <f>IFERROR(VLOOKUP(TableHandbook[[#This Row],[UDC]],TableOSCUINARS[],7,FALSE),"")</f>
        <v/>
      </c>
      <c r="P14" s="58" t="str">
        <f>IFERROR(VLOOKUP(TableHandbook[[#This Row],[UDC]],TableOSCUPLGEO[],7,FALSE),"")</f>
        <v/>
      </c>
    </row>
    <row r="15" spans="1:17" x14ac:dyDescent="0.25">
      <c r="A15" s="6" t="s">
        <v>76</v>
      </c>
      <c r="B15" s="45">
        <v>3</v>
      </c>
      <c r="C15" s="6" t="s">
        <v>194</v>
      </c>
      <c r="D15" s="6" t="s">
        <v>195</v>
      </c>
      <c r="E15" s="45">
        <v>25</v>
      </c>
      <c r="F15" s="55" t="s">
        <v>196</v>
      </c>
      <c r="G15" s="63" t="str">
        <f>IFERROR(IF(VLOOKUP(TableHandbook[[#This Row],[UDC]],TableAvailabilities[],2,FALSE)&gt;0,"Y",""),"")</f>
        <v/>
      </c>
      <c r="H15" s="64" t="str">
        <f>IFERROR(IF(VLOOKUP(TableHandbook[[#This Row],[UDC]],TableAvailabilities[],3,FALSE)&gt;0,"Y",""),"")</f>
        <v>Y</v>
      </c>
      <c r="I15" s="65" t="str">
        <f>IFERROR(IF(VLOOKUP(TableHandbook[[#This Row],[UDC]],TableAvailabilities[],4,FALSE)&gt;0,"Y",""),"")</f>
        <v/>
      </c>
      <c r="J15" s="66" t="str">
        <f>IFERROR(IF(VLOOKUP(TableHandbook[[#This Row],[UDC]],TableAvailabilities[],5,FALSE)&gt;0,"Y",""),"")</f>
        <v>Y</v>
      </c>
      <c r="K15" s="77"/>
      <c r="L15" s="57" t="str">
        <f>IFERROR(VLOOKUP(TableHandbook[[#This Row],[UDC]],TableOBARCH[],7,FALSE),"")</f>
        <v>Core</v>
      </c>
      <c r="M15" s="53" t="str">
        <f>IFERROR(VLOOKUP(TableHandbook[[#This Row],[UDC]],TableOSCUANGAD[],7,FALSE),"")</f>
        <v/>
      </c>
      <c r="N15" s="53" t="str">
        <f>IFERROR(VLOOKUP(TableHandbook[[#This Row],[UDC]],TableOSCUCONMS[],7,FALSE),"")</f>
        <v/>
      </c>
      <c r="O15" s="58" t="str">
        <f>IFERROR(VLOOKUP(TableHandbook[[#This Row],[UDC]],TableOSCUINARS[],7,FALSE),"")</f>
        <v/>
      </c>
      <c r="P15" s="58" t="str">
        <f>IFERROR(VLOOKUP(TableHandbook[[#This Row],[UDC]],TableOSCUPLGEO[],7,FALSE),"")</f>
        <v/>
      </c>
    </row>
    <row r="16" spans="1:17" x14ac:dyDescent="0.25">
      <c r="A16" s="6" t="s">
        <v>75</v>
      </c>
      <c r="B16" s="45">
        <v>2</v>
      </c>
      <c r="C16" s="6" t="s">
        <v>197</v>
      </c>
      <c r="D16" s="6" t="s">
        <v>198</v>
      </c>
      <c r="E16" s="45">
        <v>25</v>
      </c>
      <c r="F16" s="55" t="s">
        <v>187</v>
      </c>
      <c r="G16" s="63" t="str">
        <f>IFERROR(IF(VLOOKUP(TableHandbook[[#This Row],[UDC]],TableAvailabilities[],2,FALSE)&gt;0,"Y",""),"")</f>
        <v>Y</v>
      </c>
      <c r="H16" s="64" t="str">
        <f>IFERROR(IF(VLOOKUP(TableHandbook[[#This Row],[UDC]],TableAvailabilities[],3,FALSE)&gt;0,"Y",""),"")</f>
        <v/>
      </c>
      <c r="I16" s="65" t="str">
        <f>IFERROR(IF(VLOOKUP(TableHandbook[[#This Row],[UDC]],TableAvailabilities[],4,FALSE)&gt;0,"Y",""),"")</f>
        <v>Y</v>
      </c>
      <c r="J16" s="66" t="str">
        <f>IFERROR(IF(VLOOKUP(TableHandbook[[#This Row],[UDC]],TableAvailabilities[],5,FALSE)&gt;0,"Y",""),"")</f>
        <v/>
      </c>
      <c r="K16" s="77"/>
      <c r="L16" s="57" t="str">
        <f>IFERROR(VLOOKUP(TableHandbook[[#This Row],[UDC]],TableOBARCH[],7,FALSE),"")</f>
        <v>Core</v>
      </c>
      <c r="M16" s="53" t="str">
        <f>IFERROR(VLOOKUP(TableHandbook[[#This Row],[UDC]],TableOSCUANGAD[],7,FALSE),"")</f>
        <v/>
      </c>
      <c r="N16" s="53" t="str">
        <f>IFERROR(VLOOKUP(TableHandbook[[#This Row],[UDC]],TableOSCUCONMS[],7,FALSE),"")</f>
        <v/>
      </c>
      <c r="O16" s="58" t="str">
        <f>IFERROR(VLOOKUP(TableHandbook[[#This Row],[UDC]],TableOSCUINARS[],7,FALSE),"")</f>
        <v/>
      </c>
      <c r="P16" s="58" t="str">
        <f>IFERROR(VLOOKUP(TableHandbook[[#This Row],[UDC]],TableOSCUPLGEO[],7,FALSE),"")</f>
        <v/>
      </c>
    </row>
    <row r="17" spans="1:16" x14ac:dyDescent="0.25">
      <c r="A17" s="6" t="s">
        <v>77</v>
      </c>
      <c r="B17" s="45">
        <v>2</v>
      </c>
      <c r="C17" s="6" t="s">
        <v>199</v>
      </c>
      <c r="D17" s="6" t="s">
        <v>200</v>
      </c>
      <c r="E17" s="45">
        <v>25</v>
      </c>
      <c r="F17" s="55" t="s">
        <v>185</v>
      </c>
      <c r="G17" s="63" t="str">
        <f>IFERROR(IF(VLOOKUP(TableHandbook[[#This Row],[UDC]],TableAvailabilities[],2,FALSE)&gt;0,"Y",""),"")</f>
        <v>Y</v>
      </c>
      <c r="H17" s="64" t="str">
        <f>IFERROR(IF(VLOOKUP(TableHandbook[[#This Row],[UDC]],TableAvailabilities[],3,FALSE)&gt;0,"Y",""),"")</f>
        <v/>
      </c>
      <c r="I17" s="65" t="str">
        <f>IFERROR(IF(VLOOKUP(TableHandbook[[#This Row],[UDC]],TableAvailabilities[],4,FALSE)&gt;0,"Y",""),"")</f>
        <v>Y</v>
      </c>
      <c r="J17" s="66" t="str">
        <f>IFERROR(IF(VLOOKUP(TableHandbook[[#This Row],[UDC]],TableAvailabilities[],5,FALSE)&gt;0,"Y",""),"")</f>
        <v/>
      </c>
      <c r="K17" s="77"/>
      <c r="L17" s="57" t="str">
        <f>IFERROR(VLOOKUP(TableHandbook[[#This Row],[UDC]],TableOBARCH[],7,FALSE),"")</f>
        <v>Core</v>
      </c>
      <c r="M17" s="53" t="str">
        <f>IFERROR(VLOOKUP(TableHandbook[[#This Row],[UDC]],TableOSCUANGAD[],7,FALSE),"")</f>
        <v/>
      </c>
      <c r="N17" s="53" t="str">
        <f>IFERROR(VLOOKUP(TableHandbook[[#This Row],[UDC]],TableOSCUCONMS[],7,FALSE),"")</f>
        <v/>
      </c>
      <c r="O17" s="58" t="str">
        <f>IFERROR(VLOOKUP(TableHandbook[[#This Row],[UDC]],TableOSCUINARS[],7,FALSE),"")</f>
        <v/>
      </c>
      <c r="P17" s="58" t="str">
        <f>IFERROR(VLOOKUP(TableHandbook[[#This Row],[UDC]],TableOSCUPLGEO[],7,FALSE),"")</f>
        <v/>
      </c>
    </row>
    <row r="18" spans="1:16" x14ac:dyDescent="0.25">
      <c r="A18" s="6" t="s">
        <v>93</v>
      </c>
      <c r="B18" s="45">
        <v>4</v>
      </c>
      <c r="C18" s="6" t="s">
        <v>201</v>
      </c>
      <c r="D18" s="6" t="s">
        <v>202</v>
      </c>
      <c r="E18" s="45">
        <v>25</v>
      </c>
      <c r="F18" s="55" t="s">
        <v>187</v>
      </c>
      <c r="G18" s="63" t="str">
        <f>IFERROR(IF(VLOOKUP(TableHandbook[[#This Row],[UDC]],TableAvailabilities[],2,FALSE)&gt;0,"Y",""),"")</f>
        <v/>
      </c>
      <c r="H18" s="64" t="str">
        <f>IFERROR(IF(VLOOKUP(TableHandbook[[#This Row],[UDC]],TableAvailabilities[],3,FALSE)&gt;0,"Y",""),"")</f>
        <v>Y</v>
      </c>
      <c r="I18" s="65" t="str">
        <f>IFERROR(IF(VLOOKUP(TableHandbook[[#This Row],[UDC]],TableAvailabilities[],4,FALSE)&gt;0,"Y",""),"")</f>
        <v/>
      </c>
      <c r="J18" s="66" t="str">
        <f>IFERROR(IF(VLOOKUP(TableHandbook[[#This Row],[UDC]],TableAvailabilities[],5,FALSE)&gt;0,"Y",""),"")</f>
        <v>Y</v>
      </c>
      <c r="K18" s="77"/>
      <c r="L18" s="57" t="str">
        <f>IFERROR(VLOOKUP(TableHandbook[[#This Row],[UDC]],TableOBARCH[],7,FALSE),"")</f>
        <v>Core</v>
      </c>
      <c r="M18" s="53" t="str">
        <f>IFERROR(VLOOKUP(TableHandbook[[#This Row],[UDC]],TableOSCUANGAD[],7,FALSE),"")</f>
        <v/>
      </c>
      <c r="N18" s="53" t="str">
        <f>IFERROR(VLOOKUP(TableHandbook[[#This Row],[UDC]],TableOSCUCONMS[],7,FALSE),"")</f>
        <v/>
      </c>
      <c r="O18" s="58" t="str">
        <f>IFERROR(VLOOKUP(TableHandbook[[#This Row],[UDC]],TableOSCUINARS[],7,FALSE),"")</f>
        <v/>
      </c>
      <c r="P18" s="58" t="str">
        <f>IFERROR(VLOOKUP(TableHandbook[[#This Row],[UDC]],TableOSCUPLGEO[],7,FALSE),"")</f>
        <v/>
      </c>
    </row>
    <row r="19" spans="1:16" x14ac:dyDescent="0.25">
      <c r="A19" s="6" t="s">
        <v>97</v>
      </c>
      <c r="B19" s="45">
        <v>3</v>
      </c>
      <c r="C19" s="6" t="s">
        <v>203</v>
      </c>
      <c r="D19" s="6" t="s">
        <v>204</v>
      </c>
      <c r="E19" s="45">
        <v>25</v>
      </c>
      <c r="F19" s="55" t="s">
        <v>205</v>
      </c>
      <c r="G19" s="63" t="str">
        <f>IFERROR(IF(VLOOKUP(TableHandbook[[#This Row],[UDC]],TableAvailabilities[],2,FALSE)&gt;0,"Y",""),"")</f>
        <v/>
      </c>
      <c r="H19" s="64" t="str">
        <f>IFERROR(IF(VLOOKUP(TableHandbook[[#This Row],[UDC]],TableAvailabilities[],3,FALSE)&gt;0,"Y",""),"")</f>
        <v>Y</v>
      </c>
      <c r="I19" s="65" t="str">
        <f>IFERROR(IF(VLOOKUP(TableHandbook[[#This Row],[UDC]],TableAvailabilities[],4,FALSE)&gt;0,"Y",""),"")</f>
        <v/>
      </c>
      <c r="J19" s="66" t="str">
        <f>IFERROR(IF(VLOOKUP(TableHandbook[[#This Row],[UDC]],TableAvailabilities[],5,FALSE)&gt;0,"Y",""),"")</f>
        <v>Y</v>
      </c>
      <c r="K19" s="77"/>
      <c r="L19" s="57" t="str">
        <f>IFERROR(VLOOKUP(TableHandbook[[#This Row],[UDC]],TableOBARCH[],7,FALSE),"")</f>
        <v>Core</v>
      </c>
      <c r="M19" s="53" t="str">
        <f>IFERROR(VLOOKUP(TableHandbook[[#This Row],[UDC]],TableOSCUANGAD[],7,FALSE),"")</f>
        <v/>
      </c>
      <c r="N19" s="53" t="str">
        <f>IFERROR(VLOOKUP(TableHandbook[[#This Row],[UDC]],TableOSCUCONMS[],7,FALSE),"")</f>
        <v/>
      </c>
      <c r="O19" s="58" t="str">
        <f>IFERROR(VLOOKUP(TableHandbook[[#This Row],[UDC]],TableOSCUINARS[],7,FALSE),"")</f>
        <v/>
      </c>
      <c r="P19" s="58" t="str">
        <f>IFERROR(VLOOKUP(TableHandbook[[#This Row],[UDC]],TableOSCUPLGEO[],7,FALSE),"")</f>
        <v/>
      </c>
    </row>
    <row r="20" spans="1:16" x14ac:dyDescent="0.25">
      <c r="A20" s="6" t="s">
        <v>88</v>
      </c>
      <c r="B20" s="45">
        <v>3</v>
      </c>
      <c r="C20" s="6" t="s">
        <v>206</v>
      </c>
      <c r="D20" s="6" t="s">
        <v>207</v>
      </c>
      <c r="E20" s="45">
        <v>25</v>
      </c>
      <c r="F20" s="55" t="s">
        <v>205</v>
      </c>
      <c r="G20" s="63" t="str">
        <f>IFERROR(IF(VLOOKUP(TableHandbook[[#This Row],[UDC]],TableAvailabilities[],2,FALSE)&gt;0,"Y",""),"")</f>
        <v/>
      </c>
      <c r="H20" s="64" t="str">
        <f>IFERROR(IF(VLOOKUP(TableHandbook[[#This Row],[UDC]],TableAvailabilities[],3,FALSE)&gt;0,"Y",""),"")</f>
        <v>Y</v>
      </c>
      <c r="I20" s="65" t="str">
        <f>IFERROR(IF(VLOOKUP(TableHandbook[[#This Row],[UDC]],TableAvailabilities[],4,FALSE)&gt;0,"Y",""),"")</f>
        <v/>
      </c>
      <c r="J20" s="66" t="str">
        <f>IFERROR(IF(VLOOKUP(TableHandbook[[#This Row],[UDC]],TableAvailabilities[],5,FALSE)&gt;0,"Y",""),"")</f>
        <v>Y</v>
      </c>
      <c r="K20" s="77"/>
      <c r="L20" s="57" t="str">
        <f>IFERROR(VLOOKUP(TableHandbook[[#This Row],[UDC]],TableOBARCH[],7,FALSE),"")</f>
        <v>Core</v>
      </c>
      <c r="M20" s="53" t="str">
        <f>IFERROR(VLOOKUP(TableHandbook[[#This Row],[UDC]],TableOSCUANGAD[],7,FALSE),"")</f>
        <v/>
      </c>
      <c r="N20" s="53" t="str">
        <f>IFERROR(VLOOKUP(TableHandbook[[#This Row],[UDC]],TableOSCUCONMS[],7,FALSE),"")</f>
        <v/>
      </c>
      <c r="O20" s="58" t="str">
        <f>IFERROR(VLOOKUP(TableHandbook[[#This Row],[UDC]],TableOSCUINARS[],7,FALSE),"")</f>
        <v/>
      </c>
      <c r="P20" s="58" t="str">
        <f>IFERROR(VLOOKUP(TableHandbook[[#This Row],[UDC]],TableOSCUPLGEO[],7,FALSE),"")</f>
        <v/>
      </c>
    </row>
    <row r="21" spans="1:16" x14ac:dyDescent="0.25">
      <c r="A21" s="6" t="s">
        <v>96</v>
      </c>
      <c r="B21" s="45">
        <v>3</v>
      </c>
      <c r="C21" s="6" t="s">
        <v>208</v>
      </c>
      <c r="D21" s="6" t="s">
        <v>209</v>
      </c>
      <c r="E21" s="45">
        <v>25</v>
      </c>
      <c r="F21" s="55" t="s">
        <v>205</v>
      </c>
      <c r="G21" s="63" t="str">
        <f>IFERROR(IF(VLOOKUP(TableHandbook[[#This Row],[UDC]],TableAvailabilities[],2,FALSE)&gt;0,"Y",""),"")</f>
        <v>Y</v>
      </c>
      <c r="H21" s="64" t="str">
        <f>IFERROR(IF(VLOOKUP(TableHandbook[[#This Row],[UDC]],TableAvailabilities[],3,FALSE)&gt;0,"Y",""),"")</f>
        <v/>
      </c>
      <c r="I21" s="65" t="str">
        <f>IFERROR(IF(VLOOKUP(TableHandbook[[#This Row],[UDC]],TableAvailabilities[],4,FALSE)&gt;0,"Y",""),"")</f>
        <v>Y</v>
      </c>
      <c r="J21" s="66" t="str">
        <f>IFERROR(IF(VLOOKUP(TableHandbook[[#This Row],[UDC]],TableAvailabilities[],5,FALSE)&gt;0,"Y",""),"")</f>
        <v/>
      </c>
      <c r="K21" s="77"/>
      <c r="L21" s="57" t="str">
        <f>IFERROR(VLOOKUP(TableHandbook[[#This Row],[UDC]],TableOBARCH[],7,FALSE),"")</f>
        <v>Core</v>
      </c>
      <c r="M21" s="53" t="str">
        <f>IFERROR(VLOOKUP(TableHandbook[[#This Row],[UDC]],TableOSCUANGAD[],7,FALSE),"")</f>
        <v/>
      </c>
      <c r="N21" s="53" t="str">
        <f>IFERROR(VLOOKUP(TableHandbook[[#This Row],[UDC]],TableOSCUCONMS[],7,FALSE),"")</f>
        <v/>
      </c>
      <c r="O21" s="58" t="str">
        <f>IFERROR(VLOOKUP(TableHandbook[[#This Row],[UDC]],TableOSCUINARS[],7,FALSE),"")</f>
        <v/>
      </c>
      <c r="P21" s="58" t="str">
        <f>IFERROR(VLOOKUP(TableHandbook[[#This Row],[UDC]],TableOSCUPLGEO[],7,FALSE),"")</f>
        <v/>
      </c>
    </row>
    <row r="22" spans="1:16" x14ac:dyDescent="0.25">
      <c r="A22" s="6" t="s">
        <v>86</v>
      </c>
      <c r="B22" s="45">
        <v>3</v>
      </c>
      <c r="C22" s="6" t="s">
        <v>210</v>
      </c>
      <c r="D22" s="6" t="s">
        <v>211</v>
      </c>
      <c r="E22" s="45">
        <v>25</v>
      </c>
      <c r="F22" s="55" t="s">
        <v>205</v>
      </c>
      <c r="G22" s="63" t="str">
        <f>IFERROR(IF(VLOOKUP(TableHandbook[[#This Row],[UDC]],TableAvailabilities[],2,FALSE)&gt;0,"Y",""),"")</f>
        <v>Y</v>
      </c>
      <c r="H22" s="64" t="str">
        <f>IFERROR(IF(VLOOKUP(TableHandbook[[#This Row],[UDC]],TableAvailabilities[],3,FALSE)&gt;0,"Y",""),"")</f>
        <v/>
      </c>
      <c r="I22" s="65" t="str">
        <f>IFERROR(IF(VLOOKUP(TableHandbook[[#This Row],[UDC]],TableAvailabilities[],4,FALSE)&gt;0,"Y",""),"")</f>
        <v>Y</v>
      </c>
      <c r="J22" s="66" t="str">
        <f>IFERROR(IF(VLOOKUP(TableHandbook[[#This Row],[UDC]],TableAvailabilities[],5,FALSE)&gt;0,"Y",""),"")</f>
        <v/>
      </c>
      <c r="K22" s="77"/>
      <c r="L22" s="57" t="str">
        <f>IFERROR(VLOOKUP(TableHandbook[[#This Row],[UDC]],TableOBARCH[],7,FALSE),"")</f>
        <v>Core</v>
      </c>
      <c r="M22" s="53" t="str">
        <f>IFERROR(VLOOKUP(TableHandbook[[#This Row],[UDC]],TableOSCUANGAD[],7,FALSE),"")</f>
        <v/>
      </c>
      <c r="N22" s="53" t="str">
        <f>IFERROR(VLOOKUP(TableHandbook[[#This Row],[UDC]],TableOSCUCONMS[],7,FALSE),"")</f>
        <v/>
      </c>
      <c r="O22" s="58" t="str">
        <f>IFERROR(VLOOKUP(TableHandbook[[#This Row],[UDC]],TableOSCUINARS[],7,FALSE),"")</f>
        <v/>
      </c>
      <c r="P22" s="58" t="str">
        <f>IFERROR(VLOOKUP(TableHandbook[[#This Row],[UDC]],TableOSCUPLGEO[],7,FALSE),"")</f>
        <v/>
      </c>
    </row>
    <row r="23" spans="1:16" x14ac:dyDescent="0.25">
      <c r="A23" s="6" t="s">
        <v>108</v>
      </c>
      <c r="B23" s="45">
        <v>4</v>
      </c>
      <c r="C23" s="6" t="s">
        <v>212</v>
      </c>
      <c r="D23" s="6" t="s">
        <v>213</v>
      </c>
      <c r="E23" s="45">
        <v>25</v>
      </c>
      <c r="F23" s="55" t="s">
        <v>214</v>
      </c>
      <c r="G23" s="63" t="str">
        <f>IFERROR(IF(VLOOKUP(TableHandbook[[#This Row],[UDC]],TableAvailabilities[],2,FALSE)&gt;0,"Y",""),"")</f>
        <v/>
      </c>
      <c r="H23" s="64" t="str">
        <f>IFERROR(IF(VLOOKUP(TableHandbook[[#This Row],[UDC]],TableAvailabilities[],3,FALSE)&gt;0,"Y",""),"")</f>
        <v>Y</v>
      </c>
      <c r="I23" s="65" t="str">
        <f>IFERROR(IF(VLOOKUP(TableHandbook[[#This Row],[UDC]],TableAvailabilities[],4,FALSE)&gt;0,"Y",""),"")</f>
        <v/>
      </c>
      <c r="J23" s="66" t="str">
        <f>IFERROR(IF(VLOOKUP(TableHandbook[[#This Row],[UDC]],TableAvailabilities[],5,FALSE)&gt;0,"Y",""),"")</f>
        <v>Y</v>
      </c>
      <c r="K23" s="77"/>
      <c r="L23" s="57" t="str">
        <f>IFERROR(VLOOKUP(TableHandbook[[#This Row],[UDC]],TableOBARCH[],7,FALSE),"")</f>
        <v>Core</v>
      </c>
      <c r="M23" s="53" t="str">
        <f>IFERROR(VLOOKUP(TableHandbook[[#This Row],[UDC]],TableOSCUANGAD[],7,FALSE),"")</f>
        <v/>
      </c>
      <c r="N23" s="53" t="str">
        <f>IFERROR(VLOOKUP(TableHandbook[[#This Row],[UDC]],TableOSCUCONMS[],7,FALSE),"")</f>
        <v/>
      </c>
      <c r="O23" s="58" t="str">
        <f>IFERROR(VLOOKUP(TableHandbook[[#This Row],[UDC]],TableOSCUINARS[],7,FALSE),"")</f>
        <v/>
      </c>
      <c r="P23" s="58" t="str">
        <f>IFERROR(VLOOKUP(TableHandbook[[#This Row],[UDC]],TableOSCUPLGEO[],7,FALSE),"")</f>
        <v/>
      </c>
    </row>
    <row r="24" spans="1:16" x14ac:dyDescent="0.25">
      <c r="A24" s="6" t="s">
        <v>92</v>
      </c>
      <c r="B24" s="45">
        <v>1</v>
      </c>
      <c r="C24" s="6" t="s">
        <v>215</v>
      </c>
      <c r="D24" s="6" t="s">
        <v>216</v>
      </c>
      <c r="E24" s="45">
        <v>25</v>
      </c>
      <c r="F24" s="55" t="s">
        <v>187</v>
      </c>
      <c r="G24" s="63" t="str">
        <f>IFERROR(IF(VLOOKUP(TableHandbook[[#This Row],[UDC]],TableAvailabilities[],2,FALSE)&gt;0,"Y",""),"")</f>
        <v>Y</v>
      </c>
      <c r="H24" s="64" t="str">
        <f>IFERROR(IF(VLOOKUP(TableHandbook[[#This Row],[UDC]],TableAvailabilities[],3,FALSE)&gt;0,"Y",""),"")</f>
        <v/>
      </c>
      <c r="I24" s="65" t="str">
        <f>IFERROR(IF(VLOOKUP(TableHandbook[[#This Row],[UDC]],TableAvailabilities[],4,FALSE)&gt;0,"Y",""),"")</f>
        <v>Y</v>
      </c>
      <c r="J24" s="66" t="str">
        <f>IFERROR(IF(VLOOKUP(TableHandbook[[#This Row],[UDC]],TableAvailabilities[],5,FALSE)&gt;0,"Y",""),"")</f>
        <v/>
      </c>
      <c r="K24" s="77"/>
      <c r="L24" s="57" t="str">
        <f>IFERROR(VLOOKUP(TableHandbook[[#This Row],[UDC]],TableOBARCH[],7,FALSE),"")</f>
        <v>Core</v>
      </c>
      <c r="M24" s="53" t="str">
        <f>IFERROR(VLOOKUP(TableHandbook[[#This Row],[UDC]],TableOSCUANGAD[],7,FALSE),"")</f>
        <v/>
      </c>
      <c r="N24" s="53" t="str">
        <f>IFERROR(VLOOKUP(TableHandbook[[#This Row],[UDC]],TableOSCUCONMS[],7,FALSE),"")</f>
        <v/>
      </c>
      <c r="O24" s="58" t="str">
        <f>IFERROR(VLOOKUP(TableHandbook[[#This Row],[UDC]],TableOSCUINARS[],7,FALSE),"")</f>
        <v/>
      </c>
      <c r="P24" s="58" t="str">
        <f>IFERROR(VLOOKUP(TableHandbook[[#This Row],[UDC]],TableOSCUPLGEO[],7,FALSE),"")</f>
        <v/>
      </c>
    </row>
    <row r="25" spans="1:16" x14ac:dyDescent="0.25">
      <c r="A25" s="6" t="s">
        <v>118</v>
      </c>
      <c r="B25" s="45">
        <v>4</v>
      </c>
      <c r="C25" s="6" t="s">
        <v>217</v>
      </c>
      <c r="D25" s="6" t="s">
        <v>218</v>
      </c>
      <c r="E25" s="45">
        <v>25</v>
      </c>
      <c r="F25" s="55" t="s">
        <v>219</v>
      </c>
      <c r="G25" s="63" t="str">
        <f>IFERROR(IF(VLOOKUP(TableHandbook[[#This Row],[UDC]],TableAvailabilities[],2,FALSE)&gt;0,"Y",""),"")</f>
        <v>Y</v>
      </c>
      <c r="H25" s="64" t="str">
        <f>IFERROR(IF(VLOOKUP(TableHandbook[[#This Row],[UDC]],TableAvailabilities[],3,FALSE)&gt;0,"Y",""),"")</f>
        <v/>
      </c>
      <c r="I25" s="65" t="str">
        <f>IFERROR(IF(VLOOKUP(TableHandbook[[#This Row],[UDC]],TableAvailabilities[],4,FALSE)&gt;0,"Y",""),"")</f>
        <v>Y</v>
      </c>
      <c r="J25" s="66" t="str">
        <f>IFERROR(IF(VLOOKUP(TableHandbook[[#This Row],[UDC]],TableAvailabilities[],5,FALSE)&gt;0,"Y",""),"")</f>
        <v/>
      </c>
      <c r="K25" s="77"/>
      <c r="L25" s="57" t="str">
        <f>IFERROR(VLOOKUP(TableHandbook[[#This Row],[UDC]],TableOBARCH[],7,FALSE),"")</f>
        <v>Core</v>
      </c>
      <c r="M25" s="53" t="str">
        <f>IFERROR(VLOOKUP(TableHandbook[[#This Row],[UDC]],TableOSCUANGAD[],7,FALSE),"")</f>
        <v/>
      </c>
      <c r="N25" s="53" t="str">
        <f>IFERROR(VLOOKUP(TableHandbook[[#This Row],[UDC]],TableOSCUCONMS[],7,FALSE),"")</f>
        <v/>
      </c>
      <c r="O25" s="58" t="str">
        <f>IFERROR(VLOOKUP(TableHandbook[[#This Row],[UDC]],TableOSCUINARS[],7,FALSE),"")</f>
        <v/>
      </c>
      <c r="P25" s="58" t="str">
        <f>IFERROR(VLOOKUP(TableHandbook[[#This Row],[UDC]],TableOSCUPLGEO[],7,FALSE),"")</f>
        <v/>
      </c>
    </row>
    <row r="26" spans="1:16" x14ac:dyDescent="0.25">
      <c r="A26" s="6" t="s">
        <v>113</v>
      </c>
      <c r="B26" s="45">
        <v>2</v>
      </c>
      <c r="C26" s="6" t="s">
        <v>220</v>
      </c>
      <c r="D26" s="6" t="s">
        <v>221</v>
      </c>
      <c r="E26" s="45">
        <v>25</v>
      </c>
      <c r="F26" s="55" t="s">
        <v>187</v>
      </c>
      <c r="G26" s="63" t="str">
        <f>IFERROR(IF(VLOOKUP(TableHandbook[[#This Row],[UDC]],TableAvailabilities[],2,FALSE)&gt;0,"Y",""),"")</f>
        <v/>
      </c>
      <c r="H26" s="64" t="str">
        <f>IFERROR(IF(VLOOKUP(TableHandbook[[#This Row],[UDC]],TableAvailabilities[],3,FALSE)&gt;0,"Y",""),"")</f>
        <v>Y</v>
      </c>
      <c r="I26" s="65" t="str">
        <f>IFERROR(IF(VLOOKUP(TableHandbook[[#This Row],[UDC]],TableAvailabilities[],4,FALSE)&gt;0,"Y",""),"")</f>
        <v/>
      </c>
      <c r="J26" s="66" t="str">
        <f>IFERROR(IF(VLOOKUP(TableHandbook[[#This Row],[UDC]],TableAvailabilities[],5,FALSE)&gt;0,"Y",""),"")</f>
        <v>Y</v>
      </c>
      <c r="K26" s="77"/>
      <c r="L26" s="57" t="str">
        <f>IFERROR(VLOOKUP(TableHandbook[[#This Row],[UDC]],TableOBARCH[],7,FALSE),"")</f>
        <v>Core</v>
      </c>
      <c r="M26" s="53" t="str">
        <f>IFERROR(VLOOKUP(TableHandbook[[#This Row],[UDC]],TableOSCUANGAD[],7,FALSE),"")</f>
        <v/>
      </c>
      <c r="N26" s="53" t="str">
        <f>IFERROR(VLOOKUP(TableHandbook[[#This Row],[UDC]],TableOSCUCONMS[],7,FALSE),"")</f>
        <v/>
      </c>
      <c r="O26" s="58" t="str">
        <f>IFERROR(VLOOKUP(TableHandbook[[#This Row],[UDC]],TableOSCUINARS[],7,FALSE),"")</f>
        <v/>
      </c>
      <c r="P26" s="58" t="str">
        <f>IFERROR(VLOOKUP(TableHandbook[[#This Row],[UDC]],TableOSCUPLGEO[],7,FALSE),"")</f>
        <v/>
      </c>
    </row>
    <row r="27" spans="1:16" x14ac:dyDescent="0.25">
      <c r="A27" s="6" t="s">
        <v>117</v>
      </c>
      <c r="B27" s="45">
        <v>3</v>
      </c>
      <c r="C27" s="6" t="s">
        <v>222</v>
      </c>
      <c r="D27" s="6" t="s">
        <v>223</v>
      </c>
      <c r="E27" s="45">
        <v>25</v>
      </c>
      <c r="F27" s="55" t="s">
        <v>224</v>
      </c>
      <c r="G27" s="63" t="str">
        <f>IFERROR(IF(VLOOKUP(TableHandbook[[#This Row],[UDC]],TableAvailabilities[],2,FALSE)&gt;0,"Y",""),"")</f>
        <v/>
      </c>
      <c r="H27" s="64" t="str">
        <f>IFERROR(IF(VLOOKUP(TableHandbook[[#This Row],[UDC]],TableAvailabilities[],3,FALSE)&gt;0,"Y",""),"")</f>
        <v>Y</v>
      </c>
      <c r="I27" s="65" t="str">
        <f>IFERROR(IF(VLOOKUP(TableHandbook[[#This Row],[UDC]],TableAvailabilities[],4,FALSE)&gt;0,"Y",""),"")</f>
        <v/>
      </c>
      <c r="J27" s="66" t="str">
        <f>IFERROR(IF(VLOOKUP(TableHandbook[[#This Row],[UDC]],TableAvailabilities[],5,FALSE)&gt;0,"Y",""),"")</f>
        <v>Y</v>
      </c>
      <c r="K27" s="77"/>
      <c r="L27" s="57" t="str">
        <f>IFERROR(VLOOKUP(TableHandbook[[#This Row],[UDC]],TableOBARCH[],7,FALSE),"")</f>
        <v>Core</v>
      </c>
      <c r="M27" s="53" t="str">
        <f>IFERROR(VLOOKUP(TableHandbook[[#This Row],[UDC]],TableOSCUANGAD[],7,FALSE),"")</f>
        <v/>
      </c>
      <c r="N27" s="53" t="str">
        <f>IFERROR(VLOOKUP(TableHandbook[[#This Row],[UDC]],TableOSCUCONMS[],7,FALSE),"")</f>
        <v/>
      </c>
      <c r="O27" s="58" t="str">
        <f>IFERROR(VLOOKUP(TableHandbook[[#This Row],[UDC]],TableOSCUINARS[],7,FALSE),"")</f>
        <v/>
      </c>
      <c r="P27" s="58" t="str">
        <f>IFERROR(VLOOKUP(TableHandbook[[#This Row],[UDC]],TableOSCUPLGEO[],7,FALSE),"")</f>
        <v/>
      </c>
    </row>
    <row r="28" spans="1:16" x14ac:dyDescent="0.25">
      <c r="A28" s="6" t="s">
        <v>116</v>
      </c>
      <c r="B28" s="45">
        <v>3</v>
      </c>
      <c r="C28" s="6" t="s">
        <v>225</v>
      </c>
      <c r="D28" s="6" t="s">
        <v>226</v>
      </c>
      <c r="E28" s="45">
        <v>25</v>
      </c>
      <c r="F28" s="55" t="s">
        <v>224</v>
      </c>
      <c r="G28" s="63" t="str">
        <f>IFERROR(IF(VLOOKUP(TableHandbook[[#This Row],[UDC]],TableAvailabilities[],2,FALSE)&gt;0,"Y",""),"")</f>
        <v>Y</v>
      </c>
      <c r="H28" s="64" t="str">
        <f>IFERROR(IF(VLOOKUP(TableHandbook[[#This Row],[UDC]],TableAvailabilities[],3,FALSE)&gt;0,"Y",""),"")</f>
        <v/>
      </c>
      <c r="I28" s="65" t="str">
        <f>IFERROR(IF(VLOOKUP(TableHandbook[[#This Row],[UDC]],TableAvailabilities[],4,FALSE)&gt;0,"Y",""),"")</f>
        <v>Y</v>
      </c>
      <c r="J28" s="66" t="str">
        <f>IFERROR(IF(VLOOKUP(TableHandbook[[#This Row],[UDC]],TableAvailabilities[],5,FALSE)&gt;0,"Y",""),"")</f>
        <v/>
      </c>
      <c r="K28" s="77"/>
      <c r="L28" s="57" t="str">
        <f>IFERROR(VLOOKUP(TableHandbook[[#This Row],[UDC]],TableOBARCH[],7,FALSE),"")</f>
        <v>Core</v>
      </c>
      <c r="M28" s="53" t="str">
        <f>IFERROR(VLOOKUP(TableHandbook[[#This Row],[UDC]],TableOSCUANGAD[],7,FALSE),"")</f>
        <v/>
      </c>
      <c r="N28" s="53" t="str">
        <f>IFERROR(VLOOKUP(TableHandbook[[#This Row],[UDC]],TableOSCUCONMS[],7,FALSE),"")</f>
        <v/>
      </c>
      <c r="O28" s="58" t="str">
        <f>IFERROR(VLOOKUP(TableHandbook[[#This Row],[UDC]],TableOSCUINARS[],7,FALSE),"")</f>
        <v/>
      </c>
      <c r="P28" s="58" t="str">
        <f>IFERROR(VLOOKUP(TableHandbook[[#This Row],[UDC]],TableOSCUPLGEO[],7,FALSE),"")</f>
        <v/>
      </c>
    </row>
    <row r="29" spans="1:16" x14ac:dyDescent="0.25">
      <c r="A29" s="6" t="s">
        <v>106</v>
      </c>
      <c r="B29" s="45">
        <v>3</v>
      </c>
      <c r="C29" s="6" t="s">
        <v>227</v>
      </c>
      <c r="D29" s="6" t="s">
        <v>228</v>
      </c>
      <c r="E29" s="45">
        <v>25</v>
      </c>
      <c r="F29" s="55" t="s">
        <v>224</v>
      </c>
      <c r="G29" s="63" t="str">
        <f>IFERROR(IF(VLOOKUP(TableHandbook[[#This Row],[UDC]],TableAvailabilities[],2,FALSE)&gt;0,"Y",""),"")</f>
        <v>Y</v>
      </c>
      <c r="H29" s="64" t="str">
        <f>IFERROR(IF(VLOOKUP(TableHandbook[[#This Row],[UDC]],TableAvailabilities[],3,FALSE)&gt;0,"Y",""),"")</f>
        <v/>
      </c>
      <c r="I29" s="65" t="str">
        <f>IFERROR(IF(VLOOKUP(TableHandbook[[#This Row],[UDC]],TableAvailabilities[],4,FALSE)&gt;0,"Y",""),"")</f>
        <v>Y</v>
      </c>
      <c r="J29" s="66" t="str">
        <f>IFERROR(IF(VLOOKUP(TableHandbook[[#This Row],[UDC]],TableAvailabilities[],5,FALSE)&gt;0,"Y",""),"")</f>
        <v/>
      </c>
      <c r="K29" s="77"/>
      <c r="L29" s="57" t="str">
        <f>IFERROR(VLOOKUP(TableHandbook[[#This Row],[UDC]],TableOBARCH[],7,FALSE),"")</f>
        <v>Core</v>
      </c>
      <c r="M29" s="53" t="str">
        <f>IFERROR(VLOOKUP(TableHandbook[[#This Row],[UDC]],TableOSCUANGAD[],7,FALSE),"")</f>
        <v/>
      </c>
      <c r="N29" s="53" t="str">
        <f>IFERROR(VLOOKUP(TableHandbook[[#This Row],[UDC]],TableOSCUCONMS[],7,FALSE),"")</f>
        <v/>
      </c>
      <c r="O29" s="58" t="str">
        <f>IFERROR(VLOOKUP(TableHandbook[[#This Row],[UDC]],TableOSCUINARS[],7,FALSE),"")</f>
        <v/>
      </c>
      <c r="P29" s="58" t="str">
        <f>IFERROR(VLOOKUP(TableHandbook[[#This Row],[UDC]],TableOSCUPLGEO[],7,FALSE),"")</f>
        <v/>
      </c>
    </row>
    <row r="30" spans="1:16" x14ac:dyDescent="0.25">
      <c r="A30" s="6" t="s">
        <v>161</v>
      </c>
      <c r="B30" s="45">
        <v>1</v>
      </c>
      <c r="C30" s="6" t="s">
        <v>229</v>
      </c>
      <c r="D30" s="6" t="s">
        <v>230</v>
      </c>
      <c r="E30" s="45">
        <v>25</v>
      </c>
      <c r="F30" s="55" t="s">
        <v>187</v>
      </c>
      <c r="G30" s="63" t="str">
        <f>IFERROR(IF(VLOOKUP(TableHandbook[[#This Row],[UDC]],TableAvailabilities[],2,FALSE)&gt;0,"Y",""),"")</f>
        <v/>
      </c>
      <c r="H30" s="64" t="str">
        <f>IFERROR(IF(VLOOKUP(TableHandbook[[#This Row],[UDC]],TableAvailabilities[],3,FALSE)&gt;0,"Y",""),"")</f>
        <v>Y</v>
      </c>
      <c r="I30" s="65" t="str">
        <f>IFERROR(IF(VLOOKUP(TableHandbook[[#This Row],[UDC]],TableAvailabilities[],4,FALSE)&gt;0,"Y",""),"")</f>
        <v/>
      </c>
      <c r="J30" s="66" t="str">
        <f>IFERROR(IF(VLOOKUP(TableHandbook[[#This Row],[UDC]],TableAvailabilities[],5,FALSE)&gt;0,"Y",""),"")</f>
        <v/>
      </c>
      <c r="K30" s="77"/>
      <c r="L30" s="57" t="str">
        <f>IFERROR(VLOOKUP(TableHandbook[[#This Row],[UDC]],TableOBARCH[],7,FALSE),"")</f>
        <v/>
      </c>
      <c r="M30" s="53" t="str">
        <f>IFERROR(VLOOKUP(TableHandbook[[#This Row],[UDC]],TableOSCUANGAD[],7,FALSE),"")</f>
        <v/>
      </c>
      <c r="N30" s="53" t="str">
        <f>IFERROR(VLOOKUP(TableHandbook[[#This Row],[UDC]],TableOSCUCONMS[],7,FALSE),"")</f>
        <v>Core</v>
      </c>
      <c r="O30" s="58" t="str">
        <f>IFERROR(VLOOKUP(TableHandbook[[#This Row],[UDC]],TableOSCUINARS[],7,FALSE),"")</f>
        <v/>
      </c>
      <c r="P30" s="58" t="str">
        <f>IFERROR(VLOOKUP(TableHandbook[[#This Row],[UDC]],TableOSCUPLGEO[],7,FALSE),"")</f>
        <v/>
      </c>
    </row>
    <row r="31" spans="1:16" x14ac:dyDescent="0.25">
      <c r="A31" s="6" t="s">
        <v>130</v>
      </c>
      <c r="B31" s="45">
        <v>2</v>
      </c>
      <c r="C31" s="6" t="s">
        <v>231</v>
      </c>
      <c r="D31" s="6" t="s">
        <v>232</v>
      </c>
      <c r="E31" s="45">
        <v>25</v>
      </c>
      <c r="F31" s="55" t="s">
        <v>187</v>
      </c>
      <c r="G31" s="63" t="str">
        <f>IFERROR(IF(VLOOKUP(TableHandbook[[#This Row],[UDC]],TableAvailabilities[],2,FALSE)&gt;0,"Y",""),"")</f>
        <v>Y</v>
      </c>
      <c r="H31" s="64" t="str">
        <f>IFERROR(IF(VLOOKUP(TableHandbook[[#This Row],[UDC]],TableAvailabilities[],3,FALSE)&gt;0,"Y",""),"")</f>
        <v/>
      </c>
      <c r="I31" s="65" t="str">
        <f>IFERROR(IF(VLOOKUP(TableHandbook[[#This Row],[UDC]],TableAvailabilities[],4,FALSE)&gt;0,"Y",""),"")</f>
        <v>Y</v>
      </c>
      <c r="J31" s="66" t="str">
        <f>IFERROR(IF(VLOOKUP(TableHandbook[[#This Row],[UDC]],TableAvailabilities[],5,FALSE)&gt;0,"Y",""),"")</f>
        <v/>
      </c>
      <c r="K31" s="77"/>
      <c r="L31" s="57" t="str">
        <f>IFERROR(VLOOKUP(TableHandbook[[#This Row],[UDC]],TableOBARCH[],7,FALSE),"")</f>
        <v/>
      </c>
      <c r="M31" s="53" t="str">
        <f>IFERROR(VLOOKUP(TableHandbook[[#This Row],[UDC]],TableOSCUANGAD[],7,FALSE),"")</f>
        <v/>
      </c>
      <c r="N31" s="53" t="str">
        <f>IFERROR(VLOOKUP(TableHandbook[[#This Row],[UDC]],TableOSCUCONMS[],7,FALSE),"")</f>
        <v>Core</v>
      </c>
      <c r="O31" s="58" t="str">
        <f>IFERROR(VLOOKUP(TableHandbook[[#This Row],[UDC]],TableOSCUINARS[],7,FALSE),"")</f>
        <v/>
      </c>
      <c r="P31" s="58" t="str">
        <f>IFERROR(VLOOKUP(TableHandbook[[#This Row],[UDC]],TableOSCUPLGEO[],7,FALSE),"")</f>
        <v/>
      </c>
    </row>
    <row r="32" spans="1:16" x14ac:dyDescent="0.25">
      <c r="A32" s="6" t="s">
        <v>144</v>
      </c>
      <c r="B32" s="45">
        <v>3</v>
      </c>
      <c r="C32" s="6" t="s">
        <v>233</v>
      </c>
      <c r="D32" s="6" t="s">
        <v>234</v>
      </c>
      <c r="E32" s="45">
        <v>25</v>
      </c>
      <c r="F32" s="55" t="s">
        <v>231</v>
      </c>
      <c r="G32" s="63" t="str">
        <f>IFERROR(IF(VLOOKUP(TableHandbook[[#This Row],[UDC]],TableAvailabilities[],2,FALSE)&gt;0,"Y",""),"")</f>
        <v>Y</v>
      </c>
      <c r="H32" s="64" t="str">
        <f>IFERROR(IF(VLOOKUP(TableHandbook[[#This Row],[UDC]],TableAvailabilities[],3,FALSE)&gt;0,"Y",""),"")</f>
        <v/>
      </c>
      <c r="I32" s="65" t="str">
        <f>IFERROR(IF(VLOOKUP(TableHandbook[[#This Row],[UDC]],TableAvailabilities[],4,FALSE)&gt;0,"Y",""),"")</f>
        <v>Y</v>
      </c>
      <c r="J32" s="66" t="str">
        <f>IFERROR(IF(VLOOKUP(TableHandbook[[#This Row],[UDC]],TableAvailabilities[],5,FALSE)&gt;0,"Y",""),"")</f>
        <v/>
      </c>
      <c r="K32" s="77"/>
      <c r="L32" s="57" t="str">
        <f>IFERROR(VLOOKUP(TableHandbook[[#This Row],[UDC]],TableOBARCH[],7,FALSE),"")</f>
        <v/>
      </c>
      <c r="M32" s="53" t="str">
        <f>IFERROR(VLOOKUP(TableHandbook[[#This Row],[UDC]],TableOSCUANGAD[],7,FALSE),"")</f>
        <v/>
      </c>
      <c r="N32" s="53" t="str">
        <f>IFERROR(VLOOKUP(TableHandbook[[#This Row],[UDC]],TableOSCUCONMS[],7,FALSE),"")</f>
        <v>AltCore</v>
      </c>
      <c r="O32" s="58" t="str">
        <f>IFERROR(VLOOKUP(TableHandbook[[#This Row],[UDC]],TableOSCUINARS[],7,FALSE),"")</f>
        <v/>
      </c>
      <c r="P32" s="58" t="str">
        <f>IFERROR(VLOOKUP(TableHandbook[[#This Row],[UDC]],TableOSCUPLGEO[],7,FALSE),"")</f>
        <v/>
      </c>
    </row>
    <row r="33" spans="1:16" x14ac:dyDescent="0.25">
      <c r="A33" s="6" t="s">
        <v>147</v>
      </c>
      <c r="B33" s="45">
        <v>3</v>
      </c>
      <c r="C33" s="6" t="s">
        <v>235</v>
      </c>
      <c r="D33" s="6" t="s">
        <v>236</v>
      </c>
      <c r="E33" s="45">
        <v>25</v>
      </c>
      <c r="F33" s="55" t="s">
        <v>187</v>
      </c>
      <c r="G33" s="63" t="str">
        <f>IFERROR(IF(VLOOKUP(TableHandbook[[#This Row],[UDC]],TableAvailabilities[],2,FALSE)&gt;0,"Y",""),"")</f>
        <v/>
      </c>
      <c r="H33" s="64" t="str">
        <f>IFERROR(IF(VLOOKUP(TableHandbook[[#This Row],[UDC]],TableAvailabilities[],3,FALSE)&gt;0,"Y",""),"")</f>
        <v>Y</v>
      </c>
      <c r="I33" s="65" t="str">
        <f>IFERROR(IF(VLOOKUP(TableHandbook[[#This Row],[UDC]],TableAvailabilities[],4,FALSE)&gt;0,"Y",""),"")</f>
        <v/>
      </c>
      <c r="J33" s="66" t="str">
        <f>IFERROR(IF(VLOOKUP(TableHandbook[[#This Row],[UDC]],TableAvailabilities[],5,FALSE)&gt;0,"Y",""),"")</f>
        <v>Y</v>
      </c>
      <c r="K33" s="77" t="s">
        <v>237</v>
      </c>
      <c r="L33" s="57" t="str">
        <f>IFERROR(VLOOKUP(TableHandbook[[#This Row],[UDC]],TableOBARCH[],7,FALSE),"")</f>
        <v/>
      </c>
      <c r="M33" s="53" t="str">
        <f>IFERROR(VLOOKUP(TableHandbook[[#This Row],[UDC]],TableOSCUANGAD[],7,FALSE),"")</f>
        <v/>
      </c>
      <c r="N33" s="53" t="str">
        <f>IFERROR(VLOOKUP(TableHandbook[[#This Row],[UDC]],TableOSCUCONMS[],7,FALSE),"")</f>
        <v>AltCore</v>
      </c>
      <c r="O33" s="58" t="str">
        <f>IFERROR(VLOOKUP(TableHandbook[[#This Row],[UDC]],TableOSCUINARS[],7,FALSE),"")</f>
        <v/>
      </c>
      <c r="P33" s="58" t="str">
        <f>IFERROR(VLOOKUP(TableHandbook[[#This Row],[UDC]],TableOSCUPLGEO[],7,FALSE),"")</f>
        <v/>
      </c>
    </row>
    <row r="34" spans="1:16" x14ac:dyDescent="0.25">
      <c r="A34" s="6" t="s">
        <v>238</v>
      </c>
      <c r="B34" s="45">
        <v>2</v>
      </c>
      <c r="C34" s="6" t="s">
        <v>235</v>
      </c>
      <c r="D34" s="6" t="s">
        <v>239</v>
      </c>
      <c r="E34" s="45">
        <v>25</v>
      </c>
      <c r="F34" s="55" t="s">
        <v>187</v>
      </c>
      <c r="G34" s="63" t="str">
        <f>IFERROR(IF(VLOOKUP(TableHandbook[[#This Row],[UDC]],TableAvailabilities[],2,FALSE)&gt;0,"Y",""),"")</f>
        <v/>
      </c>
      <c r="H34" s="64" t="str">
        <f>IFERROR(IF(VLOOKUP(TableHandbook[[#This Row],[UDC]],TableAvailabilities[],3,FALSE)&gt;0,"Y",""),"")</f>
        <v/>
      </c>
      <c r="I34" s="65" t="str">
        <f>IFERROR(IF(VLOOKUP(TableHandbook[[#This Row],[UDC]],TableAvailabilities[],4,FALSE)&gt;0,"Y",""),"")</f>
        <v/>
      </c>
      <c r="J34" s="66" t="str">
        <f>IFERROR(IF(VLOOKUP(TableHandbook[[#This Row],[UDC]],TableAvailabilities[],5,FALSE)&gt;0,"Y",""),"")</f>
        <v/>
      </c>
      <c r="K34" s="77" t="s">
        <v>240</v>
      </c>
      <c r="L34" s="57" t="str">
        <f>IFERROR(VLOOKUP(TableHandbook[[#This Row],[UDC]],TableOBARCH[],7,FALSE),"")</f>
        <v/>
      </c>
      <c r="M34" s="53" t="str">
        <f>IFERROR(VLOOKUP(TableHandbook[[#This Row],[UDC]],TableOSCUANGAD[],7,FALSE),"")</f>
        <v/>
      </c>
      <c r="N34" s="53" t="str">
        <f>IFERROR(VLOOKUP(TableHandbook[[#This Row],[UDC]],TableOSCUCONMS[],7,FALSE),"")</f>
        <v/>
      </c>
      <c r="O34" s="58" t="str">
        <f>IFERROR(VLOOKUP(TableHandbook[[#This Row],[UDC]],TableOSCUINARS[],7,FALSE),"")</f>
        <v/>
      </c>
      <c r="P34" s="58" t="str">
        <f>IFERROR(VLOOKUP(TableHandbook[[#This Row],[UDC]],TableOSCUPLGEO[],7,FALSE),"")</f>
        <v/>
      </c>
    </row>
    <row r="35" spans="1:16" x14ac:dyDescent="0.25">
      <c r="A35" s="6" t="s">
        <v>159</v>
      </c>
      <c r="B35" s="45">
        <v>3</v>
      </c>
      <c r="C35" s="6" t="s">
        <v>241</v>
      </c>
      <c r="D35" s="6" t="s">
        <v>242</v>
      </c>
      <c r="E35" s="45">
        <v>25</v>
      </c>
      <c r="F35" s="55" t="s">
        <v>187</v>
      </c>
      <c r="G35" s="63" t="str">
        <f>IFERROR(IF(VLOOKUP(TableHandbook[[#This Row],[UDC]],TableAvailabilities[],2,FALSE)&gt;0,"Y",""),"")</f>
        <v>Y</v>
      </c>
      <c r="H35" s="64" t="str">
        <f>IFERROR(IF(VLOOKUP(TableHandbook[[#This Row],[UDC]],TableAvailabilities[],3,FALSE)&gt;0,"Y",""),"")</f>
        <v/>
      </c>
      <c r="I35" s="65" t="str">
        <f>IFERROR(IF(VLOOKUP(TableHandbook[[#This Row],[UDC]],TableAvailabilities[],4,FALSE)&gt;0,"Y",""),"")</f>
        <v>Y</v>
      </c>
      <c r="J35" s="66" t="str">
        <f>IFERROR(IF(VLOOKUP(TableHandbook[[#This Row],[UDC]],TableAvailabilities[],5,FALSE)&gt;0,"Y",""),"")</f>
        <v/>
      </c>
      <c r="K35" s="77"/>
      <c r="L35" s="57" t="str">
        <f>IFERROR(VLOOKUP(TableHandbook[[#This Row],[UDC]],TableOBARCH[],7,FALSE),"")</f>
        <v/>
      </c>
      <c r="M35" s="53" t="str">
        <f>IFERROR(VLOOKUP(TableHandbook[[#This Row],[UDC]],TableOSCUANGAD[],7,FALSE),"")</f>
        <v/>
      </c>
      <c r="N35" s="53" t="str">
        <f>IFERROR(VLOOKUP(TableHandbook[[#This Row],[UDC]],TableOSCUCONMS[],7,FALSE),"")</f>
        <v>Core</v>
      </c>
      <c r="O35" s="58" t="str">
        <f>IFERROR(VLOOKUP(TableHandbook[[#This Row],[UDC]],TableOSCUINARS[],7,FALSE),"")</f>
        <v/>
      </c>
      <c r="P35" s="58" t="str">
        <f>IFERROR(VLOOKUP(TableHandbook[[#This Row],[UDC]],TableOSCUPLGEO[],7,FALSE),"")</f>
        <v/>
      </c>
    </row>
    <row r="36" spans="1:16" x14ac:dyDescent="0.25">
      <c r="A36" s="6" t="s">
        <v>61</v>
      </c>
      <c r="B36" s="45">
        <v>1</v>
      </c>
      <c r="C36" s="6" t="s">
        <v>243</v>
      </c>
      <c r="D36" s="6" t="s">
        <v>244</v>
      </c>
      <c r="E36" s="45">
        <v>25</v>
      </c>
      <c r="F36" s="55" t="s">
        <v>187</v>
      </c>
      <c r="G36" s="63" t="str">
        <f>IFERROR(IF(VLOOKUP(TableHandbook[[#This Row],[UDC]],TableAvailabilities[],2,FALSE)&gt;0,"Y",""),"")</f>
        <v>Y</v>
      </c>
      <c r="H36" s="64" t="str">
        <f>IFERROR(IF(VLOOKUP(TableHandbook[[#This Row],[UDC]],TableAvailabilities[],3,FALSE)&gt;0,"Y",""),"")</f>
        <v>Y</v>
      </c>
      <c r="I36" s="65" t="str">
        <f>IFERROR(IF(VLOOKUP(TableHandbook[[#This Row],[UDC]],TableAvailabilities[],4,FALSE)&gt;0,"Y",""),"")</f>
        <v>Y</v>
      </c>
      <c r="J36" s="66" t="str">
        <f>IFERROR(IF(VLOOKUP(TableHandbook[[#This Row],[UDC]],TableAvailabilities[],5,FALSE)&gt;0,"Y",""),"")</f>
        <v>Y</v>
      </c>
      <c r="K36" s="77"/>
      <c r="L36" s="57" t="str">
        <f>IFERROR(VLOOKUP(TableHandbook[[#This Row],[UDC]],TableOBARCH[],7,FALSE),"")</f>
        <v>Core</v>
      </c>
      <c r="M36" s="53" t="str">
        <f>IFERROR(VLOOKUP(TableHandbook[[#This Row],[UDC]],TableOSCUANGAD[],7,FALSE),"")</f>
        <v/>
      </c>
      <c r="N36" s="53" t="str">
        <f>IFERROR(VLOOKUP(TableHandbook[[#This Row],[UDC]],TableOSCUCONMS[],7,FALSE),"")</f>
        <v/>
      </c>
      <c r="O36" s="58" t="str">
        <f>IFERROR(VLOOKUP(TableHandbook[[#This Row],[UDC]],TableOSCUINARS[],7,FALSE),"")</f>
        <v/>
      </c>
      <c r="P36" s="58" t="str">
        <f>IFERROR(VLOOKUP(TableHandbook[[#This Row],[UDC]],TableOSCUPLGEO[],7,FALSE),"")</f>
        <v/>
      </c>
    </row>
    <row r="37" spans="1:16" x14ac:dyDescent="0.25">
      <c r="A37" s="6" t="s">
        <v>156</v>
      </c>
      <c r="B37" s="45">
        <v>2</v>
      </c>
      <c r="C37" s="6" t="s">
        <v>245</v>
      </c>
      <c r="D37" s="6" t="s">
        <v>246</v>
      </c>
      <c r="E37" s="45">
        <v>25</v>
      </c>
      <c r="F37" s="55" t="s">
        <v>187</v>
      </c>
      <c r="G37" s="63" t="str">
        <f>IFERROR(IF(VLOOKUP(TableHandbook[[#This Row],[UDC]],TableAvailabilities[],2,FALSE)&gt;0,"Y",""),"")</f>
        <v>Y</v>
      </c>
      <c r="H37" s="64" t="str">
        <f>IFERROR(IF(VLOOKUP(TableHandbook[[#This Row],[UDC]],TableAvailabilities[],3,FALSE)&gt;0,"Y",""),"")</f>
        <v/>
      </c>
      <c r="I37" s="65" t="str">
        <f>IFERROR(IF(VLOOKUP(TableHandbook[[#This Row],[UDC]],TableAvailabilities[],4,FALSE)&gt;0,"Y",""),"")</f>
        <v>Y</v>
      </c>
      <c r="J37" s="66" t="str">
        <f>IFERROR(IF(VLOOKUP(TableHandbook[[#This Row],[UDC]],TableAvailabilities[],5,FALSE)&gt;0,"Y",""),"")</f>
        <v/>
      </c>
      <c r="K37" s="77"/>
      <c r="L37" s="57" t="str">
        <f>IFERROR(VLOOKUP(TableHandbook[[#This Row],[UDC]],TableOBARCH[],7,FALSE),"")</f>
        <v/>
      </c>
      <c r="M37" s="53" t="str">
        <f>IFERROR(VLOOKUP(TableHandbook[[#This Row],[UDC]],TableOSCUANGAD[],7,FALSE),"")</f>
        <v/>
      </c>
      <c r="N37" s="53" t="str">
        <f>IFERROR(VLOOKUP(TableHandbook[[#This Row],[UDC]],TableOSCUCONMS[],7,FALSE),"")</f>
        <v/>
      </c>
      <c r="O37" s="58" t="str">
        <f>IFERROR(VLOOKUP(TableHandbook[[#This Row],[UDC]],TableOSCUINARS[],7,FALSE),"")</f>
        <v/>
      </c>
      <c r="P37" s="58" t="str">
        <f>IFERROR(VLOOKUP(TableHandbook[[#This Row],[UDC]],TableOSCUPLGEO[],7,FALSE),"")</f>
        <v>AltCore</v>
      </c>
    </row>
    <row r="38" spans="1:16" x14ac:dyDescent="0.25">
      <c r="A38" s="6" t="s">
        <v>133</v>
      </c>
      <c r="B38" s="45">
        <v>1</v>
      </c>
      <c r="C38" s="6" t="s">
        <v>247</v>
      </c>
      <c r="D38" s="6" t="s">
        <v>248</v>
      </c>
      <c r="E38" s="45">
        <v>25</v>
      </c>
      <c r="F38" s="55" t="s">
        <v>187</v>
      </c>
      <c r="G38" s="63" t="str">
        <f>IFERROR(IF(VLOOKUP(TableHandbook[[#This Row],[UDC]],TableAvailabilities[],2,FALSE)&gt;0,"Y",""),"")</f>
        <v/>
      </c>
      <c r="H38" s="64" t="str">
        <f>IFERROR(IF(VLOOKUP(TableHandbook[[#This Row],[UDC]],TableAvailabilities[],3,FALSE)&gt;0,"Y",""),"")</f>
        <v>Y</v>
      </c>
      <c r="I38" s="65" t="str">
        <f>IFERROR(IF(VLOOKUP(TableHandbook[[#This Row],[UDC]],TableAvailabilities[],4,FALSE)&gt;0,"Y",""),"")</f>
        <v/>
      </c>
      <c r="J38" s="66" t="str">
        <f>IFERROR(IF(VLOOKUP(TableHandbook[[#This Row],[UDC]],TableAvailabilities[],5,FALSE)&gt;0,"Y",""),"")</f>
        <v>Y</v>
      </c>
      <c r="K38" s="77"/>
      <c r="L38" s="57" t="str">
        <f>IFERROR(VLOOKUP(TableHandbook[[#This Row],[UDC]],TableOBARCH[],7,FALSE),"")</f>
        <v/>
      </c>
      <c r="M38" s="53" t="str">
        <f>IFERROR(VLOOKUP(TableHandbook[[#This Row],[UDC]],TableOSCUANGAD[],7,FALSE),"")</f>
        <v>Core</v>
      </c>
      <c r="N38" s="53" t="str">
        <f>IFERROR(VLOOKUP(TableHandbook[[#This Row],[UDC]],TableOSCUCONMS[],7,FALSE),"")</f>
        <v/>
      </c>
      <c r="O38" s="58" t="str">
        <f>IFERROR(VLOOKUP(TableHandbook[[#This Row],[UDC]],TableOSCUINARS[],7,FALSE),"")</f>
        <v/>
      </c>
      <c r="P38" s="58" t="str">
        <f>IFERROR(VLOOKUP(TableHandbook[[#This Row],[UDC]],TableOSCUPLGEO[],7,FALSE),"")</f>
        <v/>
      </c>
    </row>
    <row r="39" spans="1:16" x14ac:dyDescent="0.25">
      <c r="A39" s="6" t="s">
        <v>138</v>
      </c>
      <c r="B39" s="45">
        <v>1</v>
      </c>
      <c r="C39" s="6" t="s">
        <v>249</v>
      </c>
      <c r="D39" s="6" t="s">
        <v>250</v>
      </c>
      <c r="E39" s="45">
        <v>25</v>
      </c>
      <c r="F39" s="55" t="s">
        <v>251</v>
      </c>
      <c r="G39" s="63" t="str">
        <f>IFERROR(IF(VLOOKUP(TableHandbook[[#This Row],[UDC]],TableAvailabilities[],2,FALSE)&gt;0,"Y",""),"")</f>
        <v>Y</v>
      </c>
      <c r="H39" s="64" t="str">
        <f>IFERROR(IF(VLOOKUP(TableHandbook[[#This Row],[UDC]],TableAvailabilities[],3,FALSE)&gt;0,"Y",""),"")</f>
        <v/>
      </c>
      <c r="I39" s="65" t="str">
        <f>IFERROR(IF(VLOOKUP(TableHandbook[[#This Row],[UDC]],TableAvailabilities[],4,FALSE)&gt;0,"Y",""),"")</f>
        <v>Y</v>
      </c>
      <c r="J39" s="66" t="str">
        <f>IFERROR(IF(VLOOKUP(TableHandbook[[#This Row],[UDC]],TableAvailabilities[],5,FALSE)&gt;0,"Y",""),"")</f>
        <v/>
      </c>
      <c r="K39" s="77"/>
      <c r="L39" s="57" t="str">
        <f>IFERROR(VLOOKUP(TableHandbook[[#This Row],[UDC]],TableOBARCH[],7,FALSE),"")</f>
        <v/>
      </c>
      <c r="M39" s="53" t="str">
        <f>IFERROR(VLOOKUP(TableHandbook[[#This Row],[UDC]],TableOSCUANGAD[],7,FALSE),"")</f>
        <v>Core</v>
      </c>
      <c r="N39" s="53" t="str">
        <f>IFERROR(VLOOKUP(TableHandbook[[#This Row],[UDC]],TableOSCUCONMS[],7,FALSE),"")</f>
        <v/>
      </c>
      <c r="O39" s="58" t="str">
        <f>IFERROR(VLOOKUP(TableHandbook[[#This Row],[UDC]],TableOSCUINARS[],7,FALSE),"")</f>
        <v/>
      </c>
      <c r="P39" s="58" t="str">
        <f>IFERROR(VLOOKUP(TableHandbook[[#This Row],[UDC]],TableOSCUPLGEO[],7,FALSE),"")</f>
        <v/>
      </c>
    </row>
    <row r="40" spans="1:16" x14ac:dyDescent="0.25">
      <c r="A40" s="6" t="s">
        <v>143</v>
      </c>
      <c r="B40" s="45">
        <v>1</v>
      </c>
      <c r="C40" s="6" t="s">
        <v>252</v>
      </c>
      <c r="D40" s="6" t="s">
        <v>253</v>
      </c>
      <c r="E40" s="45">
        <v>25</v>
      </c>
      <c r="F40" s="55" t="s">
        <v>187</v>
      </c>
      <c r="G40" s="63" t="str">
        <f>IFERROR(IF(VLOOKUP(TableHandbook[[#This Row],[UDC]],TableAvailabilities[],2,FALSE)&gt;0,"Y",""),"")</f>
        <v/>
      </c>
      <c r="H40" s="64" t="str">
        <f>IFERROR(IF(VLOOKUP(TableHandbook[[#This Row],[UDC]],TableAvailabilities[],3,FALSE)&gt;0,"Y",""),"")</f>
        <v>Y</v>
      </c>
      <c r="I40" s="65" t="str">
        <f>IFERROR(IF(VLOOKUP(TableHandbook[[#This Row],[UDC]],TableAvailabilities[],4,FALSE)&gt;0,"Y",""),"")</f>
        <v/>
      </c>
      <c r="J40" s="66" t="str">
        <f>IFERROR(IF(VLOOKUP(TableHandbook[[#This Row],[UDC]],TableAvailabilities[],5,FALSE)&gt;0,"Y",""),"")</f>
        <v>Y</v>
      </c>
      <c r="K40" s="77"/>
      <c r="L40" s="57" t="str">
        <f>IFERROR(VLOOKUP(TableHandbook[[#This Row],[UDC]],TableOBARCH[],7,FALSE),"")</f>
        <v/>
      </c>
      <c r="M40" s="53" t="str">
        <f>IFERROR(VLOOKUP(TableHandbook[[#This Row],[UDC]],TableOSCUANGAD[],7,FALSE),"")</f>
        <v>Core</v>
      </c>
      <c r="N40" s="53" t="str">
        <f>IFERROR(VLOOKUP(TableHandbook[[#This Row],[UDC]],TableOSCUCONMS[],7,FALSE),"")</f>
        <v/>
      </c>
      <c r="O40" s="58" t="str">
        <f>IFERROR(VLOOKUP(TableHandbook[[#This Row],[UDC]],TableOSCUINARS[],7,FALSE),"")</f>
        <v/>
      </c>
      <c r="P40" s="58" t="str">
        <f>IFERROR(VLOOKUP(TableHandbook[[#This Row],[UDC]],TableOSCUPLGEO[],7,FALSE),"")</f>
        <v/>
      </c>
    </row>
    <row r="41" spans="1:16" x14ac:dyDescent="0.25">
      <c r="A41" s="6" t="s">
        <v>154</v>
      </c>
      <c r="B41" s="45">
        <v>2</v>
      </c>
      <c r="C41" s="6" t="s">
        <v>254</v>
      </c>
      <c r="D41" s="6" t="s">
        <v>255</v>
      </c>
      <c r="E41" s="45">
        <v>25</v>
      </c>
      <c r="F41" s="55" t="s">
        <v>256</v>
      </c>
      <c r="G41" s="63" t="str">
        <f>IFERROR(IF(VLOOKUP(TableHandbook[[#This Row],[UDC]],TableAvailabilities[],2,FALSE)&gt;0,"Y",""),"")</f>
        <v>Y</v>
      </c>
      <c r="H41" s="64" t="str">
        <f>IFERROR(IF(VLOOKUP(TableHandbook[[#This Row],[UDC]],TableAvailabilities[],3,FALSE)&gt;0,"Y",""),"")</f>
        <v/>
      </c>
      <c r="I41" s="65" t="str">
        <f>IFERROR(IF(VLOOKUP(TableHandbook[[#This Row],[UDC]],TableAvailabilities[],4,FALSE)&gt;0,"Y",""),"")</f>
        <v>Y</v>
      </c>
      <c r="J41" s="66" t="str">
        <f>IFERROR(IF(VLOOKUP(TableHandbook[[#This Row],[UDC]],TableAvailabilities[],5,FALSE)&gt;0,"Y",""),"")</f>
        <v/>
      </c>
      <c r="K41" s="77"/>
      <c r="L41" s="57" t="str">
        <f>IFERROR(VLOOKUP(TableHandbook[[#This Row],[UDC]],TableOBARCH[],7,FALSE),"")</f>
        <v/>
      </c>
      <c r="M41" s="53" t="str">
        <f>IFERROR(VLOOKUP(TableHandbook[[#This Row],[UDC]],TableOSCUANGAD[],7,FALSE),"")</f>
        <v>AltCore</v>
      </c>
      <c r="N41" s="53" t="str">
        <f>IFERROR(VLOOKUP(TableHandbook[[#This Row],[UDC]],TableOSCUCONMS[],7,FALSE),"")</f>
        <v/>
      </c>
      <c r="O41" s="58" t="str">
        <f>IFERROR(VLOOKUP(TableHandbook[[#This Row],[UDC]],TableOSCUINARS[],7,FALSE),"")</f>
        <v/>
      </c>
      <c r="P41" s="58" t="str">
        <f>IFERROR(VLOOKUP(TableHandbook[[#This Row],[UDC]],TableOSCUPLGEO[],7,FALSE),"")</f>
        <v/>
      </c>
    </row>
    <row r="42" spans="1:16" x14ac:dyDescent="0.25">
      <c r="A42" s="6" t="s">
        <v>257</v>
      </c>
      <c r="B42" s="45">
        <v>3</v>
      </c>
      <c r="C42" s="6" t="s">
        <v>258</v>
      </c>
      <c r="D42" s="6" t="s">
        <v>259</v>
      </c>
      <c r="E42" s="45">
        <v>25</v>
      </c>
      <c r="F42" s="55" t="s">
        <v>187</v>
      </c>
      <c r="G42" s="63" t="str">
        <f>IFERROR(IF(VLOOKUP(TableHandbook[[#This Row],[UDC]],TableAvailabilities[],2,FALSE)&gt;0,"Y",""),"")</f>
        <v/>
      </c>
      <c r="H42" s="64" t="str">
        <f>IFERROR(IF(VLOOKUP(TableHandbook[[#This Row],[UDC]],TableAvailabilities[],3,FALSE)&gt;0,"Y",""),"")</f>
        <v>Y</v>
      </c>
      <c r="I42" s="65" t="str">
        <f>IFERROR(IF(VLOOKUP(TableHandbook[[#This Row],[UDC]],TableAvailabilities[],4,FALSE)&gt;0,"Y",""),"")</f>
        <v/>
      </c>
      <c r="J42" s="66" t="str">
        <f>IFERROR(IF(VLOOKUP(TableHandbook[[#This Row],[UDC]],TableAvailabilities[],5,FALSE)&gt;0,"Y",""),"")</f>
        <v>Y</v>
      </c>
      <c r="K42" s="77"/>
      <c r="L42" s="57" t="str">
        <f>IFERROR(VLOOKUP(TableHandbook[[#This Row],[UDC]],TableOBARCH[],7,FALSE),"")</f>
        <v/>
      </c>
      <c r="M42" s="53" t="str">
        <f>IFERROR(VLOOKUP(TableHandbook[[#This Row],[UDC]],TableOSCUANGAD[],7,FALSE),"")</f>
        <v/>
      </c>
      <c r="N42" s="53" t="str">
        <f>IFERROR(VLOOKUP(TableHandbook[[#This Row],[UDC]],TableOSCUCONMS[],7,FALSE),"")</f>
        <v/>
      </c>
      <c r="O42" s="58" t="str">
        <f>IFERROR(VLOOKUP(TableHandbook[[#This Row],[UDC]],TableOSCUINARS[],7,FALSE),"")</f>
        <v/>
      </c>
      <c r="P42" s="58" t="str">
        <f>IFERROR(VLOOKUP(TableHandbook[[#This Row],[UDC]],TableOSCUPLGEO[],7,FALSE),"")</f>
        <v/>
      </c>
    </row>
    <row r="43" spans="1:16" x14ac:dyDescent="0.25">
      <c r="A43" s="6" t="s">
        <v>135</v>
      </c>
      <c r="B43" s="45">
        <v>4</v>
      </c>
      <c r="C43" s="6" t="s">
        <v>260</v>
      </c>
      <c r="D43" s="6" t="s">
        <v>261</v>
      </c>
      <c r="E43" s="45">
        <v>25</v>
      </c>
      <c r="F43" s="55" t="s">
        <v>187</v>
      </c>
      <c r="G43" s="63" t="str">
        <f>IFERROR(IF(VLOOKUP(TableHandbook[[#This Row],[UDC]],TableAvailabilities[],2,FALSE)&gt;0,"Y",""),"")</f>
        <v>Y</v>
      </c>
      <c r="H43" s="64" t="str">
        <f>IFERROR(IF(VLOOKUP(TableHandbook[[#This Row],[UDC]],TableAvailabilities[],3,FALSE)&gt;0,"Y",""),"")</f>
        <v/>
      </c>
      <c r="I43" s="65" t="str">
        <f>IFERROR(IF(VLOOKUP(TableHandbook[[#This Row],[UDC]],TableAvailabilities[],4,FALSE)&gt;0,"Y",""),"")</f>
        <v>Y</v>
      </c>
      <c r="J43" s="66" t="str">
        <f>IFERROR(IF(VLOOKUP(TableHandbook[[#This Row],[UDC]],TableAvailabilities[],5,FALSE)&gt;0,"Y",""),"")</f>
        <v/>
      </c>
      <c r="K43" s="77" t="s">
        <v>237</v>
      </c>
      <c r="L43" s="57" t="str">
        <f>IFERROR(VLOOKUP(TableHandbook[[#This Row],[UDC]],TableOBARCH[],7,FALSE),"")</f>
        <v/>
      </c>
      <c r="M43" s="53" t="str">
        <f>IFERROR(VLOOKUP(TableHandbook[[#This Row],[UDC]],TableOSCUANGAD[],7,FALSE),"")</f>
        <v/>
      </c>
      <c r="N43" s="53" t="str">
        <f>IFERROR(VLOOKUP(TableHandbook[[#This Row],[UDC]],TableOSCUCONMS[],7,FALSE),"")</f>
        <v/>
      </c>
      <c r="O43" s="58" t="str">
        <f>IFERROR(VLOOKUP(TableHandbook[[#This Row],[UDC]],TableOSCUINARS[],7,FALSE),"")</f>
        <v>AltCore</v>
      </c>
      <c r="P43" s="58" t="str">
        <f>IFERROR(VLOOKUP(TableHandbook[[#This Row],[UDC]],TableOSCUPLGEO[],7,FALSE),"")</f>
        <v/>
      </c>
    </row>
    <row r="44" spans="1:16" x14ac:dyDescent="0.25">
      <c r="A44" s="6" t="s">
        <v>262</v>
      </c>
      <c r="B44" s="45">
        <v>3</v>
      </c>
      <c r="C44" s="6" t="s">
        <v>260</v>
      </c>
      <c r="D44" s="6" t="s">
        <v>263</v>
      </c>
      <c r="E44" s="45">
        <v>25</v>
      </c>
      <c r="F44" s="55" t="s">
        <v>187</v>
      </c>
      <c r="G44" s="63" t="str">
        <f>IFERROR(IF(VLOOKUP(TableHandbook[[#This Row],[UDC]],TableAvailabilities[],2,FALSE)&gt;0,"Y",""),"")</f>
        <v/>
      </c>
      <c r="H44" s="64" t="str">
        <f>IFERROR(IF(VLOOKUP(TableHandbook[[#This Row],[UDC]],TableAvailabilities[],3,FALSE)&gt;0,"Y",""),"")</f>
        <v/>
      </c>
      <c r="I44" s="65" t="str">
        <f>IFERROR(IF(VLOOKUP(TableHandbook[[#This Row],[UDC]],TableAvailabilities[],4,FALSE)&gt;0,"Y",""),"")</f>
        <v/>
      </c>
      <c r="J44" s="66" t="str">
        <f>IFERROR(IF(VLOOKUP(TableHandbook[[#This Row],[UDC]],TableAvailabilities[],5,FALSE)&gt;0,"Y",""),"")</f>
        <v/>
      </c>
      <c r="K44" s="77" t="s">
        <v>240</v>
      </c>
      <c r="L44" s="57" t="str">
        <f>IFERROR(VLOOKUP(TableHandbook[[#This Row],[UDC]],TableOBARCH[],7,FALSE),"")</f>
        <v/>
      </c>
      <c r="M44" s="53" t="str">
        <f>IFERROR(VLOOKUP(TableHandbook[[#This Row],[UDC]],TableOSCUANGAD[],7,FALSE),"")</f>
        <v/>
      </c>
      <c r="N44" s="53" t="str">
        <f>IFERROR(VLOOKUP(TableHandbook[[#This Row],[UDC]],TableOSCUCONMS[],7,FALSE),"")</f>
        <v/>
      </c>
      <c r="O44" s="58" t="str">
        <f>IFERROR(VLOOKUP(TableHandbook[[#This Row],[UDC]],TableOSCUINARS[],7,FALSE),"")</f>
        <v/>
      </c>
      <c r="P44" s="58" t="str">
        <f>IFERROR(VLOOKUP(TableHandbook[[#This Row],[UDC]],TableOSCUPLGEO[],7,FALSE),"")</f>
        <v/>
      </c>
    </row>
    <row r="45" spans="1:16" x14ac:dyDescent="0.25">
      <c r="A45" s="6" t="s">
        <v>140</v>
      </c>
      <c r="B45" s="45">
        <v>1</v>
      </c>
      <c r="C45" s="6" t="s">
        <v>264</v>
      </c>
      <c r="D45" s="6" t="s">
        <v>265</v>
      </c>
      <c r="E45" s="45">
        <v>25</v>
      </c>
      <c r="F45" s="55" t="s">
        <v>187</v>
      </c>
      <c r="G45" s="63" t="str">
        <f>IFERROR(IF(VLOOKUP(TableHandbook[[#This Row],[UDC]],TableAvailabilities[],2,FALSE)&gt;0,"Y",""),"")</f>
        <v>Y</v>
      </c>
      <c r="H45" s="64" t="str">
        <f>IFERROR(IF(VLOOKUP(TableHandbook[[#This Row],[UDC]],TableAvailabilities[],3,FALSE)&gt;0,"Y",""),"")</f>
        <v/>
      </c>
      <c r="I45" s="65" t="str">
        <f>IFERROR(IF(VLOOKUP(TableHandbook[[#This Row],[UDC]],TableAvailabilities[],4,FALSE)&gt;0,"Y",""),"")</f>
        <v>Y</v>
      </c>
      <c r="J45" s="66" t="str">
        <f>IFERROR(IF(VLOOKUP(TableHandbook[[#This Row],[UDC]],TableAvailabilities[],5,FALSE)&gt;0,"Y",""),"")</f>
        <v/>
      </c>
      <c r="K45" s="77"/>
      <c r="L45" s="57" t="str">
        <f>IFERROR(VLOOKUP(TableHandbook[[#This Row],[UDC]],TableOBARCH[],7,FALSE),"")</f>
        <v/>
      </c>
      <c r="M45" s="53" t="str">
        <f>IFERROR(VLOOKUP(TableHandbook[[#This Row],[UDC]],TableOSCUANGAD[],7,FALSE),"")</f>
        <v/>
      </c>
      <c r="N45" s="53" t="str">
        <f>IFERROR(VLOOKUP(TableHandbook[[#This Row],[UDC]],TableOSCUCONMS[],7,FALSE),"")</f>
        <v/>
      </c>
      <c r="O45" s="58" t="str">
        <f>IFERROR(VLOOKUP(TableHandbook[[#This Row],[UDC]],TableOSCUINARS[],7,FALSE),"")</f>
        <v>AltCore</v>
      </c>
      <c r="P45" s="58" t="str">
        <f>IFERROR(VLOOKUP(TableHandbook[[#This Row],[UDC]],TableOSCUPLGEO[],7,FALSE),"")</f>
        <v/>
      </c>
    </row>
    <row r="46" spans="1:16" x14ac:dyDescent="0.25">
      <c r="A46" s="6" t="s">
        <v>164</v>
      </c>
      <c r="B46" s="45">
        <v>4</v>
      </c>
      <c r="C46" s="6" t="s">
        <v>266</v>
      </c>
      <c r="D46" s="6" t="s">
        <v>267</v>
      </c>
      <c r="E46" s="45">
        <v>25</v>
      </c>
      <c r="F46" s="55" t="s">
        <v>260</v>
      </c>
      <c r="G46" s="63" t="str">
        <f>IFERROR(IF(VLOOKUP(TableHandbook[[#This Row],[UDC]],TableAvailabilities[],2,FALSE)&gt;0,"Y",""),"")</f>
        <v>Y</v>
      </c>
      <c r="H46" s="64" t="str">
        <f>IFERROR(IF(VLOOKUP(TableHandbook[[#This Row],[UDC]],TableAvailabilities[],3,FALSE)&gt;0,"Y",""),"")</f>
        <v/>
      </c>
      <c r="I46" s="65" t="str">
        <f>IFERROR(IF(VLOOKUP(TableHandbook[[#This Row],[UDC]],TableAvailabilities[],4,FALSE)&gt;0,"Y",""),"")</f>
        <v>Y</v>
      </c>
      <c r="J46" s="66" t="str">
        <f>IFERROR(IF(VLOOKUP(TableHandbook[[#This Row],[UDC]],TableAvailabilities[],5,FALSE)&gt;0,"Y",""),"")</f>
        <v/>
      </c>
      <c r="K46" s="77" t="s">
        <v>237</v>
      </c>
      <c r="L46" s="57" t="str">
        <f>IFERROR(VLOOKUP(TableHandbook[[#This Row],[UDC]],TableOBARCH[],7,FALSE),"")</f>
        <v/>
      </c>
      <c r="M46" s="53" t="str">
        <f>IFERROR(VLOOKUP(TableHandbook[[#This Row],[UDC]],TableOSCUANGAD[],7,FALSE),"")</f>
        <v/>
      </c>
      <c r="N46" s="53" t="str">
        <f>IFERROR(VLOOKUP(TableHandbook[[#This Row],[UDC]],TableOSCUCONMS[],7,FALSE),"")</f>
        <v/>
      </c>
      <c r="O46" s="58" t="str">
        <f>IFERROR(VLOOKUP(TableHandbook[[#This Row],[UDC]],TableOSCUINARS[],7,FALSE),"")</f>
        <v>Option</v>
      </c>
      <c r="P46" s="58" t="str">
        <f>IFERROR(VLOOKUP(TableHandbook[[#This Row],[UDC]],TableOSCUPLGEO[],7,FALSE),"")</f>
        <v/>
      </c>
    </row>
    <row r="47" spans="1:16" x14ac:dyDescent="0.25">
      <c r="A47" s="6" t="s">
        <v>268</v>
      </c>
      <c r="B47" s="45">
        <v>3</v>
      </c>
      <c r="C47" s="6" t="s">
        <v>266</v>
      </c>
      <c r="D47" s="6" t="s">
        <v>269</v>
      </c>
      <c r="E47" s="45">
        <v>25</v>
      </c>
      <c r="F47" s="55" t="s">
        <v>270</v>
      </c>
      <c r="G47" s="63" t="str">
        <f>IFERROR(IF(VLOOKUP(TableHandbook[[#This Row],[UDC]],TableAvailabilities[],2,FALSE)&gt;0,"Y",""),"")</f>
        <v/>
      </c>
      <c r="H47" s="64" t="str">
        <f>IFERROR(IF(VLOOKUP(TableHandbook[[#This Row],[UDC]],TableAvailabilities[],3,FALSE)&gt;0,"Y",""),"")</f>
        <v/>
      </c>
      <c r="I47" s="65" t="str">
        <f>IFERROR(IF(VLOOKUP(TableHandbook[[#This Row],[UDC]],TableAvailabilities[],4,FALSE)&gt;0,"Y",""),"")</f>
        <v/>
      </c>
      <c r="J47" s="66" t="str">
        <f>IFERROR(IF(VLOOKUP(TableHandbook[[#This Row],[UDC]],TableAvailabilities[],5,FALSE)&gt;0,"Y",""),"")</f>
        <v/>
      </c>
      <c r="K47" s="77" t="s">
        <v>240</v>
      </c>
      <c r="L47" s="57" t="str">
        <f>IFERROR(VLOOKUP(TableHandbook[[#This Row],[UDC]],TableOBARCH[],7,FALSE),"")</f>
        <v/>
      </c>
      <c r="M47" s="53" t="str">
        <f>IFERROR(VLOOKUP(TableHandbook[[#This Row],[UDC]],TableOSCUANGAD[],7,FALSE),"")</f>
        <v/>
      </c>
      <c r="N47" s="53" t="str">
        <f>IFERROR(VLOOKUP(TableHandbook[[#This Row],[UDC]],TableOSCUCONMS[],7,FALSE),"")</f>
        <v/>
      </c>
      <c r="O47" s="58" t="str">
        <f>IFERROR(VLOOKUP(TableHandbook[[#This Row],[UDC]],TableOSCUINARS[],7,FALSE),"")</f>
        <v/>
      </c>
      <c r="P47" s="58" t="str">
        <f>IFERROR(VLOOKUP(TableHandbook[[#This Row],[UDC]],TableOSCUPLGEO[],7,FALSE),"")</f>
        <v/>
      </c>
    </row>
    <row r="48" spans="1:16" x14ac:dyDescent="0.25">
      <c r="A48" s="6" t="s">
        <v>151</v>
      </c>
      <c r="B48" s="45">
        <v>1</v>
      </c>
      <c r="C48" s="6" t="s">
        <v>271</v>
      </c>
      <c r="D48" s="6" t="s">
        <v>272</v>
      </c>
      <c r="E48" s="45">
        <v>25</v>
      </c>
      <c r="F48" s="55" t="s">
        <v>187</v>
      </c>
      <c r="G48" s="63" t="str">
        <f>IFERROR(IF(VLOOKUP(TableHandbook[[#This Row],[UDC]],TableAvailabilities[],2,FALSE)&gt;0,"Y",""),"")</f>
        <v/>
      </c>
      <c r="H48" s="64" t="str">
        <f>IFERROR(IF(VLOOKUP(TableHandbook[[#This Row],[UDC]],TableAvailabilities[],3,FALSE)&gt;0,"Y",""),"")</f>
        <v>Y</v>
      </c>
      <c r="I48" s="65" t="str">
        <f>IFERROR(IF(VLOOKUP(TableHandbook[[#This Row],[UDC]],TableAvailabilities[],4,FALSE)&gt;0,"Y",""),"")</f>
        <v/>
      </c>
      <c r="J48" s="66" t="str">
        <f>IFERROR(IF(VLOOKUP(TableHandbook[[#This Row],[UDC]],TableAvailabilities[],5,FALSE)&gt;0,"Y",""),"")</f>
        <v>Y</v>
      </c>
      <c r="K48" s="77"/>
      <c r="L48" s="57" t="str">
        <f>IFERROR(VLOOKUP(TableHandbook[[#This Row],[UDC]],TableOBARCH[],7,FALSE),"")</f>
        <v/>
      </c>
      <c r="M48" s="53" t="str">
        <f>IFERROR(VLOOKUP(TableHandbook[[#This Row],[UDC]],TableOSCUANGAD[],7,FALSE),"")</f>
        <v/>
      </c>
      <c r="N48" s="53" t="str">
        <f>IFERROR(VLOOKUP(TableHandbook[[#This Row],[UDC]],TableOSCUCONMS[],7,FALSE),"")</f>
        <v/>
      </c>
      <c r="O48" s="58" t="str">
        <f>IFERROR(VLOOKUP(TableHandbook[[#This Row],[UDC]],TableOSCUINARS[],7,FALSE),"")</f>
        <v>Core</v>
      </c>
      <c r="P48" s="58" t="str">
        <f>IFERROR(VLOOKUP(TableHandbook[[#This Row],[UDC]],TableOSCUPLGEO[],7,FALSE),"")</f>
        <v/>
      </c>
    </row>
    <row r="49" spans="1:16" x14ac:dyDescent="0.25">
      <c r="A49" s="6" t="s">
        <v>166</v>
      </c>
      <c r="B49" s="45">
        <v>1</v>
      </c>
      <c r="C49" s="6" t="s">
        <v>273</v>
      </c>
      <c r="D49" s="6" t="s">
        <v>274</v>
      </c>
      <c r="E49" s="45">
        <v>25</v>
      </c>
      <c r="F49" s="55" t="s">
        <v>187</v>
      </c>
      <c r="G49" s="63" t="str">
        <f>IFERROR(IF(VLOOKUP(TableHandbook[[#This Row],[UDC]],TableAvailabilities[],2,FALSE)&gt;0,"Y",""),"")</f>
        <v/>
      </c>
      <c r="H49" s="64" t="str">
        <f>IFERROR(IF(VLOOKUP(TableHandbook[[#This Row],[UDC]],TableAvailabilities[],3,FALSE)&gt;0,"Y",""),"")</f>
        <v>Y</v>
      </c>
      <c r="I49" s="65" t="str">
        <f>IFERROR(IF(VLOOKUP(TableHandbook[[#This Row],[UDC]],TableAvailabilities[],4,FALSE)&gt;0,"Y",""),"")</f>
        <v/>
      </c>
      <c r="J49" s="66" t="str">
        <f>IFERROR(IF(VLOOKUP(TableHandbook[[#This Row],[UDC]],TableAvailabilities[],5,FALSE)&gt;0,"Y",""),"")</f>
        <v>Y</v>
      </c>
      <c r="K49" s="77"/>
      <c r="L49" s="57" t="str">
        <f>IFERROR(VLOOKUP(TableHandbook[[#This Row],[UDC]],TableOBARCH[],7,FALSE),"")</f>
        <v/>
      </c>
      <c r="M49" s="53" t="str">
        <f>IFERROR(VLOOKUP(TableHandbook[[#This Row],[UDC]],TableOSCUANGAD[],7,FALSE),"")</f>
        <v/>
      </c>
      <c r="N49" s="53" t="str">
        <f>IFERROR(VLOOKUP(TableHandbook[[#This Row],[UDC]],TableOSCUCONMS[],7,FALSE),"")</f>
        <v/>
      </c>
      <c r="O49" s="58" t="str">
        <f>IFERROR(VLOOKUP(TableHandbook[[#This Row],[UDC]],TableOSCUINARS[],7,FALSE),"")</f>
        <v>Option</v>
      </c>
      <c r="P49" s="58" t="str">
        <f>IFERROR(VLOOKUP(TableHandbook[[#This Row],[UDC]],TableOSCUPLGEO[],7,FALSE),"")</f>
        <v/>
      </c>
    </row>
    <row r="50" spans="1:16" x14ac:dyDescent="0.25">
      <c r="A50" s="6" t="s">
        <v>155</v>
      </c>
      <c r="B50" s="45">
        <v>1</v>
      </c>
      <c r="C50" s="6" t="s">
        <v>275</v>
      </c>
      <c r="D50" s="6" t="s">
        <v>276</v>
      </c>
      <c r="E50" s="45">
        <v>25</v>
      </c>
      <c r="F50" s="55" t="s">
        <v>187</v>
      </c>
      <c r="G50" s="63" t="str">
        <f>IFERROR(IF(VLOOKUP(TableHandbook[[#This Row],[UDC]],TableAvailabilities[],2,FALSE)&gt;0,"Y",""),"")</f>
        <v/>
      </c>
      <c r="H50" s="64" t="str">
        <f>IFERROR(IF(VLOOKUP(TableHandbook[[#This Row],[UDC]],TableAvailabilities[],3,FALSE)&gt;0,"Y",""),"")</f>
        <v/>
      </c>
      <c r="I50" s="65" t="str">
        <f>IFERROR(IF(VLOOKUP(TableHandbook[[#This Row],[UDC]],TableAvailabilities[],4,FALSE)&gt;0,"Y",""),"")</f>
        <v/>
      </c>
      <c r="J50" s="66" t="str">
        <f>IFERROR(IF(VLOOKUP(TableHandbook[[#This Row],[UDC]],TableAvailabilities[],5,FALSE)&gt;0,"Y",""),"")</f>
        <v/>
      </c>
      <c r="K50" s="77"/>
      <c r="L50" s="57" t="str">
        <f>IFERROR(VLOOKUP(TableHandbook[[#This Row],[UDC]],TableOBARCH[],7,FALSE),"")</f>
        <v/>
      </c>
      <c r="M50" s="53" t="str">
        <f>IFERROR(VLOOKUP(TableHandbook[[#This Row],[UDC]],TableOSCUANGAD[],7,FALSE),"")</f>
        <v/>
      </c>
      <c r="N50" s="53" t="str">
        <f>IFERROR(VLOOKUP(TableHandbook[[#This Row],[UDC]],TableOSCUCONMS[],7,FALSE),"")</f>
        <v/>
      </c>
      <c r="O50" s="58" t="str">
        <f>IFERROR(VLOOKUP(TableHandbook[[#This Row],[UDC]],TableOSCUINARS[],7,FALSE),"")</f>
        <v>Core</v>
      </c>
      <c r="P50" s="58" t="str">
        <f>IFERROR(VLOOKUP(TableHandbook[[#This Row],[UDC]],TableOSCUPLGEO[],7,FALSE),"")</f>
        <v/>
      </c>
    </row>
    <row r="51" spans="1:16" x14ac:dyDescent="0.25">
      <c r="A51" s="6" t="s">
        <v>162</v>
      </c>
      <c r="B51" s="45">
        <v>0</v>
      </c>
      <c r="C51" s="6"/>
      <c r="D51" s="6" t="s">
        <v>277</v>
      </c>
      <c r="E51" s="45">
        <v>25</v>
      </c>
      <c r="F51" s="55"/>
      <c r="G51" s="63" t="str">
        <f>IFERROR(IF(VLOOKUP(TableHandbook[[#This Row],[UDC]],TableAvailabilities[],2,FALSE)&gt;0,"Y",""),"")</f>
        <v/>
      </c>
      <c r="H51" s="64" t="str">
        <f>IFERROR(IF(VLOOKUP(TableHandbook[[#This Row],[UDC]],TableAvailabilities[],3,FALSE)&gt;0,"Y",""),"")</f>
        <v/>
      </c>
      <c r="I51" s="65" t="str">
        <f>IFERROR(IF(VLOOKUP(TableHandbook[[#This Row],[UDC]],TableAvailabilities[],4,FALSE)&gt;0,"Y",""),"")</f>
        <v/>
      </c>
      <c r="J51" s="66" t="str">
        <f>IFERROR(IF(VLOOKUP(TableHandbook[[#This Row],[UDC]],TableAvailabilities[],5,FALSE)&gt;0,"Y",""),"")</f>
        <v/>
      </c>
      <c r="K51" s="77"/>
      <c r="L51" s="57" t="str">
        <f>IFERROR(VLOOKUP(TableHandbook[[#This Row],[UDC]],TableOBARCH[],7,FALSE),"")</f>
        <v/>
      </c>
      <c r="M51" s="53" t="str">
        <f>IFERROR(VLOOKUP(TableHandbook[[#This Row],[UDC]],TableOSCUANGAD[],7,FALSE),"")</f>
        <v/>
      </c>
      <c r="N51" s="53" t="str">
        <f>IFERROR(VLOOKUP(TableHandbook[[#This Row],[UDC]],TableOSCUCONMS[],7,FALSE),"")</f>
        <v/>
      </c>
      <c r="O51" s="58" t="str">
        <f>IFERROR(VLOOKUP(TableHandbook[[#This Row],[UDC]],TableOSCUINARS[],7,FALSE),"")</f>
        <v>Option</v>
      </c>
      <c r="P51" s="58" t="str">
        <f>IFERROR(VLOOKUP(TableHandbook[[#This Row],[UDC]],TableOSCUPLGEO[],7,FALSE),"")</f>
        <v/>
      </c>
    </row>
    <row r="52" spans="1:16" x14ac:dyDescent="0.25">
      <c r="A52" s="6" t="s">
        <v>101</v>
      </c>
      <c r="B52" s="45">
        <v>1</v>
      </c>
      <c r="C52" s="6"/>
      <c r="D52" s="6" t="s">
        <v>100</v>
      </c>
      <c r="E52" s="45">
        <v>100</v>
      </c>
      <c r="F52" s="55" t="s">
        <v>177</v>
      </c>
      <c r="G52" s="63" t="str">
        <f>IFERROR(IF(VLOOKUP(TableHandbook[[#This Row],[UDC]],TableAvailabilities[],2,FALSE)&gt;0,"Y",""),"")</f>
        <v/>
      </c>
      <c r="H52" s="64" t="str">
        <f>IFERROR(IF(VLOOKUP(TableHandbook[[#This Row],[UDC]],TableAvailabilities[],3,FALSE)&gt;0,"Y",""),"")</f>
        <v/>
      </c>
      <c r="I52" s="65" t="str">
        <f>IFERROR(IF(VLOOKUP(TableHandbook[[#This Row],[UDC]],TableAvailabilities[],4,FALSE)&gt;0,"Y",""),"")</f>
        <v/>
      </c>
      <c r="J52" s="66" t="str">
        <f>IFERROR(IF(VLOOKUP(TableHandbook[[#This Row],[UDC]],TableAvailabilities[],5,FALSE)&gt;0,"Y",""),"")</f>
        <v/>
      </c>
      <c r="K52" s="77"/>
      <c r="L52" s="57" t="str">
        <f>IFERROR(VLOOKUP(TableHandbook[[#This Row],[UDC]],TableOBARCH[],7,FALSE),"")</f>
        <v>AltCore</v>
      </c>
      <c r="M52" s="53" t="str">
        <f>IFERROR(VLOOKUP(TableHandbook[[#This Row],[UDC]],TableOSCUANGAD[],7,FALSE),"")</f>
        <v/>
      </c>
      <c r="N52" s="53" t="str">
        <f>IFERROR(VLOOKUP(TableHandbook[[#This Row],[UDC]],TableOSCUCONMS[],7,FALSE),"")</f>
        <v/>
      </c>
      <c r="O52" s="58" t="str">
        <f>IFERROR(VLOOKUP(TableHandbook[[#This Row],[UDC]],TableOSCUINARS[],7,FALSE),"")</f>
        <v/>
      </c>
      <c r="P52" s="58" t="str">
        <f>IFERROR(VLOOKUP(TableHandbook[[#This Row],[UDC]],TableOSCUPLGEO[],7,FALSE),"")</f>
        <v/>
      </c>
    </row>
    <row r="53" spans="1:16" x14ac:dyDescent="0.25">
      <c r="A53" s="6" t="s">
        <v>104</v>
      </c>
      <c r="B53" s="45">
        <v>1</v>
      </c>
      <c r="C53" s="6"/>
      <c r="D53" s="6" t="s">
        <v>14</v>
      </c>
      <c r="E53" s="45">
        <v>100</v>
      </c>
      <c r="F53" s="55" t="s">
        <v>177</v>
      </c>
      <c r="G53" s="63" t="str">
        <f>IFERROR(IF(VLOOKUP(TableHandbook[[#This Row],[UDC]],TableAvailabilities[],2,FALSE)&gt;0,"Y",""),"")</f>
        <v/>
      </c>
      <c r="H53" s="64" t="str">
        <f>IFERROR(IF(VLOOKUP(TableHandbook[[#This Row],[UDC]],TableAvailabilities[],3,FALSE)&gt;0,"Y",""),"")</f>
        <v/>
      </c>
      <c r="I53" s="65" t="str">
        <f>IFERROR(IF(VLOOKUP(TableHandbook[[#This Row],[UDC]],TableAvailabilities[],4,FALSE)&gt;0,"Y",""),"")</f>
        <v/>
      </c>
      <c r="J53" s="66" t="str">
        <f>IFERROR(IF(VLOOKUP(TableHandbook[[#This Row],[UDC]],TableAvailabilities[],5,FALSE)&gt;0,"Y",""),"")</f>
        <v/>
      </c>
      <c r="K53" s="77"/>
      <c r="L53" s="57" t="str">
        <f>IFERROR(VLOOKUP(TableHandbook[[#This Row],[UDC]],TableOBARCH[],7,FALSE),"")</f>
        <v>AltCore</v>
      </c>
      <c r="M53" s="58" t="str">
        <f>IFERROR(VLOOKUP(TableHandbook[[#This Row],[UDC]],TableOSCUANGAD[],7,FALSE),"")</f>
        <v/>
      </c>
      <c r="N53" s="58" t="str">
        <f>IFERROR(VLOOKUP(TableHandbook[[#This Row],[UDC]],TableOSCUCONMS[],7,FALSE),"")</f>
        <v/>
      </c>
      <c r="O53" s="58" t="str">
        <f>IFERROR(VLOOKUP(TableHandbook[[#This Row],[UDC]],TableOSCUINARS[],7,FALSE),"")</f>
        <v/>
      </c>
      <c r="P53" s="58" t="str">
        <f>IFERROR(VLOOKUP(TableHandbook[[#This Row],[UDC]],TableOSCUPLGEO[],7,FALSE),"")</f>
        <v/>
      </c>
    </row>
    <row r="54" spans="1:16" x14ac:dyDescent="0.25">
      <c r="A54" s="6" t="s">
        <v>112</v>
      </c>
      <c r="B54" s="45">
        <v>3</v>
      </c>
      <c r="C54" s="6"/>
      <c r="D54" s="6" t="s">
        <v>111</v>
      </c>
      <c r="E54" s="45">
        <v>100</v>
      </c>
      <c r="F54" s="55" t="s">
        <v>177</v>
      </c>
      <c r="G54" s="63" t="str">
        <f>IFERROR(IF(VLOOKUP(TableHandbook[[#This Row],[UDC]],TableAvailabilities[],2,FALSE)&gt;0,"Y",""),"")</f>
        <v/>
      </c>
      <c r="H54" s="64" t="str">
        <f>IFERROR(IF(VLOOKUP(TableHandbook[[#This Row],[UDC]],TableAvailabilities[],3,FALSE)&gt;0,"Y",""),"")</f>
        <v/>
      </c>
      <c r="I54" s="65" t="str">
        <f>IFERROR(IF(VLOOKUP(TableHandbook[[#This Row],[UDC]],TableAvailabilities[],4,FALSE)&gt;0,"Y",""),"")</f>
        <v/>
      </c>
      <c r="J54" s="66" t="str">
        <f>IFERROR(IF(VLOOKUP(TableHandbook[[#This Row],[UDC]],TableAvailabilities[],5,FALSE)&gt;0,"Y",""),"")</f>
        <v/>
      </c>
      <c r="K54" s="77" t="s">
        <v>237</v>
      </c>
      <c r="L54" s="57" t="str">
        <f>IFERROR(VLOOKUP(TableHandbook[[#This Row],[UDC]],TableOBARCH[],7,FALSE),"")</f>
        <v>AltCore</v>
      </c>
      <c r="M54" s="58" t="str">
        <f>IFERROR(VLOOKUP(TableHandbook[[#This Row],[UDC]],TableOSCUANGAD[],7,FALSE),"")</f>
        <v/>
      </c>
      <c r="N54" s="58" t="str">
        <f>IFERROR(VLOOKUP(TableHandbook[[#This Row],[UDC]],TableOSCUCONMS[],7,FALSE),"")</f>
        <v/>
      </c>
      <c r="O54" s="58" t="str">
        <f>IFERROR(VLOOKUP(TableHandbook[[#This Row],[UDC]],TableOSCUINARS[],7,FALSE),"")</f>
        <v/>
      </c>
      <c r="P54" s="58" t="str">
        <f>IFERROR(VLOOKUP(TableHandbook[[#This Row],[UDC]],TableOSCUPLGEO[],7,FALSE),"")</f>
        <v/>
      </c>
    </row>
    <row r="55" spans="1:16" x14ac:dyDescent="0.25">
      <c r="A55" s="91" t="s">
        <v>278</v>
      </c>
      <c r="B55" s="92">
        <v>2</v>
      </c>
      <c r="C55" s="91"/>
      <c r="D55" s="91" t="s">
        <v>111</v>
      </c>
      <c r="E55" s="45">
        <v>100</v>
      </c>
      <c r="F55" s="55" t="s">
        <v>177</v>
      </c>
      <c r="G55" s="63" t="str">
        <f>IFERROR(IF(VLOOKUP(TableHandbook[[#This Row],[UDC]],TableAvailabilities[],2,FALSE)&gt;0,"Y",""),"")</f>
        <v/>
      </c>
      <c r="H55" s="64" t="str">
        <f>IFERROR(IF(VLOOKUP(TableHandbook[[#This Row],[UDC]],TableAvailabilities[],3,FALSE)&gt;0,"Y",""),"")</f>
        <v/>
      </c>
      <c r="I55" s="65" t="str">
        <f>IFERROR(IF(VLOOKUP(TableHandbook[[#This Row],[UDC]],TableAvailabilities[],4,FALSE)&gt;0,"Y",""),"")</f>
        <v/>
      </c>
      <c r="J55" s="66" t="str">
        <f>IFERROR(IF(VLOOKUP(TableHandbook[[#This Row],[UDC]],TableAvailabilities[],5,FALSE)&gt;0,"Y",""),"")</f>
        <v/>
      </c>
      <c r="K55" s="77" t="s">
        <v>240</v>
      </c>
      <c r="L55" s="57" t="str">
        <f>IFERROR(VLOOKUP(TableHandbook[[#This Row],[UDC]],TableOBARCH[],7,FALSE),"")</f>
        <v/>
      </c>
      <c r="M55" s="58" t="str">
        <f>IFERROR(VLOOKUP(TableHandbook[[#This Row],[UDC]],TableOSCUANGAD[],7,FALSE),"")</f>
        <v/>
      </c>
      <c r="N55" s="58" t="str">
        <f>IFERROR(VLOOKUP(TableHandbook[[#This Row],[UDC]],TableOSCUCONMS[],7,FALSE),"")</f>
        <v/>
      </c>
      <c r="O55" s="58" t="str">
        <f>IFERROR(VLOOKUP(TableHandbook[[#This Row],[UDC]],TableOSCUINARS[],7,FALSE),"")</f>
        <v/>
      </c>
      <c r="P55" s="58" t="str">
        <f>IFERROR(VLOOKUP(TableHandbook[[#This Row],[UDC]],TableOSCUPLGEO[],7,FALSE),"")</f>
        <v/>
      </c>
    </row>
    <row r="56" spans="1:16" x14ac:dyDescent="0.25">
      <c r="A56" s="6" t="s">
        <v>115</v>
      </c>
      <c r="B56" s="45">
        <v>1</v>
      </c>
      <c r="C56" s="6"/>
      <c r="D56" s="6" t="s">
        <v>114</v>
      </c>
      <c r="E56" s="45">
        <v>100</v>
      </c>
      <c r="F56" s="55" t="s">
        <v>177</v>
      </c>
      <c r="G56" s="63" t="str">
        <f>IFERROR(IF(VLOOKUP(TableHandbook[[#This Row],[UDC]],TableAvailabilities[],2,FALSE)&gt;0,"Y",""),"")</f>
        <v/>
      </c>
      <c r="H56" s="64" t="str">
        <f>IFERROR(IF(VLOOKUP(TableHandbook[[#This Row],[UDC]],TableAvailabilities[],3,FALSE)&gt;0,"Y",""),"")</f>
        <v/>
      </c>
      <c r="I56" s="65" t="str">
        <f>IFERROR(IF(VLOOKUP(TableHandbook[[#This Row],[UDC]],TableAvailabilities[],4,FALSE)&gt;0,"Y",""),"")</f>
        <v/>
      </c>
      <c r="J56" s="66" t="str">
        <f>IFERROR(IF(VLOOKUP(TableHandbook[[#This Row],[UDC]],TableAvailabilities[],5,FALSE)&gt;0,"Y",""),"")</f>
        <v/>
      </c>
      <c r="K56" s="77"/>
      <c r="L56" s="57" t="str">
        <f>IFERROR(VLOOKUP(TableHandbook[[#This Row],[UDC]],TableOBARCH[],7,FALSE),"")</f>
        <v>AltCore</v>
      </c>
      <c r="M56" s="58" t="str">
        <f>IFERROR(VLOOKUP(TableHandbook[[#This Row],[UDC]],TableOSCUANGAD[],7,FALSE),"")</f>
        <v/>
      </c>
      <c r="N56" s="58" t="str">
        <f>IFERROR(VLOOKUP(TableHandbook[[#This Row],[UDC]],TableOSCUCONMS[],7,FALSE),"")</f>
        <v/>
      </c>
      <c r="O56" s="58" t="str">
        <f>IFERROR(VLOOKUP(TableHandbook[[#This Row],[UDC]],TableOSCUINARS[],7,FALSE),"")</f>
        <v/>
      </c>
      <c r="P56" s="58" t="str">
        <f>IFERROR(VLOOKUP(TableHandbook[[#This Row],[UDC]],TableOSCUPLGEO[],7,FALSE),"")</f>
        <v/>
      </c>
    </row>
    <row r="57" spans="1:16" x14ac:dyDescent="0.25">
      <c r="A57" s="6" t="s">
        <v>145</v>
      </c>
      <c r="B57" s="45">
        <v>3</v>
      </c>
      <c r="C57" s="6" t="s">
        <v>279</v>
      </c>
      <c r="D57" s="6" t="s">
        <v>280</v>
      </c>
      <c r="E57" s="45">
        <v>25</v>
      </c>
      <c r="F57" s="55" t="s">
        <v>187</v>
      </c>
      <c r="G57" s="63" t="str">
        <f>IFERROR(IF(VLOOKUP(TableHandbook[[#This Row],[UDC]],TableAvailabilities[],2,FALSE)&gt;0,"Y",""),"")</f>
        <v>Y</v>
      </c>
      <c r="H57" s="64" t="str">
        <f>IFERROR(IF(VLOOKUP(TableHandbook[[#This Row],[UDC]],TableAvailabilities[],3,FALSE)&gt;0,"Y",""),"")</f>
        <v/>
      </c>
      <c r="I57" s="65" t="str">
        <f>IFERROR(IF(VLOOKUP(TableHandbook[[#This Row],[UDC]],TableAvailabilities[],4,FALSE)&gt;0,"Y",""),"")</f>
        <v>Y</v>
      </c>
      <c r="J57" s="66" t="str">
        <f>IFERROR(IF(VLOOKUP(TableHandbook[[#This Row],[UDC]],TableAvailabilities[],5,FALSE)&gt;0,"Y",""),"")</f>
        <v/>
      </c>
      <c r="K57" s="77"/>
      <c r="L57" s="57" t="str">
        <f>IFERROR(VLOOKUP(TableHandbook[[#This Row],[UDC]],TableOBARCH[],7,FALSE),"")</f>
        <v/>
      </c>
      <c r="M57" s="58" t="str">
        <f>IFERROR(VLOOKUP(TableHandbook[[#This Row],[UDC]],TableOSCUANGAD[],7,FALSE),"")</f>
        <v/>
      </c>
      <c r="N57" s="58" t="str">
        <f>IFERROR(VLOOKUP(TableHandbook[[#This Row],[UDC]],TableOSCUCONMS[],7,FALSE),"")</f>
        <v/>
      </c>
      <c r="O57" s="58" t="str">
        <f>IFERROR(VLOOKUP(TableHandbook[[#This Row],[UDC]],TableOSCUINARS[],7,FALSE),"")</f>
        <v/>
      </c>
      <c r="P57" s="58" t="str">
        <f>IFERROR(VLOOKUP(TableHandbook[[#This Row],[UDC]],TableOSCUPLGEO[],7,FALSE),"")</f>
        <v>Core</v>
      </c>
    </row>
    <row r="58" spans="1:16" x14ac:dyDescent="0.25">
      <c r="A58" s="6" t="s">
        <v>78</v>
      </c>
      <c r="B58" s="45"/>
      <c r="C58" s="6"/>
      <c r="D58" s="6" t="s">
        <v>281</v>
      </c>
      <c r="E58" s="45">
        <v>25</v>
      </c>
      <c r="F58" s="55" t="s">
        <v>282</v>
      </c>
      <c r="G58" s="63" t="str">
        <f>IFERROR(IF(VLOOKUP(TableHandbook[[#This Row],[UDC]],TableAvailabilities[],2,FALSE)&gt;0,"Y",""),"")</f>
        <v/>
      </c>
      <c r="H58" s="64" t="str">
        <f>IFERROR(IF(VLOOKUP(TableHandbook[[#This Row],[UDC]],TableAvailabilities[],3,FALSE)&gt;0,"Y",""),"")</f>
        <v/>
      </c>
      <c r="I58" s="65" t="str">
        <f>IFERROR(IF(VLOOKUP(TableHandbook[[#This Row],[UDC]],TableAvailabilities[],4,FALSE)&gt;0,"Y",""),"")</f>
        <v/>
      </c>
      <c r="J58" s="66" t="str">
        <f>IFERROR(IF(VLOOKUP(TableHandbook[[#This Row],[UDC]],TableAvailabilities[],5,FALSE)&gt;0,"Y",""),"")</f>
        <v/>
      </c>
      <c r="K58" s="77"/>
      <c r="L58" s="57" t="str">
        <f>IFERROR(VLOOKUP(TableHandbook[[#This Row],[UDC]],TableOBARCH[],7,FALSE),"")</f>
        <v/>
      </c>
      <c r="M58" s="58" t="str">
        <f>IFERROR(VLOOKUP(TableHandbook[[#This Row],[UDC]],TableOSCUANGAD[],7,FALSE),"")</f>
        <v/>
      </c>
      <c r="N58" s="58" t="str">
        <f>IFERROR(VLOOKUP(TableHandbook[[#This Row],[UDC]],TableOSCUCONMS[],7,FALSE),"")</f>
        <v/>
      </c>
      <c r="O58" s="58" t="str">
        <f>IFERROR(VLOOKUP(TableHandbook[[#This Row],[UDC]],TableOSCUINARS[],7,FALSE),"")</f>
        <v/>
      </c>
      <c r="P58" s="58" t="str">
        <f>IFERROR(VLOOKUP(TableHandbook[[#This Row],[UDC]],TableOSCUPLGEO[],7,FALSE),"")</f>
        <v/>
      </c>
    </row>
    <row r="59" spans="1:16" x14ac:dyDescent="0.25">
      <c r="A59" s="6" t="s">
        <v>283</v>
      </c>
      <c r="B59" s="45">
        <v>0</v>
      </c>
      <c r="C59" s="6"/>
      <c r="D59" s="6" t="s">
        <v>284</v>
      </c>
      <c r="E59" s="45">
        <v>100</v>
      </c>
      <c r="F59" s="55" t="s">
        <v>177</v>
      </c>
      <c r="G59" s="63" t="str">
        <f>IFERROR(IF(VLOOKUP(TableHandbook[[#This Row],[UDC]],TableAvailabilities[],2,FALSE)&gt;0,"Y",""),"")</f>
        <v/>
      </c>
      <c r="H59" s="64" t="str">
        <f>IFERROR(IF(VLOOKUP(TableHandbook[[#This Row],[UDC]],TableAvailabilities[],3,FALSE)&gt;0,"Y",""),"")</f>
        <v/>
      </c>
      <c r="I59" s="65" t="str">
        <f>IFERROR(IF(VLOOKUP(TableHandbook[[#This Row],[UDC]],TableAvailabilities[],4,FALSE)&gt;0,"Y",""),"")</f>
        <v/>
      </c>
      <c r="J59" s="66" t="str">
        <f>IFERROR(IF(VLOOKUP(TableHandbook[[#This Row],[UDC]],TableAvailabilities[],5,FALSE)&gt;0,"Y",""),"")</f>
        <v/>
      </c>
      <c r="K59" s="77"/>
      <c r="L59" s="57" t="str">
        <f>IFERROR(VLOOKUP(TableHandbook[[#This Row],[UDC]],TableOBARCH[],7,FALSE),"")</f>
        <v>AltCore</v>
      </c>
      <c r="M59" s="58" t="str">
        <f>IFERROR(VLOOKUP(TableHandbook[[#This Row],[UDC]],TableOSCUANGAD[],7,FALSE),"")</f>
        <v/>
      </c>
      <c r="N59" s="58" t="str">
        <f>IFERROR(VLOOKUP(TableHandbook[[#This Row],[UDC]],TableOSCUCONMS[],7,FALSE),"")</f>
        <v/>
      </c>
      <c r="O59" s="58" t="str">
        <f>IFERROR(VLOOKUP(TableHandbook[[#This Row],[UDC]],TableOSCUINARS[],7,FALSE),"")</f>
        <v/>
      </c>
      <c r="P59" s="58" t="str">
        <f>IFERROR(VLOOKUP(TableHandbook[[#This Row],[UDC]],TableOSCUPLGEO[],7,FALSE),"")</f>
        <v/>
      </c>
    </row>
    <row r="60" spans="1:16" x14ac:dyDescent="0.25">
      <c r="A60" s="6" t="s">
        <v>136</v>
      </c>
      <c r="B60" s="45">
        <v>1</v>
      </c>
      <c r="C60" s="6" t="s">
        <v>285</v>
      </c>
      <c r="D60" s="6" t="s">
        <v>286</v>
      </c>
      <c r="E60" s="45">
        <v>25</v>
      </c>
      <c r="F60" s="55" t="s">
        <v>187</v>
      </c>
      <c r="G60" s="63" t="str">
        <f>IFERROR(IF(VLOOKUP(TableHandbook[[#This Row],[UDC]],TableAvailabilities[],2,FALSE)&gt;0,"Y",""),"")</f>
        <v>Y</v>
      </c>
      <c r="H60" s="64" t="str">
        <f>IFERROR(IF(VLOOKUP(TableHandbook[[#This Row],[UDC]],TableAvailabilities[],3,FALSE)&gt;0,"Y",""),"")</f>
        <v/>
      </c>
      <c r="I60" s="65" t="str">
        <f>IFERROR(IF(VLOOKUP(TableHandbook[[#This Row],[UDC]],TableAvailabilities[],4,FALSE)&gt;0,"Y",""),"")</f>
        <v>Y</v>
      </c>
      <c r="J60" s="66" t="str">
        <f>IFERROR(IF(VLOOKUP(TableHandbook[[#This Row],[UDC]],TableAvailabilities[],5,FALSE)&gt;0,"Y",""),"")</f>
        <v/>
      </c>
      <c r="K60" s="77"/>
      <c r="L60" s="57" t="str">
        <f>IFERROR(VLOOKUP(TableHandbook[[#This Row],[UDC]],TableOBARCH[],7,FALSE),"")</f>
        <v/>
      </c>
      <c r="M60" s="58" t="str">
        <f>IFERROR(VLOOKUP(TableHandbook[[#This Row],[UDC]],TableOSCUANGAD[],7,FALSE),"")</f>
        <v/>
      </c>
      <c r="N60" s="58" t="str">
        <f>IFERROR(VLOOKUP(TableHandbook[[#This Row],[UDC]],TableOSCUCONMS[],7,FALSE),"")</f>
        <v/>
      </c>
      <c r="O60" s="58" t="str">
        <f>IFERROR(VLOOKUP(TableHandbook[[#This Row],[UDC]],TableOSCUINARS[],7,FALSE),"")</f>
        <v/>
      </c>
      <c r="P60" s="58" t="str">
        <f>IFERROR(VLOOKUP(TableHandbook[[#This Row],[UDC]],TableOSCUPLGEO[],7,FALSE),"")</f>
        <v>Core</v>
      </c>
    </row>
    <row r="61" spans="1:16" x14ac:dyDescent="0.25">
      <c r="A61" s="6" t="s">
        <v>141</v>
      </c>
      <c r="B61" s="45">
        <v>1</v>
      </c>
      <c r="C61" s="6" t="s">
        <v>287</v>
      </c>
      <c r="D61" s="6" t="s">
        <v>288</v>
      </c>
      <c r="E61" s="45">
        <v>25</v>
      </c>
      <c r="F61" s="55" t="s">
        <v>187</v>
      </c>
      <c r="G61" s="63" t="str">
        <f>IFERROR(IF(VLOOKUP(TableHandbook[[#This Row],[UDC]],TableAvailabilities[],2,FALSE)&gt;0,"Y",""),"")</f>
        <v/>
      </c>
      <c r="H61" s="64" t="str">
        <f>IFERROR(IF(VLOOKUP(TableHandbook[[#This Row],[UDC]],TableAvailabilities[],3,FALSE)&gt;0,"Y",""),"")</f>
        <v>Y</v>
      </c>
      <c r="I61" s="65" t="str">
        <f>IFERROR(IF(VLOOKUP(TableHandbook[[#This Row],[UDC]],TableAvailabilities[],4,FALSE)&gt;0,"Y",""),"")</f>
        <v/>
      </c>
      <c r="J61" s="66" t="str">
        <f>IFERROR(IF(VLOOKUP(TableHandbook[[#This Row],[UDC]],TableAvailabilities[],5,FALSE)&gt;0,"Y",""),"")</f>
        <v>Y</v>
      </c>
      <c r="K61" s="77"/>
      <c r="L61" s="57" t="str">
        <f>IFERROR(VLOOKUP(TableHandbook[[#This Row],[UDC]],TableOBARCH[],7,FALSE),"")</f>
        <v/>
      </c>
      <c r="M61" s="58" t="str">
        <f>IFERROR(VLOOKUP(TableHandbook[[#This Row],[UDC]],TableOSCUANGAD[],7,FALSE),"")</f>
        <v/>
      </c>
      <c r="N61" s="58" t="str">
        <f>IFERROR(VLOOKUP(TableHandbook[[#This Row],[UDC]],TableOSCUCONMS[],7,FALSE),"")</f>
        <v/>
      </c>
      <c r="O61" s="58" t="str">
        <f>IFERROR(VLOOKUP(TableHandbook[[#This Row],[UDC]],TableOSCUINARS[],7,FALSE),"")</f>
        <v/>
      </c>
      <c r="P61" s="58" t="str">
        <f>IFERROR(VLOOKUP(TableHandbook[[#This Row],[UDC]],TableOSCUPLGEO[],7,FALSE),"")</f>
        <v>Core</v>
      </c>
    </row>
    <row r="62" spans="1:16" x14ac:dyDescent="0.25">
      <c r="A62" s="6" t="s">
        <v>168</v>
      </c>
      <c r="B62" s="45">
        <v>2</v>
      </c>
      <c r="C62" s="6" t="s">
        <v>289</v>
      </c>
      <c r="D62" s="6" t="s">
        <v>290</v>
      </c>
      <c r="E62" s="45">
        <v>25</v>
      </c>
      <c r="F62" s="55" t="s">
        <v>291</v>
      </c>
      <c r="G62" s="63" t="str">
        <f>IFERROR(IF(VLOOKUP(TableHandbook[[#This Row],[UDC]],TableAvailabilities[],2,FALSE)&gt;0,"Y",""),"")</f>
        <v/>
      </c>
      <c r="H62" s="64" t="str">
        <f>IFERROR(IF(VLOOKUP(TableHandbook[[#This Row],[UDC]],TableAvailabilities[],3,FALSE)&gt;0,"Y",""),"")</f>
        <v/>
      </c>
      <c r="I62" s="65" t="str">
        <f>IFERROR(IF(VLOOKUP(TableHandbook[[#This Row],[UDC]],TableAvailabilities[],4,FALSE)&gt;0,"Y",""),"")</f>
        <v/>
      </c>
      <c r="J62" s="66" t="str">
        <f>IFERROR(IF(VLOOKUP(TableHandbook[[#This Row],[UDC]],TableAvailabilities[],5,FALSE)&gt;0,"Y",""),"")</f>
        <v/>
      </c>
      <c r="K62" s="77" t="s">
        <v>292</v>
      </c>
      <c r="L62" s="57" t="str">
        <f>IFERROR(VLOOKUP(TableHandbook[[#This Row],[UDC]],TableOBARCH[],7,FALSE),"")</f>
        <v/>
      </c>
      <c r="M62" s="58" t="str">
        <f>IFERROR(VLOOKUP(TableHandbook[[#This Row],[UDC]],TableOSCUANGAD[],7,FALSE),"")</f>
        <v/>
      </c>
      <c r="N62" s="58" t="str">
        <f>IFERROR(VLOOKUP(TableHandbook[[#This Row],[UDC]],TableOSCUCONMS[],7,FALSE),"")</f>
        <v/>
      </c>
      <c r="O62" s="58" t="str">
        <f>IFERROR(VLOOKUP(TableHandbook[[#This Row],[UDC]],TableOSCUINARS[],7,FALSE),"")</f>
        <v>Option</v>
      </c>
      <c r="P62" s="58" t="str">
        <f>IFERROR(VLOOKUP(TableHandbook[[#This Row],[UDC]],TableOSCUPLGEO[],7,FALSE),"")</f>
        <v/>
      </c>
    </row>
    <row r="63" spans="1:16" x14ac:dyDescent="0.25">
      <c r="A63" s="6" t="s">
        <v>170</v>
      </c>
      <c r="B63" s="45">
        <v>1</v>
      </c>
      <c r="C63" s="6" t="s">
        <v>293</v>
      </c>
      <c r="D63" s="6" t="s">
        <v>294</v>
      </c>
      <c r="E63" s="45">
        <v>25</v>
      </c>
      <c r="F63" s="55" t="s">
        <v>291</v>
      </c>
      <c r="G63" s="59" t="str">
        <f>IFERROR(IF(VLOOKUP(TableHandbook[[#This Row],[UDC]],TableAvailabilities[],2,FALSE)&gt;0,"Y",""),"")</f>
        <v/>
      </c>
      <c r="H63" s="70" t="str">
        <f>IFERROR(IF(VLOOKUP(TableHandbook[[#This Row],[UDC]],TableAvailabilities[],3,FALSE)&gt;0,"Y",""),"")</f>
        <v/>
      </c>
      <c r="I63" s="60" t="str">
        <f>IFERROR(IF(VLOOKUP(TableHandbook[[#This Row],[UDC]],TableAvailabilities[],4,FALSE)&gt;0,"Y",""),"")</f>
        <v/>
      </c>
      <c r="J63" s="61" t="str">
        <f>IFERROR(IF(VLOOKUP(TableHandbook[[#This Row],[UDC]],TableAvailabilities[],5,FALSE)&gt;0,"Y",""),"")</f>
        <v/>
      </c>
      <c r="K63" s="77" t="s">
        <v>292</v>
      </c>
      <c r="L63" s="57" t="str">
        <f>IFERROR(VLOOKUP(TableHandbook[[#This Row],[UDC]],TableOBARCH[],7,FALSE),"")</f>
        <v/>
      </c>
      <c r="M63" s="53" t="str">
        <f>IFERROR(VLOOKUP(TableHandbook[[#This Row],[UDC]],TableOSCUANGAD[],7,FALSE),"")</f>
        <v/>
      </c>
      <c r="N63" s="53" t="str">
        <f>IFERROR(VLOOKUP(TableHandbook[[#This Row],[UDC]],TableOSCUCONMS[],7,FALSE),"")</f>
        <v/>
      </c>
      <c r="O63" s="58" t="str">
        <f>IFERROR(VLOOKUP(TableHandbook[[#This Row],[UDC]],TableOSCUINARS[],7,FALSE),"")</f>
        <v>Option</v>
      </c>
      <c r="P63" s="58" t="str">
        <f>IFERROR(VLOOKUP(TableHandbook[[#This Row],[UDC]],TableOSCUPLGEO[],7,FALSE),"")</f>
        <v/>
      </c>
    </row>
    <row r="64" spans="1:16" x14ac:dyDescent="0.25">
      <c r="A64" s="6" t="s">
        <v>158</v>
      </c>
      <c r="B64" s="45">
        <v>1</v>
      </c>
      <c r="C64" s="6" t="s">
        <v>295</v>
      </c>
      <c r="D64" s="6" t="s">
        <v>296</v>
      </c>
      <c r="E64" s="45">
        <v>25</v>
      </c>
      <c r="F64" s="55" t="s">
        <v>291</v>
      </c>
      <c r="G64" s="59" t="str">
        <f>IFERROR(IF(VLOOKUP(TableHandbook[[#This Row],[UDC]],TableAvailabilities[],2,FALSE)&gt;0,"Y",""),"")</f>
        <v/>
      </c>
      <c r="H64" s="70" t="str">
        <f>IFERROR(IF(VLOOKUP(TableHandbook[[#This Row],[UDC]],TableAvailabilities[],3,FALSE)&gt;0,"Y",""),"")</f>
        <v/>
      </c>
      <c r="I64" s="60" t="str">
        <f>IFERROR(IF(VLOOKUP(TableHandbook[[#This Row],[UDC]],TableAvailabilities[],4,FALSE)&gt;0,"Y",""),"")</f>
        <v/>
      </c>
      <c r="J64" s="61" t="str">
        <f>IFERROR(IF(VLOOKUP(TableHandbook[[#This Row],[UDC]],TableAvailabilities[],5,FALSE)&gt;0,"Y",""),"")</f>
        <v/>
      </c>
      <c r="K64" s="77" t="s">
        <v>292</v>
      </c>
      <c r="L64" s="57" t="str">
        <f>IFERROR(VLOOKUP(TableHandbook[[#This Row],[UDC]],TableOBARCH[],7,FALSE),"")</f>
        <v/>
      </c>
      <c r="M64" s="53" t="str">
        <f>IFERROR(VLOOKUP(TableHandbook[[#This Row],[UDC]],TableOSCUANGAD[],7,FALSE),"")</f>
        <v>AltCore</v>
      </c>
      <c r="N64" s="53" t="str">
        <f>IFERROR(VLOOKUP(TableHandbook[[#This Row],[UDC]],TableOSCUCONMS[],7,FALSE),"")</f>
        <v/>
      </c>
      <c r="O64" s="58" t="str">
        <f>IFERROR(VLOOKUP(TableHandbook[[#This Row],[UDC]],TableOSCUINARS[],7,FALSE),"")</f>
        <v>Option</v>
      </c>
      <c r="P64" s="58" t="str">
        <f>IFERROR(VLOOKUP(TableHandbook[[#This Row],[UDC]],TableOSCUPLGEO[],7,FALSE),"")</f>
        <v>AltCore</v>
      </c>
    </row>
    <row r="65" spans="1:16" x14ac:dyDescent="0.25">
      <c r="A65" s="6" t="s">
        <v>173</v>
      </c>
      <c r="B65" s="45">
        <v>1</v>
      </c>
      <c r="C65" s="6" t="s">
        <v>297</v>
      </c>
      <c r="D65" s="6" t="s">
        <v>298</v>
      </c>
      <c r="E65" s="45">
        <v>25</v>
      </c>
      <c r="F65" s="55" t="s">
        <v>291</v>
      </c>
      <c r="G65" s="63" t="str">
        <f>IFERROR(IF(VLOOKUP(TableHandbook[[#This Row],[UDC]],TableAvailabilities[],2,FALSE)&gt;0,"Y",""),"")</f>
        <v/>
      </c>
      <c r="H65" s="64" t="str">
        <f>IFERROR(IF(VLOOKUP(TableHandbook[[#This Row],[UDC]],TableAvailabilities[],3,FALSE)&gt;0,"Y",""),"")</f>
        <v/>
      </c>
      <c r="I65" s="65" t="str">
        <f>IFERROR(IF(VLOOKUP(TableHandbook[[#This Row],[UDC]],TableAvailabilities[],4,FALSE)&gt;0,"Y",""),"")</f>
        <v/>
      </c>
      <c r="J65" s="66" t="str">
        <f>IFERROR(IF(VLOOKUP(TableHandbook[[#This Row],[UDC]],TableAvailabilities[],5,FALSE)&gt;0,"Y",""),"")</f>
        <v/>
      </c>
      <c r="K65" s="77" t="s">
        <v>292</v>
      </c>
      <c r="L65" s="57" t="str">
        <f>IFERROR(VLOOKUP(TableHandbook[[#This Row],[UDC]],TableOBARCH[],7,FALSE),"")</f>
        <v/>
      </c>
      <c r="M65" s="58" t="str">
        <f>IFERROR(VLOOKUP(TableHandbook[[#This Row],[UDC]],TableOSCUANGAD[],7,FALSE),"")</f>
        <v/>
      </c>
      <c r="N65" s="58" t="str">
        <f>IFERROR(VLOOKUP(TableHandbook[[#This Row],[UDC]],TableOSCUCONMS[],7,FALSE),"")</f>
        <v/>
      </c>
      <c r="O65" s="58" t="str">
        <f>IFERROR(VLOOKUP(TableHandbook[[#This Row],[UDC]],TableOSCUINARS[],7,FALSE),"")</f>
        <v>Option</v>
      </c>
      <c r="P65" s="58" t="str">
        <f>IFERROR(VLOOKUP(TableHandbook[[#This Row],[UDC]],TableOSCUPLGEO[],7,FALSE),"")</f>
        <v/>
      </c>
    </row>
  </sheetData>
  <sortState ref="A24:D37">
    <sortCondition ref="A24"/>
  </sortState>
  <conditionalFormatting sqref="A4:A65">
    <cfRule type="duplicateValues" dxfId="81" priority="2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zoomScale="70" zoomScaleNormal="70" workbookViewId="0">
      <selection activeCell="A27" sqref="A27"/>
    </sheetView>
  </sheetViews>
  <sheetFormatPr defaultRowHeight="15.75" x14ac:dyDescent="0.25"/>
  <cols>
    <col min="1" max="1" width="13.5" bestFit="1" customWidth="1"/>
    <col min="2" max="2" width="8.125" style="2" bestFit="1" customWidth="1"/>
    <col min="3" max="3" width="12.5" bestFit="1" customWidth="1"/>
    <col min="4" max="4" width="61.875"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67.5" customWidth="1"/>
    <col min="13" max="13" width="14.75" bestFit="1" customWidth="1"/>
    <col min="14" max="14" width="12.5" bestFit="1" customWidth="1"/>
    <col min="15" max="15" width="10.875" bestFit="1" customWidth="1"/>
    <col min="17" max="17" width="13.125" bestFit="1" customWidth="1"/>
    <col min="18" max="18" width="11.5" bestFit="1" customWidth="1"/>
  </cols>
  <sheetData>
    <row r="1" spans="1:18" x14ac:dyDescent="0.25">
      <c r="B1"/>
      <c r="E1"/>
      <c r="F1" s="40"/>
      <c r="G1" s="41" t="s">
        <v>299</v>
      </c>
      <c r="H1" s="42">
        <v>44378</v>
      </c>
      <c r="I1" s="74"/>
      <c r="J1" s="75" t="s">
        <v>300</v>
      </c>
      <c r="K1" s="43" t="s">
        <v>69</v>
      </c>
      <c r="L1" s="74" t="s">
        <v>11</v>
      </c>
      <c r="M1" s="74"/>
      <c r="N1" s="82" t="s">
        <v>301</v>
      </c>
      <c r="O1" s="76">
        <v>45324</v>
      </c>
    </row>
    <row r="2" spans="1:18" x14ac:dyDescent="0.25">
      <c r="A2" t="s">
        <v>0</v>
      </c>
      <c r="B2" s="2" t="s">
        <v>302</v>
      </c>
      <c r="C2" t="s">
        <v>303</v>
      </c>
      <c r="D2" t="s">
        <v>3</v>
      </c>
      <c r="E2" s="44" t="s">
        <v>304</v>
      </c>
      <c r="F2" t="s">
        <v>305</v>
      </c>
      <c r="G2" t="s">
        <v>306</v>
      </c>
      <c r="H2" t="s">
        <v>307</v>
      </c>
      <c r="I2" t="s">
        <v>21</v>
      </c>
      <c r="J2" t="s">
        <v>308</v>
      </c>
      <c r="K2" t="s">
        <v>1</v>
      </c>
      <c r="L2" t="s">
        <v>309</v>
      </c>
      <c r="M2" t="s">
        <v>65</v>
      </c>
      <c r="N2" t="s">
        <v>310</v>
      </c>
      <c r="O2" s="76" t="s">
        <v>311</v>
      </c>
      <c r="Q2" t="s">
        <v>312</v>
      </c>
      <c r="R2" t="s">
        <v>313</v>
      </c>
    </row>
    <row r="3" spans="1:18" x14ac:dyDescent="0.25">
      <c r="A3" t="str">
        <f>TableOBARCH[[#This Row],[Study Package Code]]</f>
        <v>Specialisation</v>
      </c>
      <c r="B3" s="2">
        <f>TableOBARCH[[#This Row],[Ver]]</f>
        <v>0</v>
      </c>
      <c r="D3" t="str">
        <f>TableOBARCH[[#This Row],[Structure Line]]</f>
        <v>Choose your Specialisation</v>
      </c>
      <c r="E3" s="44">
        <f>TableOBARCH[[#This Row],[Credit Points]]</f>
        <v>100</v>
      </c>
      <c r="F3" s="56">
        <v>1</v>
      </c>
      <c r="G3" s="56" t="s">
        <v>314</v>
      </c>
      <c r="H3" s="56">
        <v>0</v>
      </c>
      <c r="I3" s="56" t="s">
        <v>315</v>
      </c>
      <c r="J3" s="56" t="s">
        <v>283</v>
      </c>
      <c r="K3" s="56">
        <v>0</v>
      </c>
      <c r="L3" s="56" t="s">
        <v>284</v>
      </c>
      <c r="M3" s="56">
        <v>100</v>
      </c>
      <c r="N3" s="83"/>
      <c r="O3" s="83"/>
      <c r="Q3" t="s">
        <v>283</v>
      </c>
      <c r="R3">
        <v>0</v>
      </c>
    </row>
    <row r="4" spans="1:18" x14ac:dyDescent="0.25">
      <c r="A4" t="str">
        <f>TableOBARCH[[#This Row],[Study Package Code]]</f>
        <v>COMS1007</v>
      </c>
      <c r="B4" s="2">
        <f>TableOBARCH[[#This Row],[Ver]]</f>
        <v>1</v>
      </c>
      <c r="C4" t="str">
        <f>LEFT(TableOBARCH[[#This Row],[Structure Line]],(FIND(" ",TableOBARCH[[#This Row],[Structure Line]],1)-1))</f>
        <v>APC100</v>
      </c>
      <c r="D4" t="str">
        <f>MID(TableOBARCH[[#This Row],[Structure Line]],FIND(" ",TableOBARCH[[#This Row],[Structure Line]])+3,256)</f>
        <v>Academic and Professional Communications</v>
      </c>
      <c r="E4" s="44">
        <f>TableOBARCH[[#This Row],[Credit Points]]</f>
        <v>25</v>
      </c>
      <c r="F4" s="56">
        <v>2</v>
      </c>
      <c r="G4" s="56" t="s">
        <v>316</v>
      </c>
      <c r="H4" s="56">
        <v>1</v>
      </c>
      <c r="I4" s="71" t="s">
        <v>317</v>
      </c>
      <c r="J4" s="56" t="s">
        <v>61</v>
      </c>
      <c r="K4" s="56">
        <v>1</v>
      </c>
      <c r="L4" s="56" t="s">
        <v>318</v>
      </c>
      <c r="M4" s="56">
        <v>25</v>
      </c>
      <c r="N4" s="83">
        <v>42005</v>
      </c>
      <c r="O4" s="83" t="s">
        <v>319</v>
      </c>
      <c r="Q4" t="s">
        <v>61</v>
      </c>
      <c r="R4">
        <v>1</v>
      </c>
    </row>
    <row r="5" spans="1:18" x14ac:dyDescent="0.25">
      <c r="A5" t="str">
        <f>TableOBARCH[[#This Row],[Study Package Code]]</f>
        <v>ARCH1020</v>
      </c>
      <c r="B5" s="2">
        <f>TableOBARCH[[#This Row],[Ver]]</f>
        <v>3</v>
      </c>
      <c r="C5" t="str">
        <f>LEFT(TableOBARCH[[#This Row],[Structure Line]],(FIND(" ",TableOBARCH[[#This Row],[Structure Line]],1)-1))</f>
        <v>BAS115</v>
      </c>
      <c r="D5" t="str">
        <f>MID(TableOBARCH[[#This Row],[Structure Line]],FIND(" ",TableOBARCH[[#This Row],[Structure Line]])+1,256)</f>
        <v>Architecture and Interior Architecture Methods 1A - Analogue Literacy</v>
      </c>
      <c r="E5" s="44">
        <f>TableOBARCH[[#This Row],[Credit Points]]</f>
        <v>25</v>
      </c>
      <c r="F5" s="56">
        <v>3</v>
      </c>
      <c r="G5" s="56" t="s">
        <v>316</v>
      </c>
      <c r="H5" s="56">
        <v>1</v>
      </c>
      <c r="I5" s="71" t="s">
        <v>317</v>
      </c>
      <c r="J5" s="56" t="s">
        <v>60</v>
      </c>
      <c r="K5" s="56">
        <v>3</v>
      </c>
      <c r="L5" s="56" t="s">
        <v>320</v>
      </c>
      <c r="M5" s="56">
        <v>25</v>
      </c>
      <c r="N5" s="83">
        <v>44562</v>
      </c>
      <c r="O5" s="83" t="s">
        <v>319</v>
      </c>
      <c r="Q5" t="s">
        <v>60</v>
      </c>
      <c r="R5">
        <v>3</v>
      </c>
    </row>
    <row r="6" spans="1:18" x14ac:dyDescent="0.25">
      <c r="A6" t="str">
        <f>TableOBARCH[[#This Row],[Study Package Code]]</f>
        <v>ARCH1009</v>
      </c>
      <c r="B6" s="2">
        <f>TableOBARCH[[#This Row],[Ver]]</f>
        <v>2</v>
      </c>
      <c r="C6" t="str">
        <f>LEFT(TableOBARCH[[#This Row],[Structure Line]],(FIND(" ",TableOBARCH[[#This Row],[Structure Line]],1)-1))</f>
        <v>BAS120</v>
      </c>
      <c r="D6" t="str">
        <f>MID(TableOBARCH[[#This Row],[Structure Line]],FIND(" ",TableOBARCH[[#This Row],[Structure Line]])+1,256)</f>
        <v>Sustainability and Structures in Architecture</v>
      </c>
      <c r="E6" s="44">
        <f>TableOBARCH[[#This Row],[Credit Points]]</f>
        <v>25</v>
      </c>
      <c r="F6" s="56">
        <v>4</v>
      </c>
      <c r="G6" s="56" t="s">
        <v>316</v>
      </c>
      <c r="H6" s="56">
        <v>1</v>
      </c>
      <c r="I6" s="71" t="s">
        <v>317</v>
      </c>
      <c r="J6" s="56" t="s">
        <v>72</v>
      </c>
      <c r="K6" s="56">
        <v>2</v>
      </c>
      <c r="L6" s="56" t="s">
        <v>321</v>
      </c>
      <c r="M6" s="56">
        <v>25</v>
      </c>
      <c r="N6" s="83">
        <v>44562</v>
      </c>
      <c r="O6" s="83" t="s">
        <v>319</v>
      </c>
      <c r="Q6" t="s">
        <v>72</v>
      </c>
      <c r="R6">
        <v>2</v>
      </c>
    </row>
    <row r="7" spans="1:18" x14ac:dyDescent="0.25">
      <c r="A7" t="str">
        <f>TableOBARCH[[#This Row],[Study Package Code]]</f>
        <v>ARCH1010</v>
      </c>
      <c r="B7" s="2">
        <f>TableOBARCH[[#This Row],[Ver]]</f>
        <v>3</v>
      </c>
      <c r="C7" t="str">
        <f>LEFT(TableOBARCH[[#This Row],[Structure Line]],(FIND(" ",TableOBARCH[[#This Row],[Structure Line]],1)-1))</f>
        <v>BAS130</v>
      </c>
      <c r="D7" t="str">
        <f>MID(TableOBARCH[[#This Row],[Structure Line]],FIND(" ",TableOBARCH[[#This Row],[Structure Line]])+1,256)</f>
        <v>Reading Architecture Globally</v>
      </c>
      <c r="E7" s="44">
        <f>TableOBARCH[[#This Row],[Credit Points]]</f>
        <v>25</v>
      </c>
      <c r="F7" s="56">
        <v>5</v>
      </c>
      <c r="G7" s="56" t="s">
        <v>316</v>
      </c>
      <c r="H7" s="56">
        <v>1</v>
      </c>
      <c r="I7" s="71" t="s">
        <v>322</v>
      </c>
      <c r="J7" s="56" t="s">
        <v>55</v>
      </c>
      <c r="K7" s="56">
        <v>3</v>
      </c>
      <c r="L7" s="56" t="s">
        <v>323</v>
      </c>
      <c r="M7" s="56">
        <v>25</v>
      </c>
      <c r="N7" s="83">
        <v>44562</v>
      </c>
      <c r="O7" s="83" t="s">
        <v>319</v>
      </c>
      <c r="Q7" t="s">
        <v>55</v>
      </c>
      <c r="R7">
        <v>3</v>
      </c>
    </row>
    <row r="8" spans="1:18" x14ac:dyDescent="0.25">
      <c r="A8" t="str">
        <f>TableOBARCH[[#This Row],[Study Package Code]]</f>
        <v>ARCH1024</v>
      </c>
      <c r="B8" s="2">
        <f>TableOBARCH[[#This Row],[Ver]]</f>
        <v>3</v>
      </c>
      <c r="C8" t="str">
        <f>LEFT(TableOBARCH[[#This Row],[Structure Line]],(FIND(" ",TableOBARCH[[#This Row],[Structure Line]],1)-1))</f>
        <v>BAS140</v>
      </c>
      <c r="D8" t="str">
        <f>MID(TableOBARCH[[#This Row],[Structure Line]],FIND(" ",TableOBARCH[[#This Row],[Structure Line]])+1,256)</f>
        <v>Architecture and Interior Architecture Design Studio 1 - Small Structures</v>
      </c>
      <c r="E8" s="44">
        <f>TableOBARCH[[#This Row],[Credit Points]]</f>
        <v>25</v>
      </c>
      <c r="F8" s="56">
        <v>6</v>
      </c>
      <c r="G8" s="56" t="s">
        <v>316</v>
      </c>
      <c r="H8" s="56">
        <v>1</v>
      </c>
      <c r="I8" s="71" t="s">
        <v>322</v>
      </c>
      <c r="J8" s="56" t="s">
        <v>76</v>
      </c>
      <c r="K8" s="56">
        <v>3</v>
      </c>
      <c r="L8" s="56" t="s">
        <v>324</v>
      </c>
      <c r="M8" s="56">
        <v>25</v>
      </c>
      <c r="N8" s="83">
        <v>44562</v>
      </c>
      <c r="O8" s="83" t="s">
        <v>319</v>
      </c>
      <c r="Q8" t="s">
        <v>76</v>
      </c>
      <c r="R8">
        <v>3</v>
      </c>
    </row>
    <row r="9" spans="1:18" x14ac:dyDescent="0.25">
      <c r="A9" t="str">
        <f>TableOBARCH[[#This Row],[Study Package Code]]</f>
        <v>ARCH1021</v>
      </c>
      <c r="B9" s="2">
        <f>TableOBARCH[[#This Row],[Ver]]</f>
        <v>3</v>
      </c>
      <c r="C9" t="str">
        <f>LEFT(TableOBARCH[[#This Row],[Structure Line]],(FIND(" ",TableOBARCH[[#This Row],[Structure Line]],1)-1))</f>
        <v>BAS145</v>
      </c>
      <c r="D9" t="str">
        <f>MID(TableOBARCH[[#This Row],[Structure Line]],FIND(" ",TableOBARCH[[#This Row],[Structure Line]])+1,256)</f>
        <v>Architecture and Interior Architecture Methods 1B - Digital Literacy</v>
      </c>
      <c r="E9" s="44">
        <f>TableOBARCH[[#This Row],[Credit Points]]</f>
        <v>25</v>
      </c>
      <c r="F9" s="56">
        <v>7</v>
      </c>
      <c r="G9" s="56" t="s">
        <v>316</v>
      </c>
      <c r="H9" s="56">
        <v>1</v>
      </c>
      <c r="I9" s="71" t="s">
        <v>322</v>
      </c>
      <c r="J9" s="56" t="s">
        <v>57</v>
      </c>
      <c r="K9" s="56">
        <v>3</v>
      </c>
      <c r="L9" s="56" t="s">
        <v>325</v>
      </c>
      <c r="M9" s="56">
        <v>25</v>
      </c>
      <c r="N9" s="83">
        <v>44562</v>
      </c>
      <c r="O9" s="83" t="s">
        <v>319</v>
      </c>
      <c r="Q9" t="s">
        <v>57</v>
      </c>
      <c r="R9">
        <v>3</v>
      </c>
    </row>
    <row r="10" spans="1:18" x14ac:dyDescent="0.25">
      <c r="A10" t="str">
        <f>TableOBARCH[[#This Row],[Study Package Code]]</f>
        <v>ARCH1026</v>
      </c>
      <c r="B10" s="2">
        <f>TableOBARCH[[#This Row],[Ver]]</f>
        <v>2</v>
      </c>
      <c r="C10" t="str">
        <f>LEFT(TableOBARCH[[#This Row],[Structure Line]],(FIND(" ",TableOBARCH[[#This Row],[Structure Line]],1)-1))</f>
        <v>BAS150</v>
      </c>
      <c r="D10" t="str">
        <f>MID(TableOBARCH[[#This Row],[Structure Line]],FIND(" ",TableOBARCH[[#This Row],[Structure Line]])+1,256)</f>
        <v>Architectural Science in Context</v>
      </c>
      <c r="E10" s="44">
        <f>TableOBARCH[[#This Row],[Credit Points]]</f>
        <v>25</v>
      </c>
      <c r="F10" s="56">
        <v>8</v>
      </c>
      <c r="G10" s="56" t="s">
        <v>316</v>
      </c>
      <c r="H10" s="56">
        <v>1</v>
      </c>
      <c r="I10" s="71" t="s">
        <v>322</v>
      </c>
      <c r="J10" s="56" t="s">
        <v>75</v>
      </c>
      <c r="K10" s="56">
        <v>2</v>
      </c>
      <c r="L10" s="56" t="s">
        <v>326</v>
      </c>
      <c r="M10" s="56">
        <v>25</v>
      </c>
      <c r="N10" s="83">
        <v>44562</v>
      </c>
      <c r="O10" s="83" t="s">
        <v>319</v>
      </c>
      <c r="Q10" t="s">
        <v>75</v>
      </c>
      <c r="R10">
        <v>2</v>
      </c>
    </row>
    <row r="11" spans="1:18" x14ac:dyDescent="0.25">
      <c r="A11" t="str">
        <f>TableOBARCH[[#This Row],[Study Package Code]]</f>
        <v>ARCH2029</v>
      </c>
      <c r="B11" s="2">
        <f>TableOBARCH[[#This Row],[Ver]]</f>
        <v>3</v>
      </c>
      <c r="C11" t="str">
        <f>LEFT(TableOBARCH[[#This Row],[Structure Line]],(FIND(" ",TableOBARCH[[#This Row],[Structure Line]],1)-1))</f>
        <v>BAS200</v>
      </c>
      <c r="D11" t="str">
        <f>MID(TableOBARCH[[#This Row],[Structure Line]],FIND(" ",TableOBARCH[[#This Row],[Structure Line]])+1,256)</f>
        <v>Architecture and Interior Architecture Design Studio 2A - Residential Typology and Grammar</v>
      </c>
      <c r="E11" s="44">
        <f>TableOBARCH[[#This Row],[Credit Points]]</f>
        <v>25</v>
      </c>
      <c r="F11" s="56">
        <v>9</v>
      </c>
      <c r="G11" s="56" t="s">
        <v>316</v>
      </c>
      <c r="H11" s="56">
        <v>2</v>
      </c>
      <c r="I11" s="71" t="s">
        <v>317</v>
      </c>
      <c r="J11" s="56" t="s">
        <v>96</v>
      </c>
      <c r="K11" s="56">
        <v>3</v>
      </c>
      <c r="L11" s="56" t="s">
        <v>327</v>
      </c>
      <c r="M11" s="56">
        <v>25</v>
      </c>
      <c r="N11" s="83">
        <v>44562</v>
      </c>
      <c r="O11" s="83" t="s">
        <v>319</v>
      </c>
      <c r="Q11" t="s">
        <v>96</v>
      </c>
      <c r="R11">
        <v>3</v>
      </c>
    </row>
    <row r="12" spans="1:18" x14ac:dyDescent="0.25">
      <c r="A12" t="str">
        <f>TableOBARCH[[#This Row],[Study Package Code]]</f>
        <v>ARCH2031</v>
      </c>
      <c r="B12" s="2">
        <f>TableOBARCH[[#This Row],[Ver]]</f>
        <v>3</v>
      </c>
      <c r="C12" t="str">
        <f>LEFT(TableOBARCH[[#This Row],[Structure Line]],(FIND(" ",TableOBARCH[[#This Row],[Structure Line]],1)-1))</f>
        <v>BAS205</v>
      </c>
      <c r="D12" t="str">
        <f>MID(TableOBARCH[[#This Row],[Structure Line]],FIND(" ",TableOBARCH[[#This Row],[Structure Line]])+1,256)</f>
        <v>Architecture Methods 2A - Digital Fabrication</v>
      </c>
      <c r="E12" s="44">
        <f>TableOBARCH[[#This Row],[Credit Points]]</f>
        <v>25</v>
      </c>
      <c r="F12" s="56">
        <v>10</v>
      </c>
      <c r="G12" s="56" t="s">
        <v>316</v>
      </c>
      <c r="H12" s="56">
        <v>2</v>
      </c>
      <c r="I12" s="71" t="s">
        <v>317</v>
      </c>
      <c r="J12" s="56" t="s">
        <v>86</v>
      </c>
      <c r="K12" s="56">
        <v>3</v>
      </c>
      <c r="L12" s="56" t="s">
        <v>328</v>
      </c>
      <c r="M12" s="56">
        <v>25</v>
      </c>
      <c r="N12" s="83">
        <v>44562</v>
      </c>
      <c r="O12" s="83" t="s">
        <v>319</v>
      </c>
      <c r="Q12" t="s">
        <v>86</v>
      </c>
      <c r="R12">
        <v>3</v>
      </c>
    </row>
    <row r="13" spans="1:18" x14ac:dyDescent="0.25">
      <c r="A13" t="str">
        <f>TableOBARCH[[#This Row],[Study Package Code]]</f>
        <v>ARCH2016</v>
      </c>
      <c r="B13" s="2">
        <f>TableOBARCH[[#This Row],[Ver]]</f>
        <v>2</v>
      </c>
      <c r="C13" t="str">
        <f>LEFT(TableOBARCH[[#This Row],[Structure Line]],(FIND(" ",TableOBARCH[[#This Row],[Structure Line]],1)-1))</f>
        <v>BAS240</v>
      </c>
      <c r="D13" t="str">
        <f>MID(TableOBARCH[[#This Row],[Structure Line]],FIND(" ",TableOBARCH[[#This Row],[Structure Line]])+1,256)</f>
        <v>Architectural Documentation and Detailing</v>
      </c>
      <c r="E13" s="44">
        <f>TableOBARCH[[#This Row],[Credit Points]]</f>
        <v>25</v>
      </c>
      <c r="F13" s="56">
        <v>11</v>
      </c>
      <c r="G13" s="56" t="s">
        <v>316</v>
      </c>
      <c r="H13" s="56">
        <v>2</v>
      </c>
      <c r="I13" s="71" t="s">
        <v>317</v>
      </c>
      <c r="J13" s="56" t="s">
        <v>77</v>
      </c>
      <c r="K13" s="56">
        <v>2</v>
      </c>
      <c r="L13" s="56" t="s">
        <v>329</v>
      </c>
      <c r="M13" s="56">
        <v>25</v>
      </c>
      <c r="N13" s="83">
        <v>44562</v>
      </c>
      <c r="O13" s="83" t="s">
        <v>319</v>
      </c>
      <c r="Q13" t="s">
        <v>77</v>
      </c>
      <c r="R13">
        <v>2</v>
      </c>
    </row>
    <row r="14" spans="1:18" x14ac:dyDescent="0.25">
      <c r="A14" t="str">
        <f>TableOBARCH[[#This Row],[Study Package Code]]</f>
        <v>ARCH2026</v>
      </c>
      <c r="B14" s="2">
        <f>TableOBARCH[[#This Row],[Ver]]</f>
        <v>3</v>
      </c>
      <c r="C14" t="str">
        <f>LEFT(TableOBARCH[[#This Row],[Structure Line]],(FIND(" ",TableOBARCH[[#This Row],[Structure Line]],1)-1))</f>
        <v>BAS230</v>
      </c>
      <c r="D14" t="str">
        <f>MID(TableOBARCH[[#This Row],[Structure Line]],FIND(" ",TableOBARCH[[#This Row],[Structure Line]])+1,256)</f>
        <v>Architecture Design Studio 2B - Regional Studio</v>
      </c>
      <c r="E14" s="44">
        <f>TableOBARCH[[#This Row],[Credit Points]]</f>
        <v>25</v>
      </c>
      <c r="F14" s="56">
        <v>12</v>
      </c>
      <c r="G14" s="56" t="s">
        <v>316</v>
      </c>
      <c r="H14" s="56">
        <v>2</v>
      </c>
      <c r="I14" s="71" t="s">
        <v>322</v>
      </c>
      <c r="J14" s="56" t="s">
        <v>97</v>
      </c>
      <c r="K14" s="56">
        <v>3</v>
      </c>
      <c r="L14" s="56" t="s">
        <v>330</v>
      </c>
      <c r="M14" s="56">
        <v>25</v>
      </c>
      <c r="N14" s="83">
        <v>44562</v>
      </c>
      <c r="O14" s="83" t="s">
        <v>319</v>
      </c>
      <c r="Q14" t="s">
        <v>97</v>
      </c>
      <c r="R14">
        <v>3</v>
      </c>
    </row>
    <row r="15" spans="1:18" x14ac:dyDescent="0.25">
      <c r="A15" t="str">
        <f>TableOBARCH[[#This Row],[Study Package Code]]</f>
        <v>ARCH2027</v>
      </c>
      <c r="B15" s="2">
        <f>TableOBARCH[[#This Row],[Ver]]</f>
        <v>3</v>
      </c>
      <c r="C15" t="str">
        <f>LEFT(TableOBARCH[[#This Row],[Structure Line]],(FIND(" ",TableOBARCH[[#This Row],[Structure Line]],1)-1))</f>
        <v>BAS235</v>
      </c>
      <c r="D15" t="str">
        <f>MID(TableOBARCH[[#This Row],[Structure Line]],FIND(" ",TableOBARCH[[#This Row],[Structure Line]])+1,256)</f>
        <v>Architecture Methods 2B - Information Visualisation</v>
      </c>
      <c r="E15" s="44">
        <f>TableOBARCH[[#This Row],[Credit Points]]</f>
        <v>25</v>
      </c>
      <c r="F15" s="56">
        <v>13</v>
      </c>
      <c r="G15" s="56" t="s">
        <v>316</v>
      </c>
      <c r="H15" s="56">
        <v>2</v>
      </c>
      <c r="I15" s="71" t="s">
        <v>322</v>
      </c>
      <c r="J15" s="56" t="s">
        <v>88</v>
      </c>
      <c r="K15" s="56">
        <v>3</v>
      </c>
      <c r="L15" s="56" t="s">
        <v>331</v>
      </c>
      <c r="M15" s="56">
        <v>25</v>
      </c>
      <c r="N15" s="83">
        <v>44562</v>
      </c>
      <c r="O15" s="83" t="s">
        <v>319</v>
      </c>
      <c r="Q15" t="s">
        <v>88</v>
      </c>
      <c r="R15">
        <v>3</v>
      </c>
    </row>
    <row r="16" spans="1:18" x14ac:dyDescent="0.25">
      <c r="A16" t="str">
        <f>TableOBARCH[[#This Row],[Study Package Code]]</f>
        <v>ARCH2017</v>
      </c>
      <c r="B16" s="2">
        <f>TableOBARCH[[#This Row],[Ver]]</f>
        <v>4</v>
      </c>
      <c r="C16" t="str">
        <f>LEFT(TableOBARCH[[#This Row],[Structure Line]],(FIND(" ",TableOBARCH[[#This Row],[Structure Line]],1)-1))</f>
        <v>BAS250</v>
      </c>
      <c r="D16" t="str">
        <f>MID(TableOBARCH[[#This Row],[Structure Line]],FIND(" ",TableOBARCH[[#This Row],[Structure Line]])+1,256)</f>
        <v>Architecture History and Identity</v>
      </c>
      <c r="E16" s="44">
        <f>TableOBARCH[[#This Row],[Credit Points]]</f>
        <v>25</v>
      </c>
      <c r="F16" s="56">
        <v>14</v>
      </c>
      <c r="G16" s="56" t="s">
        <v>316</v>
      </c>
      <c r="H16" s="56">
        <v>2</v>
      </c>
      <c r="I16" s="71" t="s">
        <v>322</v>
      </c>
      <c r="J16" s="56" t="s">
        <v>93</v>
      </c>
      <c r="K16" s="56">
        <v>4</v>
      </c>
      <c r="L16" s="56" t="s">
        <v>332</v>
      </c>
      <c r="M16" s="56">
        <v>25</v>
      </c>
      <c r="N16" s="83">
        <v>44743</v>
      </c>
      <c r="O16" s="83" t="s">
        <v>319</v>
      </c>
      <c r="Q16" t="s">
        <v>93</v>
      </c>
      <c r="R16">
        <v>4</v>
      </c>
    </row>
    <row r="17" spans="1:18" x14ac:dyDescent="0.25">
      <c r="A17" t="str">
        <f>TableOBARCH[[#This Row],[Study Package Code]]</f>
        <v>ARCH3030</v>
      </c>
      <c r="B17" s="2">
        <f>TableOBARCH[[#This Row],[Ver]]</f>
        <v>3</v>
      </c>
      <c r="C17" t="str">
        <f>LEFT(TableOBARCH[[#This Row],[Structure Line]],(FIND(" ",TableOBARCH[[#This Row],[Structure Line]],1)-1))</f>
        <v>BAS300</v>
      </c>
      <c r="D17" t="str">
        <f>MID(TableOBARCH[[#This Row],[Structure Line]],FIND(" ",TableOBARCH[[#This Row],[Structure Line]])+1,256)</f>
        <v>Architecture Design Studio 3A - Multi Residential</v>
      </c>
      <c r="E17" s="44">
        <f>TableOBARCH[[#This Row],[Credit Points]]</f>
        <v>25</v>
      </c>
      <c r="F17" s="56">
        <v>15</v>
      </c>
      <c r="G17" s="56" t="s">
        <v>316</v>
      </c>
      <c r="H17" s="56">
        <v>3</v>
      </c>
      <c r="I17" s="71" t="s">
        <v>317</v>
      </c>
      <c r="J17" s="56" t="s">
        <v>116</v>
      </c>
      <c r="K17" s="56">
        <v>3</v>
      </c>
      <c r="L17" s="56" t="s">
        <v>333</v>
      </c>
      <c r="M17" s="56">
        <v>25</v>
      </c>
      <c r="N17" s="83">
        <v>44562</v>
      </c>
      <c r="O17" s="83" t="s">
        <v>319</v>
      </c>
      <c r="Q17" t="s">
        <v>116</v>
      </c>
      <c r="R17">
        <v>3</v>
      </c>
    </row>
    <row r="18" spans="1:18" x14ac:dyDescent="0.25">
      <c r="A18" t="str">
        <f>TableOBARCH[[#This Row],[Study Package Code]]</f>
        <v>ARCH3031</v>
      </c>
      <c r="B18" s="2">
        <f>TableOBARCH[[#This Row],[Ver]]</f>
        <v>3</v>
      </c>
      <c r="C18" t="str">
        <f>LEFT(TableOBARCH[[#This Row],[Structure Line]],(FIND(" ",TableOBARCH[[#This Row],[Structure Line]],1)-1))</f>
        <v>BAS305</v>
      </c>
      <c r="D18" t="str">
        <f>MID(TableOBARCH[[#This Row],[Structure Line]],FIND(" ",TableOBARCH[[#This Row],[Structure Line]])+1,256)</f>
        <v>Architecture Methods 3A - Digital Futures</v>
      </c>
      <c r="E18" s="44">
        <f>TableOBARCH[[#This Row],[Credit Points]]</f>
        <v>25</v>
      </c>
      <c r="F18" s="56">
        <v>16</v>
      </c>
      <c r="G18" s="56" t="s">
        <v>316</v>
      </c>
      <c r="H18" s="56">
        <v>3</v>
      </c>
      <c r="I18" s="71" t="s">
        <v>317</v>
      </c>
      <c r="J18" s="56" t="s">
        <v>106</v>
      </c>
      <c r="K18" s="56">
        <v>3</v>
      </c>
      <c r="L18" s="56" t="s">
        <v>334</v>
      </c>
      <c r="M18" s="56">
        <v>25</v>
      </c>
      <c r="N18" s="83">
        <v>44562</v>
      </c>
      <c r="O18" s="83" t="s">
        <v>319</v>
      </c>
      <c r="Q18" t="s">
        <v>106</v>
      </c>
      <c r="R18">
        <v>3</v>
      </c>
    </row>
    <row r="19" spans="1:18" x14ac:dyDescent="0.25">
      <c r="A19" t="str">
        <f>TableOBARCH[[#This Row],[Study Package Code]]</f>
        <v>ARCH3015</v>
      </c>
      <c r="B19" s="2">
        <f>TableOBARCH[[#This Row],[Ver]]</f>
        <v>4</v>
      </c>
      <c r="C19" t="str">
        <f>LEFT(TableOBARCH[[#This Row],[Structure Line]],(FIND(" ",TableOBARCH[[#This Row],[Structure Line]],1)-1))</f>
        <v>BAS310</v>
      </c>
      <c r="D19" t="str">
        <f>MID(TableOBARCH[[#This Row],[Structure Line]],FIND(" ",TableOBARCH[[#This Row],[Structure Line]])+1,256)</f>
        <v>Environmental and Building Systems in Architecture</v>
      </c>
      <c r="E19" s="44">
        <f>TableOBARCH[[#This Row],[Credit Points]]</f>
        <v>25</v>
      </c>
      <c r="F19" s="56">
        <v>17</v>
      </c>
      <c r="G19" s="56" t="s">
        <v>316</v>
      </c>
      <c r="H19" s="56">
        <v>3</v>
      </c>
      <c r="I19" s="71" t="s">
        <v>317</v>
      </c>
      <c r="J19" s="56" t="s">
        <v>108</v>
      </c>
      <c r="K19" s="56">
        <v>4</v>
      </c>
      <c r="L19" s="56" t="s">
        <v>335</v>
      </c>
      <c r="M19" s="56">
        <v>25</v>
      </c>
      <c r="N19" s="83">
        <v>44562</v>
      </c>
      <c r="O19" s="83" t="s">
        <v>319</v>
      </c>
      <c r="Q19" t="s">
        <v>108</v>
      </c>
      <c r="R19">
        <v>4</v>
      </c>
    </row>
    <row r="20" spans="1:18" x14ac:dyDescent="0.25">
      <c r="A20" t="str">
        <f>TableOBARCH[[#This Row],[Study Package Code]]</f>
        <v>ARCH3019</v>
      </c>
      <c r="B20" s="2">
        <f>TableOBARCH[[#This Row],[Ver]]</f>
        <v>2</v>
      </c>
      <c r="C20" t="str">
        <f>LEFT(TableOBARCH[[#This Row],[Structure Line]],(FIND(" ",TableOBARCH[[#This Row],[Structure Line]],1)-1))</f>
        <v>BAS350</v>
      </c>
      <c r="D20" t="str">
        <f>MID(TableOBARCH[[#This Row],[Structure Line]],FIND(" ",TableOBARCH[[#This Row],[Structure Line]])+1,256)</f>
        <v>Twentieth and Twenty-First Century Architectural Theories</v>
      </c>
      <c r="E20" s="44">
        <f>TableOBARCH[[#This Row],[Credit Points]]</f>
        <v>25</v>
      </c>
      <c r="F20" s="56">
        <v>18</v>
      </c>
      <c r="G20" s="56" t="s">
        <v>316</v>
      </c>
      <c r="H20" s="56">
        <v>3</v>
      </c>
      <c r="I20" s="71" t="s">
        <v>317</v>
      </c>
      <c r="J20" s="56" t="s">
        <v>113</v>
      </c>
      <c r="K20" s="56">
        <v>2</v>
      </c>
      <c r="L20" s="56" t="s">
        <v>336</v>
      </c>
      <c r="M20" s="56">
        <v>25</v>
      </c>
      <c r="N20" s="83">
        <v>44562</v>
      </c>
      <c r="O20" s="83" t="s">
        <v>319</v>
      </c>
      <c r="Q20" t="s">
        <v>113</v>
      </c>
      <c r="R20">
        <v>2</v>
      </c>
    </row>
    <row r="21" spans="1:18" x14ac:dyDescent="0.25">
      <c r="A21" t="str">
        <f>TableOBARCH[[#This Row],[Study Package Code]]</f>
        <v>ARCH3028</v>
      </c>
      <c r="B21" s="2">
        <f>TableOBARCH[[#This Row],[Ver]]</f>
        <v>3</v>
      </c>
      <c r="C21" t="str">
        <f>LEFT(TableOBARCH[[#This Row],[Structure Line]],(FIND(" ",TableOBARCH[[#This Row],[Structure Line]],1)-1))</f>
        <v>BAS330</v>
      </c>
      <c r="D21" t="str">
        <f>MID(TableOBARCH[[#This Row],[Structure Line]],FIND(" ",TableOBARCH[[#This Row],[Structure Line]])+1,256)</f>
        <v>Architecture Design Studio 3B - Civic</v>
      </c>
      <c r="E21" s="44">
        <f>TableOBARCH[[#This Row],[Credit Points]]</f>
        <v>25</v>
      </c>
      <c r="F21" s="56">
        <v>19</v>
      </c>
      <c r="G21" s="56" t="s">
        <v>316</v>
      </c>
      <c r="H21" s="56">
        <v>3</v>
      </c>
      <c r="I21" s="71" t="s">
        <v>322</v>
      </c>
      <c r="J21" s="56" t="s">
        <v>117</v>
      </c>
      <c r="K21" s="56">
        <v>3</v>
      </c>
      <c r="L21" s="56" t="s">
        <v>337</v>
      </c>
      <c r="M21" s="56">
        <v>25</v>
      </c>
      <c r="N21" s="83">
        <v>44562</v>
      </c>
      <c r="O21" s="83" t="s">
        <v>319</v>
      </c>
      <c r="Q21" t="s">
        <v>117</v>
      </c>
      <c r="R21">
        <v>3</v>
      </c>
    </row>
    <row r="22" spans="1:18" x14ac:dyDescent="0.25">
      <c r="A22" t="str">
        <f>TableOBARCH[[#This Row],[Study Package Code]]</f>
        <v>ARCH3018</v>
      </c>
      <c r="B22" s="2">
        <f>TableOBARCH[[#This Row],[Ver]]</f>
        <v>4</v>
      </c>
      <c r="C22" t="str">
        <f>LEFT(TableOBARCH[[#This Row],[Structure Line]],(FIND(" ",TableOBARCH[[#This Row],[Structure Line]],1)-1))</f>
        <v>BAS340</v>
      </c>
      <c r="D22" t="str">
        <f>MID(TableOBARCH[[#This Row],[Structure Line]],FIND(" ",TableOBARCH[[#This Row],[Structure Line]])+1,256)</f>
        <v>Building Information Modelling in Architecture</v>
      </c>
      <c r="E22" s="44">
        <f>TableOBARCH[[#This Row],[Credit Points]]</f>
        <v>25</v>
      </c>
      <c r="F22" s="56">
        <v>20</v>
      </c>
      <c r="G22" s="56" t="s">
        <v>316</v>
      </c>
      <c r="H22" s="56">
        <v>3</v>
      </c>
      <c r="I22" s="71" t="s">
        <v>322</v>
      </c>
      <c r="J22" s="56" t="s">
        <v>118</v>
      </c>
      <c r="K22" s="56">
        <v>4</v>
      </c>
      <c r="L22" s="56" t="s">
        <v>338</v>
      </c>
      <c r="M22" s="56">
        <v>25</v>
      </c>
      <c r="N22" s="83">
        <v>44562</v>
      </c>
      <c r="O22" s="83" t="s">
        <v>319</v>
      </c>
      <c r="Q22" t="s">
        <v>118</v>
      </c>
      <c r="R22">
        <v>4</v>
      </c>
    </row>
    <row r="23" spans="1:18" x14ac:dyDescent="0.25">
      <c r="A23" t="str">
        <f>TableOBARCH[[#This Row],[Study Package Code]]</f>
        <v>ARCH3016</v>
      </c>
      <c r="B23" s="2">
        <f>TableOBARCH[[#This Row],[Ver]]</f>
        <v>1</v>
      </c>
      <c r="C23" t="str">
        <f>LEFT(TableOBARCH[[#This Row],[Structure Line]],(FIND(" ",TableOBARCH[[#This Row],[Structure Line]],1)-1))</f>
        <v>BAS320</v>
      </c>
      <c r="D23" t="str">
        <f>MID(TableOBARCH[[#This Row],[Structure Line]],FIND(" ",TableOBARCH[[#This Row],[Structure Line]])+1,256)</f>
        <v>Urban Contexts</v>
      </c>
      <c r="E23" s="44">
        <f>TableOBARCH[[#This Row],[Credit Points]]</f>
        <v>25</v>
      </c>
      <c r="F23" s="56">
        <v>21</v>
      </c>
      <c r="G23" s="56" t="s">
        <v>316</v>
      </c>
      <c r="H23" s="56">
        <v>3</v>
      </c>
      <c r="I23" s="71" t="s">
        <v>322</v>
      </c>
      <c r="J23" s="56" t="s">
        <v>92</v>
      </c>
      <c r="K23" s="56">
        <v>1</v>
      </c>
      <c r="L23" s="56" t="s">
        <v>339</v>
      </c>
      <c r="M23" s="56">
        <v>25</v>
      </c>
      <c r="N23" s="83">
        <v>42005</v>
      </c>
      <c r="O23" s="83" t="s">
        <v>319</v>
      </c>
      <c r="Q23" t="s">
        <v>92</v>
      </c>
      <c r="R23">
        <v>1</v>
      </c>
    </row>
    <row r="24" spans="1:18" x14ac:dyDescent="0.25">
      <c r="A24" t="str">
        <f>TableOBARCH[[#This Row],[Study Package Code]]</f>
        <v>OSCU-ANGAD</v>
      </c>
      <c r="B24" s="2">
        <f>TableOBARCH[[#This Row],[Ver]]</f>
        <v>1</v>
      </c>
      <c r="D24" t="str">
        <f>TableOBARCH[[#This Row],[Structure Line]]</f>
        <v>Animation and Game Architecture Design Specialisation (OpenUnis)</v>
      </c>
      <c r="E24" s="44">
        <f>TableOBARCH[[#This Row],[Credit Points]]</f>
        <v>100</v>
      </c>
      <c r="F24" s="56">
        <v>1</v>
      </c>
      <c r="G24" s="56" t="s">
        <v>314</v>
      </c>
      <c r="H24" s="56">
        <v>0</v>
      </c>
      <c r="I24" s="56" t="s">
        <v>315</v>
      </c>
      <c r="J24" s="56" t="s">
        <v>101</v>
      </c>
      <c r="K24" s="56">
        <v>1</v>
      </c>
      <c r="L24" s="56" t="s">
        <v>100</v>
      </c>
      <c r="M24" s="56">
        <v>100</v>
      </c>
      <c r="N24" s="83">
        <v>44562</v>
      </c>
      <c r="O24" s="83"/>
      <c r="Q24" t="s">
        <v>101</v>
      </c>
      <c r="R24">
        <v>1</v>
      </c>
    </row>
    <row r="25" spans="1:18" x14ac:dyDescent="0.25">
      <c r="A25" t="str">
        <f>TableOBARCH[[#This Row],[Study Package Code]]</f>
        <v>OSCU-CONMS</v>
      </c>
      <c r="B25" s="2">
        <f>TableOBARCH[[#This Row],[Ver]]</f>
        <v>1</v>
      </c>
      <c r="D25" t="str">
        <f>TableOBARCH[[#This Row],[Structure Line]]</f>
        <v>Construction Management Specialisation (OpenUnis)</v>
      </c>
      <c r="E25" s="44">
        <f>TableOBARCH[[#This Row],[Credit Points]]</f>
        <v>100</v>
      </c>
      <c r="F25" s="56">
        <v>1</v>
      </c>
      <c r="G25" s="56" t="s">
        <v>314</v>
      </c>
      <c r="H25" s="56">
        <v>0</v>
      </c>
      <c r="I25" s="56" t="s">
        <v>315</v>
      </c>
      <c r="J25" s="56" t="s">
        <v>104</v>
      </c>
      <c r="K25" s="56">
        <v>1</v>
      </c>
      <c r="L25" s="56" t="s">
        <v>14</v>
      </c>
      <c r="M25" s="56">
        <v>100</v>
      </c>
      <c r="N25" s="83">
        <v>44378</v>
      </c>
      <c r="O25" s="83"/>
      <c r="Q25" t="s">
        <v>104</v>
      </c>
      <c r="R25">
        <v>1</v>
      </c>
    </row>
    <row r="26" spans="1:18" x14ac:dyDescent="0.25">
      <c r="A26" t="str">
        <f>TableOBARCH[[#This Row],[Study Package Code]]</f>
        <v>OSCU-INARS</v>
      </c>
      <c r="B26" s="2">
        <f>TableOBARCH[[#This Row],[Ver]]</f>
        <v>3</v>
      </c>
      <c r="D26" t="str">
        <f>TableOBARCH[[#This Row],[Structure Line]]</f>
        <v>Interior Architecture Specialisation (OpenUnis)</v>
      </c>
      <c r="E26" s="44">
        <f>TableOBARCH[[#This Row],[Credit Points]]</f>
        <v>100</v>
      </c>
      <c r="F26" s="56">
        <v>1</v>
      </c>
      <c r="G26" s="56" t="s">
        <v>314</v>
      </c>
      <c r="H26" s="56">
        <v>0</v>
      </c>
      <c r="I26" s="56" t="s">
        <v>315</v>
      </c>
      <c r="J26" s="56" t="s">
        <v>112</v>
      </c>
      <c r="K26" s="56">
        <v>3</v>
      </c>
      <c r="L26" s="56" t="s">
        <v>111</v>
      </c>
      <c r="M26" s="56">
        <v>100</v>
      </c>
      <c r="N26" s="83">
        <v>45292</v>
      </c>
      <c r="O26" s="83"/>
      <c r="Q26" t="s">
        <v>112</v>
      </c>
      <c r="R26">
        <v>2</v>
      </c>
    </row>
    <row r="27" spans="1:18" x14ac:dyDescent="0.25">
      <c r="A27" t="str">
        <f>TableOBARCH[[#This Row],[Study Package Code]]</f>
        <v>OSCU-PLGEO</v>
      </c>
      <c r="B27" s="2">
        <f>TableOBARCH[[#This Row],[Ver]]</f>
        <v>1</v>
      </c>
      <c r="D27" t="str">
        <f>TableOBARCH[[#This Row],[Structure Line]]</f>
        <v>Planning and Geography Specialisation (OpenUnis)</v>
      </c>
      <c r="E27" s="44">
        <f>TableOBARCH[[#This Row],[Credit Points]]</f>
        <v>100</v>
      </c>
      <c r="F27" s="56">
        <v>1</v>
      </c>
      <c r="G27" s="56" t="s">
        <v>314</v>
      </c>
      <c r="H27" s="56">
        <v>0</v>
      </c>
      <c r="I27" s="56" t="s">
        <v>315</v>
      </c>
      <c r="J27" s="56" t="s">
        <v>115</v>
      </c>
      <c r="K27" s="56">
        <v>1</v>
      </c>
      <c r="L27" s="56" t="s">
        <v>114</v>
      </c>
      <c r="M27" s="56">
        <v>100</v>
      </c>
      <c r="N27" s="83">
        <v>44743</v>
      </c>
      <c r="O27" s="83"/>
      <c r="Q27" t="s">
        <v>115</v>
      </c>
      <c r="R27">
        <v>1</v>
      </c>
    </row>
    <row r="28" spans="1:18" x14ac:dyDescent="0.25">
      <c r="B28"/>
      <c r="E28"/>
      <c r="F28" s="40"/>
      <c r="G28" s="41" t="s">
        <v>299</v>
      </c>
      <c r="H28" s="42">
        <v>44562</v>
      </c>
      <c r="I28" s="74"/>
      <c r="J28" s="75" t="s">
        <v>101</v>
      </c>
      <c r="K28" s="43" t="s">
        <v>102</v>
      </c>
      <c r="L28" s="74" t="s">
        <v>100</v>
      </c>
      <c r="M28" s="74"/>
      <c r="N28" s="82" t="s">
        <v>301</v>
      </c>
      <c r="O28" s="76">
        <v>45324</v>
      </c>
    </row>
    <row r="29" spans="1:18" x14ac:dyDescent="0.25">
      <c r="A29" t="s">
        <v>0</v>
      </c>
      <c r="B29" s="2" t="s">
        <v>302</v>
      </c>
      <c r="C29" t="s">
        <v>303</v>
      </c>
      <c r="D29" t="s">
        <v>3</v>
      </c>
      <c r="E29" s="44" t="s">
        <v>304</v>
      </c>
      <c r="F29" t="s">
        <v>305</v>
      </c>
      <c r="G29" t="s">
        <v>306</v>
      </c>
      <c r="H29" t="s">
        <v>307</v>
      </c>
      <c r="I29" t="s">
        <v>21</v>
      </c>
      <c r="J29" t="s">
        <v>308</v>
      </c>
      <c r="K29" t="s">
        <v>1</v>
      </c>
      <c r="L29" t="s">
        <v>309</v>
      </c>
      <c r="M29" t="s">
        <v>65</v>
      </c>
      <c r="N29" t="s">
        <v>310</v>
      </c>
      <c r="O29" s="76" t="s">
        <v>311</v>
      </c>
      <c r="Q29" t="s">
        <v>312</v>
      </c>
      <c r="R29" t="s">
        <v>313</v>
      </c>
    </row>
    <row r="30" spans="1:18" x14ac:dyDescent="0.25">
      <c r="A30" t="str">
        <f>TableOSCUANGAD[[#This Row],[Study Package Code]]</f>
        <v>GRDE1022</v>
      </c>
      <c r="B30" s="2">
        <f>TableOSCUANGAD[[#This Row],[Ver]]</f>
        <v>1</v>
      </c>
      <c r="C30" t="str">
        <f>LEFT(TableOSCUANGAD[[#This Row],[Structure Line]],(FIND(" ",TableOSCUANGAD[[#This Row],[Structure Line]],1)-1))</f>
        <v>DIG10</v>
      </c>
      <c r="D30" t="str">
        <f>TableOSCUANGAD[[#This Row],[Structure Line]]</f>
        <v>DIG10 Game Design Introduction</v>
      </c>
      <c r="E30" s="44">
        <f>TableOSCUANGAD[[#This Row],[Credit Points]]</f>
        <v>25</v>
      </c>
      <c r="F30">
        <v>1</v>
      </c>
      <c r="G30" t="s">
        <v>316</v>
      </c>
      <c r="H30">
        <v>1</v>
      </c>
      <c r="I30" t="s">
        <v>315</v>
      </c>
      <c r="J30" t="s">
        <v>133</v>
      </c>
      <c r="K30">
        <v>1</v>
      </c>
      <c r="L30" t="s">
        <v>340</v>
      </c>
      <c r="M30">
        <v>25</v>
      </c>
      <c r="N30" s="83">
        <v>43466</v>
      </c>
      <c r="O30" s="83" t="s">
        <v>319</v>
      </c>
      <c r="Q30" t="s">
        <v>133</v>
      </c>
      <c r="R30">
        <v>1</v>
      </c>
    </row>
    <row r="31" spans="1:18" x14ac:dyDescent="0.25">
      <c r="A31" t="str">
        <f>TableOSCUANGAD[[#This Row],[Study Package Code]]</f>
        <v>GRDE2036</v>
      </c>
      <c r="B31" s="2">
        <f>TableOSCUANGAD[[#This Row],[Ver]]</f>
        <v>1</v>
      </c>
      <c r="C31" t="str">
        <f>LEFT(TableOSCUANGAD[[#This Row],[Structure Line]],(FIND(" ",TableOSCUANGAD[[#This Row],[Structure Line]],1)-1))</f>
        <v>DIG230</v>
      </c>
      <c r="D31" t="str">
        <f>TableOSCUANGAD[[#This Row],[Structure Line]]</f>
        <v>DIG230 Introduction to 3D Modelling and Rendering</v>
      </c>
      <c r="E31" s="44">
        <f>TableOSCUANGAD[[#This Row],[Credit Points]]</f>
        <v>25</v>
      </c>
      <c r="F31">
        <v>2</v>
      </c>
      <c r="G31" t="s">
        <v>316</v>
      </c>
      <c r="H31">
        <v>2</v>
      </c>
      <c r="I31" t="s">
        <v>315</v>
      </c>
      <c r="J31" t="s">
        <v>138</v>
      </c>
      <c r="K31">
        <v>1</v>
      </c>
      <c r="L31" t="s">
        <v>341</v>
      </c>
      <c r="M31">
        <v>25</v>
      </c>
      <c r="N31" s="83">
        <v>43101</v>
      </c>
      <c r="O31" s="83" t="s">
        <v>319</v>
      </c>
      <c r="Q31" t="s">
        <v>138</v>
      </c>
      <c r="R31">
        <v>1</v>
      </c>
    </row>
    <row r="32" spans="1:18" x14ac:dyDescent="0.25">
      <c r="A32" t="str">
        <f>TableOSCUANGAD[[#This Row],[Study Package Code]]</f>
        <v>GRDE2042</v>
      </c>
      <c r="B32" s="2">
        <f>TableOSCUANGAD[[#This Row],[Ver]]</f>
        <v>1</v>
      </c>
      <c r="C32" t="str">
        <f>LEFT(TableOSCUANGAD[[#This Row],[Structure Line]],(FIND(" ",TableOSCUANGAD[[#This Row],[Structure Line]],1)-1))</f>
        <v>DIG28</v>
      </c>
      <c r="D32" t="str">
        <f>TableOSCUANGAD[[#This Row],[Structure Line]]</f>
        <v>DIG28 Animation and Motion Graphics Design</v>
      </c>
      <c r="E32" s="44">
        <f>TableOSCUANGAD[[#This Row],[Credit Points]]</f>
        <v>25</v>
      </c>
      <c r="F32">
        <v>3</v>
      </c>
      <c r="G32" t="s">
        <v>316</v>
      </c>
      <c r="H32">
        <v>2</v>
      </c>
      <c r="I32" t="s">
        <v>315</v>
      </c>
      <c r="J32" t="s">
        <v>143</v>
      </c>
      <c r="K32">
        <v>1</v>
      </c>
      <c r="L32" t="s">
        <v>342</v>
      </c>
      <c r="M32">
        <v>25</v>
      </c>
      <c r="N32" s="83">
        <v>43282</v>
      </c>
      <c r="O32" s="83" t="s">
        <v>319</v>
      </c>
      <c r="Q32" t="s">
        <v>143</v>
      </c>
      <c r="R32">
        <v>1</v>
      </c>
    </row>
    <row r="33" spans="1:18" x14ac:dyDescent="0.25">
      <c r="A33" t="str">
        <f>TableOSCUANGAD[[#This Row],[Study Package Code]]</f>
        <v>AC-ANGAD</v>
      </c>
      <c r="B33" s="2">
        <f>TableOSCUANGAD[[#This Row],[Ver]]</f>
        <v>0</v>
      </c>
      <c r="D33" t="str">
        <f>TableOSCUANGAD[[#This Row],[Structure Line]]</f>
        <v>Choose GRDE3033 or WORK3002</v>
      </c>
      <c r="E33" s="44">
        <f>TableOSCUANGAD[[#This Row],[Credit Points]]</f>
        <v>25</v>
      </c>
      <c r="F33">
        <v>4</v>
      </c>
      <c r="G33" t="s">
        <v>314</v>
      </c>
      <c r="H33">
        <v>3</v>
      </c>
      <c r="I33" t="s">
        <v>315</v>
      </c>
      <c r="J33" t="s">
        <v>150</v>
      </c>
      <c r="K33">
        <v>0</v>
      </c>
      <c r="L33" t="s">
        <v>343</v>
      </c>
      <c r="M33">
        <v>25</v>
      </c>
      <c r="N33" s="83"/>
      <c r="O33" s="83"/>
      <c r="Q33" t="s">
        <v>344</v>
      </c>
      <c r="R33">
        <v>0</v>
      </c>
    </row>
    <row r="34" spans="1:18" x14ac:dyDescent="0.25">
      <c r="A34" t="str">
        <f>TableOSCUANGAD[[#This Row],[Study Package Code]]</f>
        <v>GRDE3033</v>
      </c>
      <c r="B34" s="2">
        <f>TableOSCUANGAD[[#This Row],[Ver]]</f>
        <v>2</v>
      </c>
      <c r="C34" t="str">
        <f>LEFT(TableOSCUANGAD[[#This Row],[Structure Line]],(FIND(" ",TableOSCUANGAD[[#This Row],[Structure Line]],1)-1))</f>
        <v>DIG39</v>
      </c>
      <c r="D34" t="str">
        <f>TableOSCUANGAD[[#This Row],[Structure Line]]</f>
        <v>DIG39 Industry Project Development</v>
      </c>
      <c r="E34" s="44">
        <f>TableOSCUANGAD[[#This Row],[Credit Points]]</f>
        <v>25</v>
      </c>
      <c r="F34">
        <v>4</v>
      </c>
      <c r="G34" t="s">
        <v>314</v>
      </c>
      <c r="H34">
        <v>3</v>
      </c>
      <c r="I34" t="s">
        <v>315</v>
      </c>
      <c r="J34" t="s">
        <v>154</v>
      </c>
      <c r="K34">
        <v>2</v>
      </c>
      <c r="L34" t="s">
        <v>345</v>
      </c>
      <c r="M34">
        <v>25</v>
      </c>
      <c r="N34" s="83">
        <v>44378</v>
      </c>
      <c r="O34" s="83"/>
      <c r="Q34" t="s">
        <v>154</v>
      </c>
      <c r="R34">
        <v>2</v>
      </c>
    </row>
    <row r="35" spans="1:18" x14ac:dyDescent="0.25">
      <c r="A35" t="str">
        <f>TableOSCUANGAD[[#This Row],[Study Package Code]]</f>
        <v>WORK3002</v>
      </c>
      <c r="B35" s="2">
        <f>TableOSCUANGAD[[#This Row],[Ver]]</f>
        <v>1</v>
      </c>
      <c r="C35" t="str">
        <f>LEFT(TableOSCUANGAD[[#This Row],[Structure Line]],(FIND(" ",TableOSCUANGAD[[#This Row],[Structure Line]],1)-1))</f>
        <v>WBP300</v>
      </c>
      <c r="D35" t="str">
        <f>TableOSCUANGAD[[#This Row],[Structure Line]]</f>
        <v>WBP300 Work Based Project</v>
      </c>
      <c r="E35" s="44">
        <f>TableOSCUANGAD[[#This Row],[Credit Points]]</f>
        <v>25</v>
      </c>
      <c r="F35">
        <v>4</v>
      </c>
      <c r="G35" t="s">
        <v>314</v>
      </c>
      <c r="H35">
        <v>3</v>
      </c>
      <c r="I35" t="s">
        <v>315</v>
      </c>
      <c r="J35" t="s">
        <v>158</v>
      </c>
      <c r="K35">
        <v>1</v>
      </c>
      <c r="L35" t="s">
        <v>346</v>
      </c>
      <c r="M35">
        <v>25</v>
      </c>
      <c r="N35" s="83">
        <v>44287</v>
      </c>
      <c r="O35" s="83"/>
      <c r="Q35" t="s">
        <v>158</v>
      </c>
      <c r="R35">
        <v>1</v>
      </c>
    </row>
    <row r="36" spans="1:18" x14ac:dyDescent="0.25">
      <c r="B36"/>
      <c r="E36"/>
      <c r="F36" s="40"/>
      <c r="G36" s="41" t="s">
        <v>299</v>
      </c>
      <c r="H36" s="42">
        <v>44197</v>
      </c>
      <c r="I36" s="74"/>
      <c r="J36" s="75" t="s">
        <v>104</v>
      </c>
      <c r="K36" s="43" t="s">
        <v>102</v>
      </c>
      <c r="L36" s="74" t="s">
        <v>14</v>
      </c>
      <c r="M36" s="74"/>
      <c r="N36" s="82" t="s">
        <v>301</v>
      </c>
      <c r="O36" s="76">
        <v>45324</v>
      </c>
    </row>
    <row r="37" spans="1:18" x14ac:dyDescent="0.25">
      <c r="A37" t="s">
        <v>0</v>
      </c>
      <c r="B37" s="2" t="s">
        <v>302</v>
      </c>
      <c r="C37" t="s">
        <v>303</v>
      </c>
      <c r="D37" t="s">
        <v>3</v>
      </c>
      <c r="E37" s="44" t="s">
        <v>304</v>
      </c>
      <c r="F37" t="s">
        <v>305</v>
      </c>
      <c r="G37" t="s">
        <v>306</v>
      </c>
      <c r="H37" t="s">
        <v>307</v>
      </c>
      <c r="I37" t="s">
        <v>21</v>
      </c>
      <c r="J37" t="s">
        <v>308</v>
      </c>
      <c r="K37" t="s">
        <v>1</v>
      </c>
      <c r="L37" t="s">
        <v>309</v>
      </c>
      <c r="M37" t="s">
        <v>65</v>
      </c>
      <c r="N37" t="s">
        <v>310</v>
      </c>
      <c r="O37" s="76" t="s">
        <v>311</v>
      </c>
      <c r="Q37" t="s">
        <v>312</v>
      </c>
      <c r="R37" t="s">
        <v>313</v>
      </c>
    </row>
    <row r="38" spans="1:18" x14ac:dyDescent="0.25">
      <c r="A38" t="str">
        <f>TableOSCUCONMS[[#This Row],[Study Package Code]]</f>
        <v>AC-CONMS</v>
      </c>
      <c r="B38" s="2">
        <f>TableOSCUCONMS[[#This Row],[Ver]]</f>
        <v>0</v>
      </c>
      <c r="D38" t="str">
        <f>TableOSCUCONMS[[#This Row],[Structure Line]]</f>
        <v>Choose CME103 BLDG1009 or CME106 BLDG1006</v>
      </c>
      <c r="E38" s="44">
        <f>TableOSCUCONMS[[#This Row],[Credit Points]]</f>
        <v>25</v>
      </c>
      <c r="F38" s="56">
        <v>1</v>
      </c>
      <c r="G38" s="56" t="s">
        <v>314</v>
      </c>
      <c r="H38" s="56">
        <v>0</v>
      </c>
      <c r="I38" s="56" t="s">
        <v>315</v>
      </c>
      <c r="J38" s="56" t="s">
        <v>139</v>
      </c>
      <c r="K38" s="56">
        <v>0</v>
      </c>
      <c r="L38" s="56" t="s">
        <v>347</v>
      </c>
      <c r="M38" s="56">
        <v>25</v>
      </c>
      <c r="N38" s="83"/>
      <c r="O38" s="83"/>
      <c r="Q38" t="s">
        <v>348</v>
      </c>
      <c r="R38">
        <v>0</v>
      </c>
    </row>
    <row r="39" spans="1:18" x14ac:dyDescent="0.25">
      <c r="A39" t="str">
        <f>TableOSCUCONMS[[#This Row],[Study Package Code]]</f>
        <v>BLDG1005</v>
      </c>
      <c r="B39" s="2">
        <f>TableOSCUCONMS[[#This Row],[Ver]]</f>
        <v>2</v>
      </c>
      <c r="C39" t="str">
        <f>LEFT(TableOSCUCONMS[[#This Row],[Structure Line]],(FIND(" ",TableOSCUCONMS[[#This Row],[Structure Line]],1)-1))</f>
        <v>CME101</v>
      </c>
      <c r="D39" t="str">
        <f>MID(TableOSCUCONMS[[#This Row],[Structure Line]],FIND(" ",TableOSCUCONMS[[#This Row],[Structure Line]])+1,256)</f>
        <v>Low Rise Construction</v>
      </c>
      <c r="E39" s="44">
        <f>TableOSCUCONMS[[#This Row],[Credit Points]]</f>
        <v>25</v>
      </c>
      <c r="F39" s="56">
        <v>2</v>
      </c>
      <c r="G39" s="56" t="s">
        <v>316</v>
      </c>
      <c r="H39" s="56">
        <v>0</v>
      </c>
      <c r="I39" s="56" t="s">
        <v>315</v>
      </c>
      <c r="J39" s="56" t="s">
        <v>130</v>
      </c>
      <c r="K39" s="56">
        <v>2</v>
      </c>
      <c r="L39" s="56" t="s">
        <v>349</v>
      </c>
      <c r="M39" s="56">
        <v>25</v>
      </c>
      <c r="N39" s="83">
        <v>43466</v>
      </c>
      <c r="O39" s="83" t="s">
        <v>319</v>
      </c>
      <c r="Q39" t="s">
        <v>130</v>
      </c>
      <c r="R39">
        <v>2</v>
      </c>
    </row>
    <row r="40" spans="1:18" x14ac:dyDescent="0.25">
      <c r="A40" t="str">
        <f>TableOSCUCONMS[[#This Row],[Study Package Code]]</f>
        <v>BLAW3031</v>
      </c>
      <c r="B40" s="2">
        <f>TableOSCUCONMS[[#This Row],[Ver]]</f>
        <v>1</v>
      </c>
      <c r="C40" t="str">
        <f>LEFT(TableOSCUCONMS[[#This Row],[Structure Line]],(FIND(" ",TableOSCUCONMS[[#This Row],[Structure Line]],1)-1))</f>
        <v>CME309</v>
      </c>
      <c r="D40" t="str">
        <f>MID(TableOSCUCONMS[[#This Row],[Structure Line]],FIND(" ",TableOSCUCONMS[[#This Row],[Structure Line]])+1,256)</f>
        <v>Construction Contracts and Law</v>
      </c>
      <c r="E40" s="44">
        <f>TableOSCUCONMS[[#This Row],[Credit Points]]</f>
        <v>25</v>
      </c>
      <c r="F40" s="56">
        <v>3</v>
      </c>
      <c r="G40" s="56" t="s">
        <v>316</v>
      </c>
      <c r="H40" s="56">
        <v>0</v>
      </c>
      <c r="I40" s="56" t="s">
        <v>315</v>
      </c>
      <c r="J40" s="56" t="s">
        <v>161</v>
      </c>
      <c r="K40" s="56">
        <v>1</v>
      </c>
      <c r="L40" s="56" t="s">
        <v>350</v>
      </c>
      <c r="M40" s="56">
        <v>25</v>
      </c>
      <c r="N40" s="83">
        <v>43466</v>
      </c>
      <c r="O40" s="83" t="s">
        <v>319</v>
      </c>
      <c r="Q40" t="s">
        <v>161</v>
      </c>
      <c r="R40">
        <v>1</v>
      </c>
    </row>
    <row r="41" spans="1:18" x14ac:dyDescent="0.25">
      <c r="A41" t="str">
        <f>TableOSCUCONMS[[#This Row],[Study Package Code]]</f>
        <v>BLDG2027</v>
      </c>
      <c r="B41" s="2">
        <f>TableOSCUCONMS[[#This Row],[Ver]]</f>
        <v>3</v>
      </c>
      <c r="C41" t="str">
        <f>LEFT(TableOSCUCONMS[[#This Row],[Structure Line]],(FIND(" ",TableOSCUCONMS[[#This Row],[Structure Line]],1)-1))</f>
        <v>CME206</v>
      </c>
      <c r="D41" t="str">
        <f>MID(TableOSCUCONMS[[#This Row],[Structure Line]],FIND(" ",TableOSCUCONMS[[#This Row],[Structure Line]])+1,256)</f>
        <v>Building Surveying</v>
      </c>
      <c r="E41" s="44">
        <f>TableOSCUCONMS[[#This Row],[Credit Points]]</f>
        <v>25</v>
      </c>
      <c r="F41" s="56">
        <v>4</v>
      </c>
      <c r="G41" s="56" t="s">
        <v>316</v>
      </c>
      <c r="H41" s="56">
        <v>0</v>
      </c>
      <c r="I41" s="56" t="s">
        <v>315</v>
      </c>
      <c r="J41" s="56" t="s">
        <v>159</v>
      </c>
      <c r="K41" s="56">
        <v>3</v>
      </c>
      <c r="L41" s="56" t="s">
        <v>351</v>
      </c>
      <c r="M41" s="56">
        <v>25</v>
      </c>
      <c r="N41" s="83">
        <v>43466</v>
      </c>
      <c r="O41" s="83" t="s">
        <v>319</v>
      </c>
      <c r="Q41" t="s">
        <v>159</v>
      </c>
      <c r="R41">
        <v>3</v>
      </c>
    </row>
    <row r="42" spans="1:18" x14ac:dyDescent="0.25">
      <c r="A42" t="str">
        <f>TableOSCUCONMS[[#This Row],[Study Package Code]]</f>
        <v>BLDG1006</v>
      </c>
      <c r="B42" s="2">
        <f>TableOSCUCONMS[[#This Row],[Ver]]</f>
        <v>3</v>
      </c>
      <c r="C42" t="str">
        <f>LEFT(TableOSCUCONMS[[#This Row],[Structure Line]],(FIND(" ",TableOSCUCONMS[[#This Row],[Structure Line]],1)-1))</f>
        <v>CME106</v>
      </c>
      <c r="D42" t="str">
        <f>MID(TableOSCUCONMS[[#This Row],[Structure Line]],FIND(" ",TableOSCUCONMS[[#This Row],[Structure Line]])+1,256)</f>
        <v>High-rise Construction</v>
      </c>
      <c r="E42" s="44">
        <f>TableOSCUCONMS[[#This Row],[Credit Points]]</f>
        <v>25</v>
      </c>
      <c r="F42" s="56">
        <v>1</v>
      </c>
      <c r="G42" s="56" t="s">
        <v>314</v>
      </c>
      <c r="H42" s="56">
        <v>0</v>
      </c>
      <c r="I42" s="56" t="s">
        <v>315</v>
      </c>
      <c r="J42" s="56" t="s">
        <v>144</v>
      </c>
      <c r="K42" s="56">
        <v>3</v>
      </c>
      <c r="L42" s="56" t="s">
        <v>352</v>
      </c>
      <c r="M42" s="56">
        <v>25</v>
      </c>
      <c r="N42" s="83">
        <v>44927</v>
      </c>
      <c r="O42" s="83"/>
      <c r="Q42" t="s">
        <v>144</v>
      </c>
      <c r="R42">
        <v>3</v>
      </c>
    </row>
    <row r="43" spans="1:18" x14ac:dyDescent="0.25">
      <c r="A43" t="str">
        <f>TableOSCUCONMS[[#This Row],[Study Package Code]]</f>
        <v>BLDG1009</v>
      </c>
      <c r="B43" s="2">
        <f>TableOSCUCONMS[[#This Row],[Ver]]</f>
        <v>3</v>
      </c>
      <c r="C43" t="str">
        <f>LEFT(TableOSCUCONMS[[#This Row],[Structure Line]],(FIND(" ",TableOSCUCONMS[[#This Row],[Structure Line]],1)-1))</f>
        <v>CME103</v>
      </c>
      <c r="D43" t="str">
        <f>MID(TableOSCUCONMS[[#This Row],[Structure Line]],FIND(" ",TableOSCUCONMS[[#This Row],[Structure Line]])+1,256)</f>
        <v>Introduction to Management in Construction</v>
      </c>
      <c r="E43" s="44">
        <f>TableOSCUCONMS[[#This Row],[Credit Points]]</f>
        <v>25</v>
      </c>
      <c r="F43" s="56">
        <v>1</v>
      </c>
      <c r="G43" s="56" t="s">
        <v>314</v>
      </c>
      <c r="H43" s="56">
        <v>0</v>
      </c>
      <c r="I43" s="56" t="s">
        <v>315</v>
      </c>
      <c r="J43" s="56" t="s">
        <v>147</v>
      </c>
      <c r="K43" s="56">
        <v>3</v>
      </c>
      <c r="L43" s="56" t="s">
        <v>353</v>
      </c>
      <c r="M43" s="56">
        <v>25</v>
      </c>
      <c r="N43" s="83">
        <v>44927</v>
      </c>
      <c r="O43" s="83"/>
      <c r="Q43" t="s">
        <v>147</v>
      </c>
      <c r="R43">
        <v>2</v>
      </c>
    </row>
    <row r="44" spans="1:18" x14ac:dyDescent="0.25">
      <c r="B44"/>
      <c r="E44"/>
      <c r="F44" s="40"/>
      <c r="G44" s="41" t="s">
        <v>299</v>
      </c>
      <c r="H44" s="89">
        <v>45292</v>
      </c>
      <c r="I44" s="74"/>
      <c r="J44" s="75" t="s">
        <v>112</v>
      </c>
      <c r="K44" s="90" t="s">
        <v>69</v>
      </c>
      <c r="L44" s="74" t="s">
        <v>111</v>
      </c>
      <c r="M44" s="74"/>
      <c r="N44" s="82" t="s">
        <v>301</v>
      </c>
      <c r="O44" s="76">
        <v>45324</v>
      </c>
    </row>
    <row r="45" spans="1:18" x14ac:dyDescent="0.25">
      <c r="A45" t="s">
        <v>0</v>
      </c>
      <c r="B45" s="2" t="s">
        <v>302</v>
      </c>
      <c r="C45" t="s">
        <v>303</v>
      </c>
      <c r="D45" t="s">
        <v>3</v>
      </c>
      <c r="E45" s="44" t="s">
        <v>304</v>
      </c>
      <c r="F45" t="s">
        <v>305</v>
      </c>
      <c r="G45" t="s">
        <v>306</v>
      </c>
      <c r="H45" t="s">
        <v>307</v>
      </c>
      <c r="I45" t="s">
        <v>21</v>
      </c>
      <c r="J45" t="s">
        <v>308</v>
      </c>
      <c r="K45" t="s">
        <v>1</v>
      </c>
      <c r="L45" t="s">
        <v>309</v>
      </c>
      <c r="M45" t="s">
        <v>65</v>
      </c>
      <c r="N45" t="s">
        <v>310</v>
      </c>
      <c r="O45" s="76" t="s">
        <v>311</v>
      </c>
      <c r="Q45" t="s">
        <v>312</v>
      </c>
      <c r="R45" t="s">
        <v>313</v>
      </c>
    </row>
    <row r="46" spans="1:18" x14ac:dyDescent="0.25">
      <c r="A46" t="str">
        <f>TableOSCUINARS[[#This Row],[Study Package Code]]</f>
        <v>INAR2023</v>
      </c>
      <c r="B46" s="2">
        <f>TableOSCUINARS[[#This Row],[Ver]]</f>
        <v>1</v>
      </c>
      <c r="C46" t="str">
        <f>LEFT(TableOSCUINARS[[#This Row],[Structure Line]],(FIND(" ",TableOSCUINARS[[#This Row],[Structure Line]],1)-1))</f>
        <v>BIA280</v>
      </c>
      <c r="D46" t="str">
        <f>MID(TableOSCUINARS[[#This Row],[Structure Line]],FIND(" ",TableOSCUINARS[[#This Row],[Structure Line]])+1,256)</f>
        <v>Philosophy and Practice</v>
      </c>
      <c r="E46" s="44">
        <f>TableOSCUINARS[[#This Row],[Credit Points]]</f>
        <v>25</v>
      </c>
      <c r="F46">
        <v>1</v>
      </c>
      <c r="G46" t="s">
        <v>316</v>
      </c>
      <c r="H46">
        <v>0</v>
      </c>
      <c r="I46" t="s">
        <v>315</v>
      </c>
      <c r="J46" t="s">
        <v>151</v>
      </c>
      <c r="K46">
        <v>1</v>
      </c>
      <c r="L46" t="s">
        <v>354</v>
      </c>
      <c r="M46">
        <v>25</v>
      </c>
      <c r="N46" s="83">
        <v>44562</v>
      </c>
      <c r="O46" s="83" t="s">
        <v>319</v>
      </c>
      <c r="Q46" t="s">
        <v>355</v>
      </c>
      <c r="R46">
        <v>3</v>
      </c>
    </row>
    <row r="47" spans="1:18" x14ac:dyDescent="0.25">
      <c r="A47" t="str">
        <f>TableOSCUINARS[[#This Row],[Study Package Code]]</f>
        <v>INAR3021</v>
      </c>
      <c r="B47" s="2">
        <f>TableOSCUINARS[[#This Row],[Ver]]</f>
        <v>1</v>
      </c>
      <c r="C47" t="str">
        <f>LEFT(TableOSCUINARS[[#This Row],[Structure Line]],(FIND(" ",TableOSCUINARS[[#This Row],[Structure Line]],1)-1))</f>
        <v>BIA390</v>
      </c>
      <c r="D47" t="str">
        <f>MID(TableOSCUINARS[[#This Row],[Structure Line]],FIND(" ",TableOSCUINARS[[#This Row],[Structure Line]])+1,256)</f>
        <v>Furniture Design</v>
      </c>
      <c r="E47" s="44">
        <f>TableOSCUINARS[[#This Row],[Credit Points]]</f>
        <v>25</v>
      </c>
      <c r="F47">
        <v>2</v>
      </c>
      <c r="G47" t="s">
        <v>316</v>
      </c>
      <c r="H47">
        <v>0</v>
      </c>
      <c r="I47" t="s">
        <v>315</v>
      </c>
      <c r="J47" t="s">
        <v>155</v>
      </c>
      <c r="K47">
        <v>1</v>
      </c>
      <c r="L47" t="s">
        <v>356</v>
      </c>
      <c r="M47">
        <v>25</v>
      </c>
      <c r="N47" s="83">
        <v>45292</v>
      </c>
      <c r="O47" s="83" t="s">
        <v>319</v>
      </c>
      <c r="Q47" t="s">
        <v>140</v>
      </c>
      <c r="R47">
        <v>1</v>
      </c>
    </row>
    <row r="48" spans="1:18" x14ac:dyDescent="0.25">
      <c r="A48" t="str">
        <f>TableOSCUINARS[[#This Row],[Study Package Code]]</f>
        <v>AC-INARS</v>
      </c>
      <c r="B48" s="2">
        <f>TableOSCUINARS[[#This Row],[Ver]]</f>
        <v>0</v>
      </c>
      <c r="D48" t="str">
        <f>TableOSCUINARS[[#This Row],[Structure Line]]</f>
        <v>Choose INAR1011 BIA140 or INAR1015 BIA170</v>
      </c>
      <c r="E48" s="44">
        <f>TableOSCUINARS[[#This Row],[Credit Points]]</f>
        <v>25</v>
      </c>
      <c r="F48">
        <v>3</v>
      </c>
      <c r="G48" t="s">
        <v>314</v>
      </c>
      <c r="H48">
        <v>0</v>
      </c>
      <c r="I48" t="s">
        <v>315</v>
      </c>
      <c r="J48" t="s">
        <v>131</v>
      </c>
      <c r="K48">
        <v>0</v>
      </c>
      <c r="L48" t="s">
        <v>357</v>
      </c>
      <c r="M48">
        <v>25</v>
      </c>
      <c r="N48" s="83"/>
      <c r="O48" s="83"/>
      <c r="Q48" t="s">
        <v>358</v>
      </c>
      <c r="R48">
        <v>3</v>
      </c>
    </row>
    <row r="49" spans="1:18" x14ac:dyDescent="0.25">
      <c r="A49" t="str">
        <f>TableOSCUINARS[[#This Row],[Study Package Code]]</f>
        <v>Opt-INARS</v>
      </c>
      <c r="B49" s="2">
        <f>TableOSCUINARS[[#This Row],[Ver]]</f>
        <v>0</v>
      </c>
      <c r="D49" t="str">
        <f>TableOSCUINARS[[#This Row],[Structure Line]]</f>
        <v>Choose an Option</v>
      </c>
      <c r="E49" s="44">
        <f>TableOSCUINARS[[#This Row],[Credit Points]]</f>
        <v>25</v>
      </c>
      <c r="F49">
        <v>4</v>
      </c>
      <c r="G49" t="s">
        <v>359</v>
      </c>
      <c r="H49">
        <v>0</v>
      </c>
      <c r="I49" t="s">
        <v>315</v>
      </c>
      <c r="J49" t="s">
        <v>162</v>
      </c>
      <c r="K49">
        <v>0</v>
      </c>
      <c r="L49" t="s">
        <v>360</v>
      </c>
      <c r="M49">
        <v>25</v>
      </c>
      <c r="N49" s="83"/>
      <c r="O49" s="83"/>
      <c r="Q49" t="s">
        <v>151</v>
      </c>
      <c r="R49">
        <v>1</v>
      </c>
    </row>
    <row r="50" spans="1:18" x14ac:dyDescent="0.25">
      <c r="A50" t="str">
        <f>TableOSCUINARS[[#This Row],[Study Package Code]]</f>
        <v>INAR1011</v>
      </c>
      <c r="B50" s="2">
        <f>TableOSCUINARS[[#This Row],[Ver]]</f>
        <v>4</v>
      </c>
      <c r="C50" t="str">
        <f>LEFT(TableOSCUINARS[[#This Row],[Structure Line]],(FIND(" ",TableOSCUINARS[[#This Row],[Structure Line]],1)-1))</f>
        <v>BIA140</v>
      </c>
      <c r="D50" t="str">
        <f>MID(TableOSCUINARS[[#This Row],[Structure Line]],FIND(" ",TableOSCUINARS[[#This Row],[Structure Line]])+1,256)</f>
        <v>Interior Architecture Studio - Foundation</v>
      </c>
      <c r="E50" s="44">
        <f>TableOSCUINARS[[#This Row],[Credit Points]]</f>
        <v>25</v>
      </c>
      <c r="F50">
        <v>3</v>
      </c>
      <c r="G50" t="s">
        <v>314</v>
      </c>
      <c r="H50">
        <v>0</v>
      </c>
      <c r="I50" t="s">
        <v>315</v>
      </c>
      <c r="J50" t="s">
        <v>135</v>
      </c>
      <c r="K50">
        <v>4</v>
      </c>
      <c r="L50" t="s">
        <v>361</v>
      </c>
      <c r="M50">
        <v>25</v>
      </c>
      <c r="N50" s="83">
        <v>45292</v>
      </c>
      <c r="O50" s="83"/>
      <c r="Q50" t="s">
        <v>257</v>
      </c>
      <c r="R50">
        <v>3</v>
      </c>
    </row>
    <row r="51" spans="1:18" x14ac:dyDescent="0.25">
      <c r="A51" t="str">
        <f>TableOSCUINARS[[#This Row],[Study Package Code]]</f>
        <v>INAR1015</v>
      </c>
      <c r="B51" s="2">
        <f>TableOSCUINARS[[#This Row],[Ver]]</f>
        <v>1</v>
      </c>
      <c r="C51" t="str">
        <f>LEFT(TableOSCUINARS[[#This Row],[Structure Line]],(FIND(" ",TableOSCUINARS[[#This Row],[Structure Line]],1)-1))</f>
        <v>BIA170</v>
      </c>
      <c r="D51" t="str">
        <f>MID(TableOSCUINARS[[#This Row],[Structure Line]],FIND(" ",TableOSCUINARS[[#This Row],[Structure Line]])+1,256)</f>
        <v>History of the Interior</v>
      </c>
      <c r="E51" s="44">
        <f>TableOSCUINARS[[#This Row],[Credit Points]]</f>
        <v>25</v>
      </c>
      <c r="F51">
        <v>3</v>
      </c>
      <c r="G51" t="s">
        <v>314</v>
      </c>
      <c r="H51">
        <v>0</v>
      </c>
      <c r="I51" t="s">
        <v>315</v>
      </c>
      <c r="J51" t="s">
        <v>140</v>
      </c>
      <c r="K51">
        <v>1</v>
      </c>
      <c r="L51" t="s">
        <v>362</v>
      </c>
      <c r="M51">
        <v>25</v>
      </c>
      <c r="N51" s="83">
        <v>43101</v>
      </c>
      <c r="O51" s="83"/>
      <c r="Q51" t="s">
        <v>135</v>
      </c>
      <c r="R51">
        <v>3</v>
      </c>
    </row>
    <row r="52" spans="1:18" x14ac:dyDescent="0.25">
      <c r="A52" t="str">
        <f>TableOSCUINARS[[#This Row],[Study Package Code]]</f>
        <v>INAR2015</v>
      </c>
      <c r="B52" s="2">
        <f>TableOSCUINARS[[#This Row],[Ver]]</f>
        <v>4</v>
      </c>
      <c r="C52" t="str">
        <f>LEFT(TableOSCUINARS[[#This Row],[Structure Line]],(FIND(" ",TableOSCUINARS[[#This Row],[Structure Line]],1)-1))</f>
        <v>BIA250</v>
      </c>
      <c r="D52" t="str">
        <f>MID(TableOSCUINARS[[#This Row],[Structure Line]],FIND(" ",TableOSCUINARS[[#This Row],[Structure Line]])+1,256)</f>
        <v>Interior Architecture Studio – Community</v>
      </c>
      <c r="E52" s="44">
        <f>TableOSCUINARS[[#This Row],[Credit Points]]</f>
        <v>25</v>
      </c>
      <c r="F52">
        <v>4</v>
      </c>
      <c r="G52" t="s">
        <v>359</v>
      </c>
      <c r="H52">
        <v>0</v>
      </c>
      <c r="I52" t="s">
        <v>315</v>
      </c>
      <c r="J52" t="s">
        <v>164</v>
      </c>
      <c r="K52">
        <v>4</v>
      </c>
      <c r="L52" t="s">
        <v>363</v>
      </c>
      <c r="M52">
        <v>25</v>
      </c>
      <c r="N52" s="83">
        <v>45292</v>
      </c>
      <c r="O52" s="83"/>
      <c r="Q52" t="s">
        <v>164</v>
      </c>
      <c r="R52">
        <v>3</v>
      </c>
    </row>
    <row r="53" spans="1:18" x14ac:dyDescent="0.25">
      <c r="A53" t="str">
        <f>TableOSCUINARS[[#This Row],[Study Package Code]]</f>
        <v>INAR2025</v>
      </c>
      <c r="B53" s="2">
        <f>TableOSCUINARS[[#This Row],[Ver]]</f>
        <v>1</v>
      </c>
      <c r="C53" t="str">
        <f>LEFT(TableOSCUINARS[[#This Row],[Structure Line]],(FIND(" ",TableOSCUINARS[[#This Row],[Structure Line]],1)-1))</f>
        <v>BIA290</v>
      </c>
      <c r="D53" t="str">
        <f>MID(TableOSCUINARS[[#This Row],[Structure Line]],FIND(" ",TableOSCUINARS[[#This Row],[Structure Line]])+1,256)</f>
        <v>Design Fabrication</v>
      </c>
      <c r="E53" s="44">
        <f>TableOSCUINARS[[#This Row],[Credit Points]]</f>
        <v>25</v>
      </c>
      <c r="F53">
        <v>4</v>
      </c>
      <c r="G53" t="s">
        <v>359</v>
      </c>
      <c r="H53">
        <v>0</v>
      </c>
      <c r="I53" t="s">
        <v>315</v>
      </c>
      <c r="J53" t="s">
        <v>166</v>
      </c>
      <c r="K53">
        <v>1</v>
      </c>
      <c r="L53" t="s">
        <v>364</v>
      </c>
      <c r="M53">
        <v>25</v>
      </c>
      <c r="N53" s="83">
        <v>45292</v>
      </c>
      <c r="O53" s="83"/>
      <c r="Q53" t="s">
        <v>158</v>
      </c>
      <c r="R53">
        <v>1</v>
      </c>
    </row>
    <row r="54" spans="1:18" x14ac:dyDescent="0.25">
      <c r="A54" t="str">
        <f>TableOSCUINARS[[#This Row],[Study Package Code]]</f>
        <v>WORK2006</v>
      </c>
      <c r="B54" s="2">
        <f>TableOSCUINARS[[#This Row],[Ver]]</f>
        <v>2</v>
      </c>
      <c r="C54" t="str">
        <f>LEFT(TableOSCUINARS[[#This Row],[Structure Line]],(FIND(" ",TableOSCUINARS[[#This Row],[Structure Line]],1)-1))</f>
        <v>GOL200</v>
      </c>
      <c r="D54" t="str">
        <f>MID(TableOSCUINARS[[#This Row],[Structure Line]],FIND(" ",TableOSCUINARS[[#This Row],[Structure Line]])+1,256)</f>
        <v>Sustainability and Innovation Foundations</v>
      </c>
      <c r="E54" s="44">
        <f>TableOSCUINARS[[#This Row],[Credit Points]]</f>
        <v>25</v>
      </c>
      <c r="F54">
        <v>4</v>
      </c>
      <c r="G54" t="s">
        <v>359</v>
      </c>
      <c r="H54">
        <v>0</v>
      </c>
      <c r="I54" t="s">
        <v>315</v>
      </c>
      <c r="J54" t="s">
        <v>168</v>
      </c>
      <c r="K54">
        <v>2</v>
      </c>
      <c r="L54" t="s">
        <v>365</v>
      </c>
      <c r="M54">
        <v>25</v>
      </c>
      <c r="N54" s="83">
        <v>45292</v>
      </c>
      <c r="O54" s="83"/>
    </row>
    <row r="55" spans="1:18" x14ac:dyDescent="0.25">
      <c r="A55" t="str">
        <f>TableOSCUINARS[[#This Row],[Study Package Code]]</f>
        <v>WORK2007</v>
      </c>
      <c r="B55" s="2">
        <f>TableOSCUINARS[[#This Row],[Ver]]</f>
        <v>1</v>
      </c>
      <c r="C55" t="str">
        <f>LEFT(TableOSCUINARS[[#This Row],[Structure Line]],(FIND(" ",TableOSCUINARS[[#This Row],[Structure Line]],1)-1))</f>
        <v>GOL210</v>
      </c>
      <c r="D55" t="str">
        <f>MID(TableOSCUINARS[[#This Row],[Structure Line]],FIND(" ",TableOSCUINARS[[#This Row],[Structure Line]])+1,256)</f>
        <v>Regional Industry Placement 2</v>
      </c>
      <c r="E55" s="44">
        <f>TableOSCUINARS[[#This Row],[Credit Points]]</f>
        <v>25</v>
      </c>
      <c r="F55">
        <v>4</v>
      </c>
      <c r="G55" t="s">
        <v>359</v>
      </c>
      <c r="H55">
        <v>0</v>
      </c>
      <c r="I55" t="s">
        <v>315</v>
      </c>
      <c r="J55" t="s">
        <v>170</v>
      </c>
      <c r="K55">
        <v>1</v>
      </c>
      <c r="L55" t="s">
        <v>366</v>
      </c>
      <c r="M55">
        <v>25</v>
      </c>
      <c r="N55" s="83">
        <v>44743</v>
      </c>
      <c r="O55" s="83"/>
    </row>
    <row r="56" spans="1:18" x14ac:dyDescent="0.25">
      <c r="A56" t="str">
        <f>TableOSCUINARS[[#This Row],[Study Package Code]]</f>
        <v>WORK3002</v>
      </c>
      <c r="B56" s="2">
        <f>TableOSCUINARS[[#This Row],[Ver]]</f>
        <v>1</v>
      </c>
      <c r="C56" t="str">
        <f>LEFT(TableOSCUINARS[[#This Row],[Structure Line]],(FIND(" ",TableOSCUINARS[[#This Row],[Structure Line]],1)-1))</f>
        <v>WBP300</v>
      </c>
      <c r="D56" t="str">
        <f>MID(TableOSCUINARS[[#This Row],[Structure Line]],FIND(" ",TableOSCUINARS[[#This Row],[Structure Line]])+1,256)</f>
        <v>Work Based Project</v>
      </c>
      <c r="E56" s="44">
        <f>TableOSCUINARS[[#This Row],[Credit Points]]</f>
        <v>25</v>
      </c>
      <c r="F56">
        <v>4</v>
      </c>
      <c r="G56" t="s">
        <v>359</v>
      </c>
      <c r="H56">
        <v>0</v>
      </c>
      <c r="I56" t="s">
        <v>315</v>
      </c>
      <c r="J56" t="s">
        <v>158</v>
      </c>
      <c r="K56">
        <v>1</v>
      </c>
      <c r="L56" t="s">
        <v>346</v>
      </c>
      <c r="M56">
        <v>25</v>
      </c>
      <c r="N56" s="83">
        <v>44287</v>
      </c>
      <c r="O56" s="83"/>
    </row>
    <row r="57" spans="1:18" x14ac:dyDescent="0.25">
      <c r="A57" t="str">
        <f>TableOSCUINARS[[#This Row],[Study Package Code]]</f>
        <v>WORK3009</v>
      </c>
      <c r="B57" s="2">
        <f>TableOSCUINARS[[#This Row],[Ver]]</f>
        <v>1</v>
      </c>
      <c r="C57" t="str">
        <f>LEFT(TableOSCUINARS[[#This Row],[Structure Line]],(FIND(" ",TableOSCUINARS[[#This Row],[Structure Line]],1)-1))</f>
        <v>GOG300</v>
      </c>
      <c r="D57" t="str">
        <f>MID(TableOSCUINARS[[#This Row],[Structure Line]],FIND(" ",TableOSCUINARS[[#This Row],[Structure Line]])+1,256)</f>
        <v>Go Global - Internship 4</v>
      </c>
      <c r="E57" s="44">
        <f>TableOSCUINARS[[#This Row],[Credit Points]]</f>
        <v>25</v>
      </c>
      <c r="F57">
        <v>4</v>
      </c>
      <c r="G57" t="s">
        <v>359</v>
      </c>
      <c r="H57">
        <v>0</v>
      </c>
      <c r="I57" t="s">
        <v>315</v>
      </c>
      <c r="J57" t="s">
        <v>173</v>
      </c>
      <c r="K57">
        <v>1</v>
      </c>
      <c r="L57" t="s">
        <v>367</v>
      </c>
      <c r="M57">
        <v>25</v>
      </c>
      <c r="N57" s="83">
        <v>44927</v>
      </c>
      <c r="O57" s="83"/>
    </row>
    <row r="58" spans="1:18" x14ac:dyDescent="0.25">
      <c r="B58"/>
      <c r="E58"/>
      <c r="F58" s="40"/>
      <c r="G58" s="41" t="s">
        <v>299</v>
      </c>
      <c r="H58" s="42">
        <v>44743</v>
      </c>
      <c r="I58" s="74"/>
      <c r="J58" s="75" t="s">
        <v>115</v>
      </c>
      <c r="K58" s="43" t="s">
        <v>102</v>
      </c>
      <c r="L58" s="74" t="s">
        <v>114</v>
      </c>
      <c r="M58" s="74"/>
      <c r="N58" s="82" t="s">
        <v>301</v>
      </c>
      <c r="O58" s="76">
        <v>45324</v>
      </c>
    </row>
    <row r="59" spans="1:18" x14ac:dyDescent="0.25">
      <c r="A59" t="s">
        <v>0</v>
      </c>
      <c r="B59" s="2" t="s">
        <v>302</v>
      </c>
      <c r="C59" t="s">
        <v>303</v>
      </c>
      <c r="D59" t="s">
        <v>3</v>
      </c>
      <c r="E59" s="44" t="s">
        <v>304</v>
      </c>
      <c r="F59" t="s">
        <v>305</v>
      </c>
      <c r="G59" t="s">
        <v>306</v>
      </c>
      <c r="H59" t="s">
        <v>307</v>
      </c>
      <c r="I59" t="s">
        <v>21</v>
      </c>
      <c r="J59" t="s">
        <v>308</v>
      </c>
      <c r="K59" t="s">
        <v>1</v>
      </c>
      <c r="L59" t="s">
        <v>309</v>
      </c>
      <c r="M59" t="s">
        <v>65</v>
      </c>
      <c r="N59" t="s">
        <v>310</v>
      </c>
      <c r="O59" s="76" t="s">
        <v>311</v>
      </c>
      <c r="Q59" t="s">
        <v>312</v>
      </c>
      <c r="R59" t="s">
        <v>313</v>
      </c>
    </row>
    <row r="60" spans="1:18" x14ac:dyDescent="0.25">
      <c r="A60" t="str">
        <f>TableOSCUPLGEO[[#This Row],[Study Package Code]]</f>
        <v>URDE1008</v>
      </c>
      <c r="B60" s="2">
        <f>TableOSCUPLGEO[[#This Row],[Ver]]</f>
        <v>1</v>
      </c>
      <c r="C60" t="str">
        <f>LEFT(TableOSCUPLGEO[[#This Row],[Structure Line]],(FIND(" ",TableOSCUPLGEO[[#This Row],[Structure Line]],1)-1))</f>
        <v>URP110</v>
      </c>
      <c r="D60" t="str">
        <f>MID(TableOSCUPLGEO[[#This Row],[Structure Line]],FIND(" ",TableOSCUPLGEO[[#This Row],[Structure Line]])+1,256)</f>
        <v>Introduction to Planning</v>
      </c>
      <c r="E60" s="44">
        <f>TableOSCUPLGEO[[#This Row],[Credit Points]]</f>
        <v>25</v>
      </c>
      <c r="F60">
        <v>1</v>
      </c>
      <c r="G60" t="s">
        <v>316</v>
      </c>
      <c r="H60">
        <v>1</v>
      </c>
      <c r="I60" t="s">
        <v>315</v>
      </c>
      <c r="J60" t="s">
        <v>141</v>
      </c>
      <c r="K60">
        <v>1</v>
      </c>
      <c r="L60" t="s">
        <v>368</v>
      </c>
      <c r="M60">
        <v>25</v>
      </c>
      <c r="N60" s="83">
        <v>42979</v>
      </c>
      <c r="O60" s="83" t="s">
        <v>319</v>
      </c>
      <c r="Q60" t="s">
        <v>141</v>
      </c>
      <c r="R60">
        <v>1</v>
      </c>
    </row>
    <row r="61" spans="1:18" x14ac:dyDescent="0.25">
      <c r="A61" t="str">
        <f>TableOSCUPLGEO[[#This Row],[Study Package Code]]</f>
        <v>URDE1007</v>
      </c>
      <c r="B61" s="2">
        <f>TableOSCUPLGEO[[#This Row],[Ver]]</f>
        <v>1</v>
      </c>
      <c r="C61" t="str">
        <f>LEFT(TableOSCUPLGEO[[#This Row],[Structure Line]],(FIND(" ",TableOSCUPLGEO[[#This Row],[Structure Line]],1)-1))</f>
        <v>URP100</v>
      </c>
      <c r="D61" t="str">
        <f>MID(TableOSCUPLGEO[[#This Row],[Structure Line]],FIND(" ",TableOSCUPLGEO[[#This Row],[Structure Line]])+1,256)</f>
        <v>Governance for Planning</v>
      </c>
      <c r="E61" s="44">
        <f>TableOSCUPLGEO[[#This Row],[Credit Points]]</f>
        <v>25</v>
      </c>
      <c r="F61">
        <v>2</v>
      </c>
      <c r="G61" t="s">
        <v>316</v>
      </c>
      <c r="H61">
        <v>1</v>
      </c>
      <c r="I61" t="s">
        <v>315</v>
      </c>
      <c r="J61" t="s">
        <v>136</v>
      </c>
      <c r="K61">
        <v>1</v>
      </c>
      <c r="L61" t="s">
        <v>369</v>
      </c>
      <c r="M61">
        <v>25</v>
      </c>
      <c r="N61" s="83">
        <v>42979</v>
      </c>
      <c r="O61" s="83" t="s">
        <v>319</v>
      </c>
      <c r="Q61" t="s">
        <v>136</v>
      </c>
      <c r="R61">
        <v>1</v>
      </c>
    </row>
    <row r="62" spans="1:18" x14ac:dyDescent="0.25">
      <c r="A62" t="str">
        <f>TableOSCUPLGEO[[#This Row],[Study Package Code]]</f>
        <v>PHGY3001</v>
      </c>
      <c r="B62" s="2">
        <f>TableOSCUPLGEO[[#This Row],[Ver]]</f>
        <v>3</v>
      </c>
      <c r="C62" t="str">
        <f>LEFT(TableOSCUPLGEO[[#This Row],[Structure Line]],(FIND(" ",TableOSCUPLGEO[[#This Row],[Structure Line]],1)-1))</f>
        <v>GPH311</v>
      </c>
      <c r="D62" t="str">
        <f>MID(TableOSCUPLGEO[[#This Row],[Structure Line]],FIND(" ",TableOSCUPLGEO[[#This Row],[Structure Line]])+1,256)</f>
        <v>Cultural Landscapes</v>
      </c>
      <c r="E62" s="44">
        <f>TableOSCUPLGEO[[#This Row],[Credit Points]]</f>
        <v>25</v>
      </c>
      <c r="F62">
        <v>3</v>
      </c>
      <c r="G62" t="s">
        <v>316</v>
      </c>
      <c r="H62">
        <v>3</v>
      </c>
      <c r="I62" t="s">
        <v>315</v>
      </c>
      <c r="J62" t="s">
        <v>145</v>
      </c>
      <c r="K62">
        <v>3</v>
      </c>
      <c r="L62" t="s">
        <v>370</v>
      </c>
      <c r="M62">
        <v>25</v>
      </c>
      <c r="N62" s="83">
        <v>44562</v>
      </c>
      <c r="O62" s="83" t="s">
        <v>319</v>
      </c>
      <c r="Q62" t="s">
        <v>145</v>
      </c>
      <c r="R62">
        <v>3</v>
      </c>
    </row>
    <row r="63" spans="1:18" x14ac:dyDescent="0.25">
      <c r="A63" t="str">
        <f>TableOSCUPLGEO[[#This Row],[Study Package Code]]</f>
        <v>AC-PLGEO</v>
      </c>
      <c r="B63" s="2">
        <f>TableOSCUPLGEO[[#This Row],[Ver]]</f>
        <v>0</v>
      </c>
      <c r="D63" t="str">
        <f>TableOSCUPLGEO[[#This Row],[Structure Line]]</f>
        <v>Choose WORK3002 or GEOG3002</v>
      </c>
      <c r="E63" s="44">
        <f>TableOSCUPLGEO[[#This Row],[Credit Points]]</f>
        <v>25</v>
      </c>
      <c r="F63">
        <v>4</v>
      </c>
      <c r="G63" t="s">
        <v>314</v>
      </c>
      <c r="H63">
        <v>3</v>
      </c>
      <c r="I63" t="s">
        <v>315</v>
      </c>
      <c r="J63" t="s">
        <v>152</v>
      </c>
      <c r="K63">
        <v>0</v>
      </c>
      <c r="L63" t="s">
        <v>371</v>
      </c>
      <c r="M63">
        <v>25</v>
      </c>
      <c r="N63" s="83"/>
      <c r="O63" s="83" t="s">
        <v>319</v>
      </c>
      <c r="Q63" t="s">
        <v>372</v>
      </c>
      <c r="R63">
        <v>0</v>
      </c>
    </row>
    <row r="64" spans="1:18" x14ac:dyDescent="0.25">
      <c r="A64" t="str">
        <f>TableOSCUPLGEO[[#This Row],[Study Package Code]]</f>
        <v>GEOG3002</v>
      </c>
      <c r="B64" s="2">
        <f>TableOSCUPLGEO[[#This Row],[Ver]]</f>
        <v>2</v>
      </c>
      <c r="C64" t="str">
        <f>LEFT(TableOSCUPLGEO[[#This Row],[Structure Line]],(FIND(" ",TableOSCUPLGEO[[#This Row],[Structure Line]],1)-1))</f>
        <v>GPH320</v>
      </c>
      <c r="D64" t="str">
        <f>MID(TableOSCUPLGEO[[#This Row],[Structure Line]],FIND(" ",TableOSCUPLGEO[[#This Row],[Structure Line]])+1,256)</f>
        <v>Urban Geographies</v>
      </c>
      <c r="E64" s="44">
        <f>TableOSCUPLGEO[[#This Row],[Credit Points]]</f>
        <v>25</v>
      </c>
      <c r="F64">
        <v>4</v>
      </c>
      <c r="G64" t="s">
        <v>314</v>
      </c>
      <c r="H64">
        <v>3</v>
      </c>
      <c r="I64" t="s">
        <v>315</v>
      </c>
      <c r="J64" t="s">
        <v>156</v>
      </c>
      <c r="K64">
        <v>2</v>
      </c>
      <c r="L64" t="s">
        <v>373</v>
      </c>
      <c r="M64">
        <v>25</v>
      </c>
      <c r="N64" s="83">
        <v>44562</v>
      </c>
      <c r="O64" s="83"/>
      <c r="Q64" t="s">
        <v>156</v>
      </c>
      <c r="R64">
        <v>2</v>
      </c>
    </row>
    <row r="65" spans="1:18" x14ac:dyDescent="0.25">
      <c r="A65" t="str">
        <f>TableOSCUPLGEO[[#This Row],[Study Package Code]]</f>
        <v>WORK3002</v>
      </c>
      <c r="B65" s="2">
        <f>TableOSCUPLGEO[[#This Row],[Ver]]</f>
        <v>1</v>
      </c>
      <c r="C65" t="str">
        <f>LEFT(TableOSCUPLGEO[[#This Row],[Structure Line]],(FIND(" ",TableOSCUPLGEO[[#This Row],[Structure Line]],1)-1))</f>
        <v>WBP300</v>
      </c>
      <c r="D65" t="str">
        <f>MID(TableOSCUPLGEO[[#This Row],[Structure Line]],FIND(" ",TableOSCUPLGEO[[#This Row],[Structure Line]])+1,256)</f>
        <v>Work Based Project</v>
      </c>
      <c r="E65" s="44">
        <f>TableOSCUPLGEO[[#This Row],[Credit Points]]</f>
        <v>25</v>
      </c>
      <c r="F65">
        <v>4</v>
      </c>
      <c r="G65" t="s">
        <v>314</v>
      </c>
      <c r="H65">
        <v>3</v>
      </c>
      <c r="I65" t="s">
        <v>315</v>
      </c>
      <c r="J65" t="s">
        <v>158</v>
      </c>
      <c r="K65">
        <v>1</v>
      </c>
      <c r="L65" t="s">
        <v>346</v>
      </c>
      <c r="M65">
        <v>25</v>
      </c>
      <c r="N65" s="83">
        <v>44287</v>
      </c>
      <c r="O65" s="83"/>
      <c r="Q65" t="s">
        <v>158</v>
      </c>
      <c r="R65">
        <v>1</v>
      </c>
    </row>
  </sheetData>
  <conditionalFormatting sqref="Q3:R27 Q46:R46">
    <cfRule type="expression" dxfId="60" priority="13">
      <formula>Q3&lt;&gt;J3</formula>
    </cfRule>
  </conditionalFormatting>
  <conditionalFormatting sqref="Q30:R35">
    <cfRule type="expression" dxfId="59" priority="6">
      <formula>Q30&lt;&gt;J30</formula>
    </cfRule>
  </conditionalFormatting>
  <conditionalFormatting sqref="Q38:R43">
    <cfRule type="expression" dxfId="58" priority="10">
      <formula>Q38&lt;&gt;J38</formula>
    </cfRule>
  </conditionalFormatting>
  <conditionalFormatting sqref="Q60:R65">
    <cfRule type="expression" dxfId="57" priority="8">
      <formula>Q60&lt;&gt;J60</formula>
    </cfRule>
  </conditionalFormatting>
  <conditionalFormatting sqref="O3:O27 O54:O57">
    <cfRule type="notContainsBlanks" dxfId="56" priority="7">
      <formula>LEN(TRIM(O3))&gt;0</formula>
    </cfRule>
  </conditionalFormatting>
  <conditionalFormatting sqref="O30:O35">
    <cfRule type="notContainsBlanks" dxfId="55" priority="5">
      <formula>LEN(TRIM(O30))&gt;0</formula>
    </cfRule>
  </conditionalFormatting>
  <conditionalFormatting sqref="O38:O43">
    <cfRule type="notContainsBlanks" dxfId="54" priority="4">
      <formula>LEN(TRIM(O38))&gt;0</formula>
    </cfRule>
  </conditionalFormatting>
  <conditionalFormatting sqref="O46:O57">
    <cfRule type="notContainsBlanks" dxfId="53" priority="3">
      <formula>LEN(TRIM(O46))&gt;0</formula>
    </cfRule>
  </conditionalFormatting>
  <conditionalFormatting sqref="O60:O65">
    <cfRule type="notContainsBlanks" dxfId="52" priority="2">
      <formula>LEN(TRIM(O60))&gt;0</formula>
    </cfRule>
  </conditionalFormatting>
  <conditionalFormatting sqref="Q47:R57">
    <cfRule type="expression" dxfId="51" priority="1">
      <formula>Q47&lt;&gt;J47</formula>
    </cfRule>
  </conditionalFormatting>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A27" sqref="A27"/>
    </sheetView>
  </sheetViews>
  <sheetFormatPr defaultRowHeight="15.75" x14ac:dyDescent="0.25"/>
  <cols>
    <col min="1" max="1" width="39.625" bestFit="1" customWidth="1"/>
    <col min="2" max="5" width="15.375" bestFit="1" customWidth="1"/>
    <col min="6" max="6" width="12" bestFit="1" customWidth="1"/>
    <col min="7" max="7" width="9.375" bestFit="1" customWidth="1"/>
  </cols>
  <sheetData>
    <row r="1" spans="1:7" x14ac:dyDescent="0.25">
      <c r="A1" t="s">
        <v>374</v>
      </c>
      <c r="F1" s="93" t="s">
        <v>375</v>
      </c>
      <c r="G1" s="94">
        <v>45324</v>
      </c>
    </row>
    <row r="3" spans="1:7" x14ac:dyDescent="0.25">
      <c r="A3" t="s">
        <v>376</v>
      </c>
      <c r="B3" t="s">
        <v>377</v>
      </c>
      <c r="C3" t="s">
        <v>378</v>
      </c>
      <c r="D3" t="s">
        <v>379</v>
      </c>
      <c r="E3" t="s">
        <v>380</v>
      </c>
    </row>
    <row r="4" spans="1:7" x14ac:dyDescent="0.25">
      <c r="A4" t="s">
        <v>72</v>
      </c>
      <c r="C4">
        <v>1</v>
      </c>
      <c r="E4">
        <v>1</v>
      </c>
    </row>
    <row r="5" spans="1:7" x14ac:dyDescent="0.25">
      <c r="A5" t="s">
        <v>55</v>
      </c>
      <c r="B5">
        <v>1</v>
      </c>
      <c r="D5">
        <v>1</v>
      </c>
    </row>
    <row r="6" spans="1:7" x14ac:dyDescent="0.25">
      <c r="A6" t="s">
        <v>60</v>
      </c>
      <c r="B6">
        <v>1</v>
      </c>
      <c r="D6">
        <v>1</v>
      </c>
    </row>
    <row r="7" spans="1:7" x14ac:dyDescent="0.25">
      <c r="A7" t="s">
        <v>57</v>
      </c>
      <c r="C7">
        <v>1</v>
      </c>
      <c r="E7">
        <v>1</v>
      </c>
    </row>
    <row r="8" spans="1:7" x14ac:dyDescent="0.25">
      <c r="A8" t="s">
        <v>76</v>
      </c>
      <c r="C8">
        <v>1</v>
      </c>
      <c r="E8">
        <v>1</v>
      </c>
    </row>
    <row r="9" spans="1:7" x14ac:dyDescent="0.25">
      <c r="A9" t="s">
        <v>75</v>
      </c>
      <c r="B9">
        <v>1</v>
      </c>
      <c r="D9">
        <v>1</v>
      </c>
    </row>
    <row r="10" spans="1:7" x14ac:dyDescent="0.25">
      <c r="A10" t="s">
        <v>77</v>
      </c>
      <c r="B10">
        <v>1</v>
      </c>
      <c r="D10">
        <v>1</v>
      </c>
    </row>
    <row r="11" spans="1:7" x14ac:dyDescent="0.25">
      <c r="A11" t="s">
        <v>93</v>
      </c>
      <c r="C11">
        <v>1</v>
      </c>
      <c r="E11">
        <v>1</v>
      </c>
    </row>
    <row r="12" spans="1:7" x14ac:dyDescent="0.25">
      <c r="A12" t="s">
        <v>97</v>
      </c>
      <c r="C12">
        <v>1</v>
      </c>
      <c r="E12">
        <v>1</v>
      </c>
    </row>
    <row r="13" spans="1:7" x14ac:dyDescent="0.25">
      <c r="A13" t="s">
        <v>88</v>
      </c>
      <c r="C13">
        <v>1</v>
      </c>
      <c r="E13">
        <v>1</v>
      </c>
    </row>
    <row r="14" spans="1:7" x14ac:dyDescent="0.25">
      <c r="A14" t="s">
        <v>96</v>
      </c>
      <c r="B14">
        <v>1</v>
      </c>
      <c r="D14">
        <v>1</v>
      </c>
    </row>
    <row r="15" spans="1:7" x14ac:dyDescent="0.25">
      <c r="A15" t="s">
        <v>86</v>
      </c>
      <c r="B15">
        <v>1</v>
      </c>
      <c r="D15">
        <v>1</v>
      </c>
    </row>
    <row r="16" spans="1:7" x14ac:dyDescent="0.25">
      <c r="A16" t="s">
        <v>108</v>
      </c>
      <c r="C16">
        <v>1</v>
      </c>
      <c r="E16">
        <v>1</v>
      </c>
    </row>
    <row r="17" spans="1:5" x14ac:dyDescent="0.25">
      <c r="A17" t="s">
        <v>92</v>
      </c>
      <c r="B17">
        <v>1</v>
      </c>
      <c r="D17">
        <v>1</v>
      </c>
    </row>
    <row r="18" spans="1:5" x14ac:dyDescent="0.25">
      <c r="A18" t="s">
        <v>118</v>
      </c>
      <c r="B18">
        <v>1</v>
      </c>
      <c r="D18">
        <v>1</v>
      </c>
    </row>
    <row r="19" spans="1:5" x14ac:dyDescent="0.25">
      <c r="A19" t="s">
        <v>113</v>
      </c>
      <c r="C19">
        <v>1</v>
      </c>
      <c r="E19">
        <v>1</v>
      </c>
    </row>
    <row r="20" spans="1:5" x14ac:dyDescent="0.25">
      <c r="A20" t="s">
        <v>117</v>
      </c>
      <c r="C20">
        <v>1</v>
      </c>
      <c r="E20">
        <v>1</v>
      </c>
    </row>
    <row r="21" spans="1:5" x14ac:dyDescent="0.25">
      <c r="A21" t="s">
        <v>116</v>
      </c>
      <c r="B21">
        <v>1</v>
      </c>
      <c r="D21">
        <v>1</v>
      </c>
    </row>
    <row r="22" spans="1:5" x14ac:dyDescent="0.25">
      <c r="A22" t="s">
        <v>106</v>
      </c>
      <c r="B22">
        <v>1</v>
      </c>
      <c r="D22">
        <v>1</v>
      </c>
    </row>
    <row r="23" spans="1:5" x14ac:dyDescent="0.25">
      <c r="A23" t="s">
        <v>161</v>
      </c>
      <c r="C23">
        <v>1</v>
      </c>
    </row>
    <row r="24" spans="1:5" x14ac:dyDescent="0.25">
      <c r="A24" t="s">
        <v>130</v>
      </c>
      <c r="B24">
        <v>1</v>
      </c>
      <c r="D24">
        <v>1</v>
      </c>
    </row>
    <row r="25" spans="1:5" x14ac:dyDescent="0.25">
      <c r="A25" t="s">
        <v>144</v>
      </c>
      <c r="B25">
        <v>1</v>
      </c>
      <c r="D25">
        <v>1</v>
      </c>
    </row>
    <row r="26" spans="1:5" x14ac:dyDescent="0.25">
      <c r="A26" t="s">
        <v>147</v>
      </c>
      <c r="C26">
        <v>1</v>
      </c>
      <c r="E26">
        <v>1</v>
      </c>
    </row>
    <row r="27" spans="1:5" x14ac:dyDescent="0.25">
      <c r="A27" t="s">
        <v>159</v>
      </c>
      <c r="B27">
        <v>1</v>
      </c>
      <c r="D27">
        <v>1</v>
      </c>
    </row>
    <row r="28" spans="1:5" x14ac:dyDescent="0.25">
      <c r="A28" t="s">
        <v>61</v>
      </c>
      <c r="B28">
        <v>1</v>
      </c>
      <c r="C28">
        <v>1</v>
      </c>
      <c r="D28">
        <v>1</v>
      </c>
      <c r="E28">
        <v>1</v>
      </c>
    </row>
    <row r="29" spans="1:5" x14ac:dyDescent="0.25">
      <c r="A29" t="s">
        <v>156</v>
      </c>
      <c r="B29">
        <v>1</v>
      </c>
      <c r="D29">
        <v>1</v>
      </c>
    </row>
    <row r="30" spans="1:5" x14ac:dyDescent="0.25">
      <c r="A30" t="s">
        <v>133</v>
      </c>
      <c r="C30">
        <v>1</v>
      </c>
      <c r="E30">
        <v>1</v>
      </c>
    </row>
    <row r="31" spans="1:5" x14ac:dyDescent="0.25">
      <c r="A31" t="s">
        <v>138</v>
      </c>
      <c r="B31">
        <v>1</v>
      </c>
      <c r="D31">
        <v>1</v>
      </c>
    </row>
    <row r="32" spans="1:5" x14ac:dyDescent="0.25">
      <c r="A32" t="s">
        <v>143</v>
      </c>
      <c r="C32">
        <v>1</v>
      </c>
      <c r="E32">
        <v>1</v>
      </c>
    </row>
    <row r="33" spans="1:5" x14ac:dyDescent="0.25">
      <c r="A33" t="s">
        <v>154</v>
      </c>
      <c r="B33">
        <v>1</v>
      </c>
      <c r="D33">
        <v>1</v>
      </c>
    </row>
    <row r="34" spans="1:5" x14ac:dyDescent="0.25">
      <c r="A34" t="s">
        <v>257</v>
      </c>
      <c r="C34">
        <v>1</v>
      </c>
      <c r="E34">
        <v>1</v>
      </c>
    </row>
    <row r="35" spans="1:5" x14ac:dyDescent="0.25">
      <c r="A35" t="s">
        <v>135</v>
      </c>
      <c r="B35">
        <v>1</v>
      </c>
      <c r="D35">
        <v>1</v>
      </c>
    </row>
    <row r="36" spans="1:5" x14ac:dyDescent="0.25">
      <c r="A36" t="s">
        <v>140</v>
      </c>
      <c r="B36">
        <v>1</v>
      </c>
      <c r="D36">
        <v>1</v>
      </c>
    </row>
    <row r="37" spans="1:5" x14ac:dyDescent="0.25">
      <c r="A37" t="s">
        <v>164</v>
      </c>
      <c r="B37">
        <v>1</v>
      </c>
      <c r="D37">
        <v>1</v>
      </c>
    </row>
    <row r="38" spans="1:5" x14ac:dyDescent="0.25">
      <c r="A38" t="s">
        <v>151</v>
      </c>
      <c r="C38">
        <v>1</v>
      </c>
      <c r="E38">
        <v>1</v>
      </c>
    </row>
    <row r="39" spans="1:5" x14ac:dyDescent="0.25">
      <c r="A39" t="s">
        <v>166</v>
      </c>
      <c r="C39">
        <v>1</v>
      </c>
      <c r="E39">
        <v>1</v>
      </c>
    </row>
    <row r="40" spans="1:5" x14ac:dyDescent="0.25">
      <c r="A40" t="s">
        <v>145</v>
      </c>
      <c r="B40">
        <v>1</v>
      </c>
      <c r="D40">
        <v>1</v>
      </c>
    </row>
    <row r="41" spans="1:5" x14ac:dyDescent="0.25">
      <c r="A41" t="s">
        <v>136</v>
      </c>
      <c r="B41">
        <v>1</v>
      </c>
      <c r="D41">
        <v>1</v>
      </c>
    </row>
    <row r="42" spans="1:5" x14ac:dyDescent="0.25">
      <c r="A42" t="s">
        <v>141</v>
      </c>
      <c r="C42">
        <v>1</v>
      </c>
      <c r="E42">
        <v>1</v>
      </c>
    </row>
    <row r="43" spans="1:5" x14ac:dyDescent="0.25">
      <c r="A43" s="71" t="s">
        <v>168</v>
      </c>
      <c r="B43" s="71"/>
      <c r="C43" s="71"/>
      <c r="D43" s="71"/>
      <c r="E43" s="71"/>
    </row>
    <row r="44" spans="1:5" x14ac:dyDescent="0.25">
      <c r="A44" s="71" t="s">
        <v>170</v>
      </c>
      <c r="B44" s="71"/>
      <c r="C44" s="71"/>
      <c r="D44" s="71"/>
      <c r="E44" s="71"/>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E368DC4B-579E-4BD3-83A5-D47A0B93B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ba69df13-0c3c-4942-8695-6ca01564010c"/>
    <ds:schemaRef ds:uri="http://schemas.microsoft.com/office/2006/metadata/properties"/>
    <ds:schemaRef ds:uri="http://purl.org/dc/elements/1.1/"/>
    <ds:schemaRef ds:uri="http://schemas.microsoft.com/office/infopath/2007/PartnerControls"/>
    <ds:schemaRef ds:uri="2380bd5d-8f09-40a9-a9cb-2482ec2cd2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Architecture</vt:lpstr>
      <vt:lpstr>Unitsets</vt:lpstr>
      <vt:lpstr>Handbook</vt:lpstr>
      <vt:lpstr>Structures</vt:lpstr>
      <vt:lpstr>Availabilities</vt:lpstr>
      <vt:lpstr>Architecture!Print_Area</vt:lpstr>
      <vt:lpstr>RangeSpecSets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2024-03-05T03:27:13Z</cp:lastPrinted>
  <dcterms:created xsi:type="dcterms:W3CDTF">2022-02-28T04:48:12Z</dcterms:created>
  <dcterms:modified xsi:type="dcterms:W3CDTF">2024-03-05T03:30:01Z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